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B7F1D471-7608-404F-8132-4B0F373A5B53}" xr6:coauthVersionLast="47" xr6:coauthVersionMax="47" xr10:uidLastSave="{00000000-0000-0000-0000-000000000000}"/>
  <bookViews>
    <workbookView xWindow="-110" yWindow="-110" windowWidth="19420" windowHeight="10420" firstSheet="7" activeTab="11" xr2:uid="{00000000-000D-0000-FFFF-FFFF00000000}"/>
  </bookViews>
  <sheets>
    <sheet name="RESUMO" sheetId="2" r:id="rId1"/>
    <sheet name="PLANILHA_SINT" sheetId="1" r:id="rId2"/>
    <sheet name="ABC_SERV" sheetId="4" r:id="rId3"/>
    <sheet name="COMP_GERAL" sheetId="3" r:id="rId4"/>
    <sheet name="COMP_AUX" sheetId="12" r:id="rId5"/>
    <sheet name="CUSTO_INSU" sheetId="5" r:id="rId6"/>
    <sheet name="COT_INSU" sheetId="9" r:id="rId7"/>
    <sheet name="CRONOGRAMA" sheetId="6" r:id="rId8"/>
    <sheet name="EVENTOGRAMA" sheetId="15" r:id="rId9"/>
    <sheet name="BDI" sheetId="7" r:id="rId10"/>
    <sheet name="ENCARGOS SOCIAIS" sheetId="8" r:id="rId11"/>
    <sheet name="QUANT" sheetId="13" r:id="rId12"/>
  </sheets>
  <definedNames>
    <definedName name="_xlnm._FilterDatabase" localSheetId="5" hidden="1">CUSTO_INSU!$A$11:$G$172</definedName>
    <definedName name="_xlnm.Print_Area" localSheetId="9">BDI!$A$1:$H$59</definedName>
    <definedName name="_xlnm.Print_Area" localSheetId="6">COT_INSU!$A$1:$I$152</definedName>
    <definedName name="_xlnm.Print_Area" localSheetId="5">CUSTO_INSU!$A$1:$G$172</definedName>
    <definedName name="_xlnm.Print_Area" localSheetId="10">'ENCARGOS SOCIAIS'!$A$1:$F$51</definedName>
    <definedName name="_xlnm.Print_Area" localSheetId="1">PLANILHA_SINT!$A$1:$K$107</definedName>
    <definedName name="_xlnm.Print_Area" localSheetId="11">QUANT!$A$1:$K$191</definedName>
    <definedName name="_xlnm.Print_Area" localSheetId="0">RESUMO!$A$1:$F$22</definedName>
    <definedName name="JR_PAGE_ANCHOR_0_1" localSheetId="4">COMP_AUX!$A$9</definedName>
    <definedName name="JR_PAGE_ANCHOR_0_1" localSheetId="11">QUANT!$A$9</definedName>
    <definedName name="JR_PAGE_ANCHOR_0_1">PLANILHA_SINT!$A$9</definedName>
    <definedName name="JR_PAGE_ANCHOR_1_1">RESUMO!$A$2</definedName>
    <definedName name="JR_PAGE_ANCHOR_2_1">COMP_GERAL!#REF!</definedName>
    <definedName name="JR_PAGE_ANCHOR_3_1">ABC_SERV!#REF!</definedName>
    <definedName name="JR_PAGE_ANCHOR_4_1">CUSTO_INSU!#REF!</definedName>
    <definedName name="JR_PAGE_ANCHOR_5_1" localSheetId="8">EVENTOGRAMA!#REF!</definedName>
    <definedName name="JR_PAGE_ANCHOR_5_1">CRONOGRAMA!#REF!</definedName>
    <definedName name="JR_PAGE_ANCHOR_6_1">BDI!$A$2</definedName>
    <definedName name="JR_PAGE_ANCHOR_7_1">'ENCARGOS SOCIAIS'!$A$2</definedName>
    <definedName name="_xlnm.Print_Titles" localSheetId="2">ABC_SERV!$1:$11</definedName>
    <definedName name="_xlnm.Print_Titles" localSheetId="9">BDI!$1:$10</definedName>
    <definedName name="_xlnm.Print_Titles" localSheetId="4">COMP_AUX!$1:$10</definedName>
    <definedName name="_xlnm.Print_Titles" localSheetId="3">COMP_GERAL!$1:$10</definedName>
    <definedName name="_xlnm.Print_Titles" localSheetId="6">COT_INSU!$1:$12</definedName>
    <definedName name="_xlnm.Print_Titles" localSheetId="5">CUSTO_INSU!$1:$11</definedName>
    <definedName name="_xlnm.Print_Titles" localSheetId="10">'ENCARGOS SOCIAIS'!$1:$12</definedName>
    <definedName name="_xlnm.Print_Titles" localSheetId="1">PLANILHA_SINT!$1:$11</definedName>
    <definedName name="_xlnm.Print_Titles" localSheetId="11">QUANT!$1:$11</definedName>
    <definedName name="VALOR_TOTAL" localSheetId="11">QUANT!$J$193</definedName>
    <definedName name="VALOR_TOTAL">PLANILHA_SINT!$J$109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5" l="1"/>
  <c r="E28" i="15" s="1"/>
  <c r="C26" i="15"/>
  <c r="E26" i="15" s="1"/>
  <c r="C37" i="15"/>
  <c r="E37" i="15" s="1"/>
  <c r="C35" i="15"/>
  <c r="C30" i="15"/>
  <c r="C36" i="15" s="1"/>
  <c r="E36" i="15" s="1"/>
  <c r="C29" i="15"/>
  <c r="C34" i="15"/>
  <c r="E34" i="15" s="1"/>
  <c r="C32" i="15"/>
  <c r="E32" i="15" s="1"/>
  <c r="C24" i="15"/>
  <c r="E24" i="15" s="1"/>
  <c r="C23" i="15"/>
  <c r="E23" i="15" s="1"/>
  <c r="E30" i="15"/>
  <c r="C21" i="15"/>
  <c r="E21" i="15" s="1"/>
  <c r="C20" i="15"/>
  <c r="E20" i="15" s="1"/>
  <c r="C19" i="15"/>
  <c r="C18" i="15"/>
  <c r="E18" i="15" s="1"/>
  <c r="E17" i="15"/>
  <c r="E14" i="15"/>
  <c r="C16" i="15"/>
  <c r="C15" i="15"/>
  <c r="C33" i="15" s="1"/>
  <c r="E33" i="15" s="1"/>
  <c r="C13" i="15"/>
  <c r="C31" i="15" s="1"/>
  <c r="E31" i="15" s="1"/>
  <c r="C12" i="15"/>
  <c r="C25" i="15" l="1"/>
  <c r="E25" i="15" s="1"/>
  <c r="C27" i="15"/>
  <c r="E27" i="15" s="1"/>
  <c r="G9" i="15" l="1"/>
  <c r="E9" i="15"/>
  <c r="B9" i="15"/>
  <c r="G8" i="15"/>
  <c r="E8" i="15"/>
  <c r="D8" i="15"/>
  <c r="B8" i="15"/>
  <c r="G7" i="15"/>
  <c r="E7" i="15"/>
  <c r="D7" i="15"/>
  <c r="B7" i="15"/>
  <c r="G6" i="15"/>
  <c r="E6" i="15"/>
  <c r="D6" i="15"/>
  <c r="B6" i="15"/>
  <c r="G5" i="15"/>
  <c r="B5" i="15"/>
  <c r="B4" i="15"/>
  <c r="J28" i="6" l="1"/>
  <c r="J26" i="6"/>
  <c r="J24" i="6"/>
  <c r="J22" i="6"/>
  <c r="J20" i="6"/>
  <c r="J18" i="6"/>
  <c r="J16" i="6"/>
  <c r="J14" i="6"/>
  <c r="G156" i="5"/>
  <c r="G153" i="5"/>
  <c r="G151" i="5"/>
  <c r="G144" i="5"/>
  <c r="G141" i="5"/>
  <c r="G135" i="5"/>
  <c r="G121" i="5"/>
  <c r="G115" i="5"/>
  <c r="G113" i="5"/>
  <c r="G99" i="5"/>
  <c r="G87" i="5"/>
  <c r="G85" i="5"/>
  <c r="G84" i="5"/>
  <c r="G77" i="5"/>
  <c r="G67" i="5"/>
  <c r="G48" i="5"/>
  <c r="G29" i="5"/>
  <c r="G16" i="5"/>
  <c r="G14" i="5"/>
  <c r="G12" i="5"/>
  <c r="I151" i="9"/>
  <c r="I144" i="9"/>
  <c r="I137" i="9"/>
  <c r="I130" i="9"/>
  <c r="I123" i="9"/>
  <c r="I116" i="9"/>
  <c r="I109" i="9"/>
  <c r="I102" i="9"/>
  <c r="I95" i="9"/>
  <c r="I88" i="9"/>
  <c r="I81" i="9"/>
  <c r="I74" i="9"/>
  <c r="I67" i="9"/>
  <c r="I60" i="9"/>
  <c r="I53" i="9"/>
  <c r="I46" i="9"/>
  <c r="I39" i="9"/>
  <c r="I32" i="9"/>
  <c r="I25" i="9"/>
  <c r="I18" i="9"/>
  <c r="D58" i="7" l="1"/>
  <c r="D34" i="7"/>
  <c r="G16" i="1"/>
  <c r="G18" i="1"/>
  <c r="G19" i="1"/>
  <c r="G20" i="1"/>
  <c r="F26" i="4" s="1"/>
  <c r="G22" i="1"/>
  <c r="F27" i="4" s="1"/>
  <c r="G24" i="1"/>
  <c r="F82" i="4" s="1"/>
  <c r="G25" i="1"/>
  <c r="G26" i="1"/>
  <c r="G27" i="1"/>
  <c r="G28" i="1"/>
  <c r="F44" i="4" s="1"/>
  <c r="G31" i="1"/>
  <c r="F40" i="4" s="1"/>
  <c r="G32" i="1"/>
  <c r="F30" i="4" s="1"/>
  <c r="G34" i="1"/>
  <c r="G35" i="1"/>
  <c r="F21" i="4" s="1"/>
  <c r="G37" i="1"/>
  <c r="G38" i="1"/>
  <c r="G39" i="1"/>
  <c r="G40" i="1"/>
  <c r="F34" i="4" s="1"/>
  <c r="G41" i="1"/>
  <c r="F67" i="4" s="1"/>
  <c r="G42" i="1"/>
  <c r="F29" i="4" s="1"/>
  <c r="G43" i="1"/>
  <c r="F43" i="4" s="1"/>
  <c r="G44" i="1"/>
  <c r="F38" i="4" s="1"/>
  <c r="G45" i="1"/>
  <c r="G46" i="1"/>
  <c r="F61" i="4" s="1"/>
  <c r="G49" i="1"/>
  <c r="G50" i="1"/>
  <c r="G51" i="1"/>
  <c r="F50" i="4" s="1"/>
  <c r="G52" i="1"/>
  <c r="F23" i="4" s="1"/>
  <c r="G53" i="1"/>
  <c r="F47" i="4" s="1"/>
  <c r="G54" i="1"/>
  <c r="F22" i="4" s="1"/>
  <c r="G55" i="1"/>
  <c r="G56" i="1"/>
  <c r="G57" i="1"/>
  <c r="G58" i="1"/>
  <c r="F45" i="4" s="1"/>
  <c r="G59" i="1"/>
  <c r="F84" i="4" s="1"/>
  <c r="G60" i="1"/>
  <c r="F66" i="4" s="1"/>
  <c r="G61" i="1"/>
  <c r="F88" i="4" s="1"/>
  <c r="G62" i="1"/>
  <c r="F72" i="4" s="1"/>
  <c r="G63" i="1"/>
  <c r="G64" i="1"/>
  <c r="G65" i="1"/>
  <c r="G67" i="1"/>
  <c r="F48" i="4" s="1"/>
  <c r="G68" i="1"/>
  <c r="F69" i="4" s="1"/>
  <c r="G69" i="1"/>
  <c r="F62" i="4" s="1"/>
  <c r="G70" i="1"/>
  <c r="G71" i="1"/>
  <c r="F80" i="4" s="1"/>
  <c r="G72" i="1"/>
  <c r="G73" i="1"/>
  <c r="G74" i="1"/>
  <c r="G75" i="1"/>
  <c r="F78" i="4" s="1"/>
  <c r="G77" i="1"/>
  <c r="F85" i="4" s="1"/>
  <c r="G78" i="1"/>
  <c r="F39" i="4" s="1"/>
  <c r="G79" i="1"/>
  <c r="F28" i="4" s="1"/>
  <c r="G80" i="1"/>
  <c r="F64" i="4" s="1"/>
  <c r="G81" i="1"/>
  <c r="G82" i="1"/>
  <c r="G83" i="1"/>
  <c r="F70" i="4" s="1"/>
  <c r="G84" i="1"/>
  <c r="F74" i="4" s="1"/>
  <c r="G85" i="1"/>
  <c r="F49" i="4" s="1"/>
  <c r="G86" i="1"/>
  <c r="F89" i="4" s="1"/>
  <c r="G87" i="1"/>
  <c r="F86" i="4" s="1"/>
  <c r="G88" i="1"/>
  <c r="F54" i="4" s="1"/>
  <c r="G89" i="1"/>
  <c r="G90" i="1"/>
  <c r="F56" i="4" s="1"/>
  <c r="G91" i="1"/>
  <c r="G93" i="1"/>
  <c r="F68" i="4" s="1"/>
  <c r="G94" i="1"/>
  <c r="F36" i="4" s="1"/>
  <c r="G96" i="1"/>
  <c r="F12" i="4" s="1"/>
  <c r="G97" i="1"/>
  <c r="F15" i="4" s="1"/>
  <c r="G98" i="1"/>
  <c r="F13" i="4" s="1"/>
  <c r="G100" i="1"/>
  <c r="G101" i="1"/>
  <c r="G102" i="1"/>
  <c r="F57" i="4" s="1"/>
  <c r="G103" i="1"/>
  <c r="F35" i="4" s="1"/>
  <c r="G105" i="1"/>
  <c r="F73" i="4" s="1"/>
  <c r="G13" i="1"/>
  <c r="F14" i="4" s="1"/>
  <c r="F16" i="4"/>
  <c r="F17" i="4"/>
  <c r="F18" i="4"/>
  <c r="F20" i="4"/>
  <c r="F24" i="4"/>
  <c r="F25" i="4"/>
  <c r="F32" i="4"/>
  <c r="F31" i="4"/>
  <c r="F41" i="4"/>
  <c r="F42" i="4"/>
  <c r="F63" i="4"/>
  <c r="F51" i="4"/>
  <c r="F52" i="4"/>
  <c r="F53" i="4"/>
  <c r="F55" i="4"/>
  <c r="F59" i="4"/>
  <c r="F58" i="4"/>
  <c r="F60" i="4"/>
  <c r="F65" i="4"/>
  <c r="F71" i="4"/>
  <c r="F75" i="4"/>
  <c r="F76" i="4"/>
  <c r="F77" i="4"/>
  <c r="F79" i="4"/>
  <c r="F81" i="4"/>
  <c r="F83" i="4"/>
  <c r="F87" i="4"/>
  <c r="I190" i="13"/>
  <c r="I117" i="13"/>
  <c r="I114" i="13"/>
  <c r="E111" i="13"/>
  <c r="G109" i="13"/>
  <c r="G110" i="13" s="1"/>
  <c r="E109" i="13"/>
  <c r="D122" i="13" s="1"/>
  <c r="H122" i="13" s="1"/>
  <c r="J108" i="13"/>
  <c r="E100" i="13"/>
  <c r="J99" i="13"/>
  <c r="G100" i="13"/>
  <c r="G101" i="13" s="1"/>
  <c r="G102" i="13" s="1"/>
  <c r="I96" i="13"/>
  <c r="G95" i="13" s="1"/>
  <c r="I93" i="13"/>
  <c r="G92" i="13" s="1"/>
  <c r="I90" i="13"/>
  <c r="G89" i="13" s="1"/>
  <c r="G53" i="13"/>
  <c r="G54" i="13" s="1"/>
  <c r="G55" i="13" s="1"/>
  <c r="E53" i="13"/>
  <c r="E54" i="13" s="1"/>
  <c r="E55" i="13" s="1"/>
  <c r="K56" i="13"/>
  <c r="K57" i="13"/>
  <c r="K58" i="13"/>
  <c r="K59" i="13"/>
  <c r="I53" i="13"/>
  <c r="I54" i="13" s="1"/>
  <c r="I55" i="13" s="1"/>
  <c r="I49" i="13"/>
  <c r="G48" i="13" s="1"/>
  <c r="D65" i="13" s="1"/>
  <c r="G44" i="13"/>
  <c r="I44" i="13" s="1"/>
  <c r="I43" i="13"/>
  <c r="I40" i="13"/>
  <c r="G39" i="13" s="1"/>
  <c r="D63" i="13" s="1"/>
  <c r="I63" i="13" s="1"/>
  <c r="I37" i="13"/>
  <c r="G36" i="13" s="1"/>
  <c r="D62" i="13" s="1"/>
  <c r="I62" i="13" s="1"/>
  <c r="I33" i="13"/>
  <c r="G32" i="13" s="1"/>
  <c r="I30" i="13"/>
  <c r="G29" i="13" s="1"/>
  <c r="G21" i="1" s="1"/>
  <c r="F37" i="4" s="1"/>
  <c r="F19" i="4" l="1"/>
  <c r="J110" i="13"/>
  <c r="G111" i="13"/>
  <c r="J111" i="13" s="1"/>
  <c r="J109" i="13"/>
  <c r="J100" i="13"/>
  <c r="E101" i="13"/>
  <c r="E102" i="13" s="1"/>
  <c r="J102" i="13" s="1"/>
  <c r="K52" i="13"/>
  <c r="K53" i="13"/>
  <c r="K55" i="13"/>
  <c r="K54" i="13"/>
  <c r="G45" i="13"/>
  <c r="G46" i="13" s="1"/>
  <c r="I46" i="13" s="1"/>
  <c r="I9" i="13"/>
  <c r="B9" i="13"/>
  <c r="I8" i="13"/>
  <c r="H8" i="13"/>
  <c r="B8" i="13"/>
  <c r="I7" i="13"/>
  <c r="H7" i="13"/>
  <c r="B7" i="13"/>
  <c r="I6" i="13"/>
  <c r="H6" i="13"/>
  <c r="B6" i="13"/>
  <c r="K5" i="13"/>
  <c r="B5" i="13"/>
  <c r="B4" i="13"/>
  <c r="F9" i="7"/>
  <c r="F8" i="7"/>
  <c r="F7" i="7"/>
  <c r="F6" i="7"/>
  <c r="D8" i="7"/>
  <c r="D7" i="7"/>
  <c r="D6" i="7"/>
  <c r="H5" i="7"/>
  <c r="D9" i="8"/>
  <c r="D8" i="8"/>
  <c r="C8" i="8"/>
  <c r="D7" i="8"/>
  <c r="C7" i="8"/>
  <c r="D6" i="8"/>
  <c r="C6" i="8"/>
  <c r="F5" i="8"/>
  <c r="H9" i="6"/>
  <c r="H8" i="6"/>
  <c r="G8" i="6"/>
  <c r="H7" i="6"/>
  <c r="G7" i="6"/>
  <c r="H6" i="6"/>
  <c r="G6" i="6"/>
  <c r="J5" i="6"/>
  <c r="G9" i="9"/>
  <c r="G8" i="9"/>
  <c r="F8" i="9"/>
  <c r="G7" i="9"/>
  <c r="F7" i="9"/>
  <c r="G6" i="9"/>
  <c r="F6" i="9"/>
  <c r="I5" i="9"/>
  <c r="D9" i="5"/>
  <c r="D8" i="5"/>
  <c r="C8" i="5"/>
  <c r="D7" i="5"/>
  <c r="C7" i="5"/>
  <c r="D6" i="5"/>
  <c r="C6" i="5"/>
  <c r="G5" i="5"/>
  <c r="H9" i="4"/>
  <c r="H8" i="4"/>
  <c r="G8" i="4"/>
  <c r="H7" i="4"/>
  <c r="G7" i="4"/>
  <c r="H6" i="4"/>
  <c r="G6" i="4"/>
  <c r="J5" i="4"/>
  <c r="E9" i="12"/>
  <c r="E8" i="12"/>
  <c r="D8" i="12"/>
  <c r="E7" i="12"/>
  <c r="D7" i="12"/>
  <c r="E6" i="12"/>
  <c r="D6" i="12"/>
  <c r="G5" i="12"/>
  <c r="E9" i="3"/>
  <c r="E8" i="3"/>
  <c r="D8" i="3"/>
  <c r="E7" i="3"/>
  <c r="D7" i="3"/>
  <c r="E6" i="3"/>
  <c r="D6" i="3"/>
  <c r="G5" i="3"/>
  <c r="H8" i="1"/>
  <c r="I8" i="1"/>
  <c r="H7" i="1"/>
  <c r="H6" i="1"/>
  <c r="K5" i="1"/>
  <c r="I9" i="1"/>
  <c r="I7" i="1"/>
  <c r="I6" i="1"/>
  <c r="B5" i="3"/>
  <c r="B6" i="3"/>
  <c r="B7" i="3"/>
  <c r="B8" i="3"/>
  <c r="B9" i="3"/>
  <c r="B5" i="12"/>
  <c r="B6" i="12"/>
  <c r="B7" i="12"/>
  <c r="B8" i="12"/>
  <c r="B9" i="12"/>
  <c r="B5" i="4"/>
  <c r="B6" i="4"/>
  <c r="B7" i="4"/>
  <c r="B8" i="4"/>
  <c r="B9" i="4"/>
  <c r="B5" i="5"/>
  <c r="B6" i="5"/>
  <c r="B7" i="5"/>
  <c r="B8" i="5"/>
  <c r="B9" i="5"/>
  <c r="B5" i="9"/>
  <c r="B6" i="9"/>
  <c r="B7" i="9"/>
  <c r="B8" i="9"/>
  <c r="B9" i="9"/>
  <c r="B5" i="6"/>
  <c r="B6" i="6"/>
  <c r="B7" i="6"/>
  <c r="B8" i="6"/>
  <c r="B9" i="6"/>
  <c r="B5" i="7"/>
  <c r="B6" i="7"/>
  <c r="B7" i="7"/>
  <c r="B8" i="7"/>
  <c r="B9" i="7"/>
  <c r="B5" i="8"/>
  <c r="B6" i="8"/>
  <c r="B7" i="8"/>
  <c r="B8" i="8"/>
  <c r="B9" i="8"/>
  <c r="B4" i="8"/>
  <c r="B4" i="7"/>
  <c r="B4" i="6"/>
  <c r="B4" i="9"/>
  <c r="B4" i="5"/>
  <c r="B4" i="4"/>
  <c r="B4" i="12"/>
  <c r="B5" i="1"/>
  <c r="B6" i="1"/>
  <c r="B7" i="1"/>
  <c r="B8" i="1"/>
  <c r="B9" i="1"/>
  <c r="B4" i="3"/>
  <c r="B4" i="1"/>
  <c r="E23" i="8"/>
  <c r="C23" i="8"/>
  <c r="E36" i="8"/>
  <c r="C36" i="8"/>
  <c r="E44" i="8"/>
  <c r="C44" i="8"/>
  <c r="E49" i="8"/>
  <c r="C49" i="8"/>
  <c r="D55" i="7"/>
  <c r="F7" i="2" s="1"/>
  <c r="K7" i="13" s="1"/>
  <c r="F52" i="7"/>
  <c r="D50" i="7"/>
  <c r="F45" i="7"/>
  <c r="D43" i="7"/>
  <c r="F41" i="7"/>
  <c r="F27" i="7"/>
  <c r="F16" i="7"/>
  <c r="F20" i="7"/>
  <c r="D121" i="13" l="1"/>
  <c r="H121" i="13" s="1"/>
  <c r="G119" i="13" s="1"/>
  <c r="G124" i="13" s="1"/>
  <c r="G107" i="13"/>
  <c r="J101" i="13"/>
  <c r="G98" i="13" s="1"/>
  <c r="G51" i="13"/>
  <c r="D66" i="13" s="1"/>
  <c r="I45" i="13"/>
  <c r="G42" i="13" s="1"/>
  <c r="D64" i="13" s="1"/>
  <c r="H7" i="7"/>
  <c r="G7" i="3"/>
  <c r="K7" i="1"/>
  <c r="J7" i="4"/>
  <c r="G7" i="12"/>
  <c r="G7" i="5"/>
  <c r="J7" i="6"/>
  <c r="I7" i="9"/>
  <c r="F7" i="8"/>
  <c r="E51" i="8"/>
  <c r="F9" i="2" s="1"/>
  <c r="K9" i="13" s="1"/>
  <c r="C51" i="8"/>
  <c r="F8" i="2" s="1"/>
  <c r="G8" i="12" l="1"/>
  <c r="K8" i="13"/>
  <c r="G61" i="13"/>
  <c r="J8" i="6"/>
  <c r="J9" i="6"/>
  <c r="H9" i="7"/>
  <c r="F9" i="8"/>
  <c r="K8" i="1"/>
  <c r="G9" i="5"/>
  <c r="I9" i="9"/>
  <c r="G9" i="12"/>
  <c r="J9" i="4"/>
  <c r="H8" i="7"/>
  <c r="F8" i="8"/>
  <c r="I8" i="9"/>
  <c r="J8" i="4"/>
  <c r="G8" i="3"/>
  <c r="G9" i="3"/>
  <c r="G8" i="5"/>
  <c r="K9" i="1"/>
  <c r="D70" i="13" l="1"/>
  <c r="G70" i="13" s="1"/>
  <c r="G69" i="13" s="1"/>
  <c r="G30" i="1" s="1"/>
  <c r="F33" i="4" s="1"/>
  <c r="G29" i="1"/>
  <c r="F46" i="4" s="1"/>
  <c r="D31" i="7"/>
  <c r="F6" i="2" s="1"/>
  <c r="K6" i="13" s="1"/>
  <c r="D25" i="7"/>
  <c r="D18" i="7"/>
  <c r="G15" i="6"/>
  <c r="H15" i="6"/>
  <c r="I15" i="6"/>
  <c r="G29" i="6"/>
  <c r="H29" i="6"/>
  <c r="G27" i="6"/>
  <c r="G23" i="6"/>
  <c r="G21" i="6"/>
  <c r="I21" i="6"/>
  <c r="I19" i="6"/>
  <c r="H17" i="6"/>
  <c r="I17" i="6"/>
  <c r="F29" i="6"/>
  <c r="F27" i="6"/>
  <c r="F23" i="6"/>
  <c r="F21" i="6"/>
  <c r="F19" i="6"/>
  <c r="F17" i="6"/>
  <c r="F772" i="3"/>
  <c r="F779" i="3"/>
  <c r="F26" i="3"/>
  <c r="F20" i="3"/>
  <c r="F37" i="3"/>
  <c r="F43" i="3"/>
  <c r="F49" i="3"/>
  <c r="F65" i="3"/>
  <c r="F85" i="3"/>
  <c r="F92" i="3"/>
  <c r="F99" i="3"/>
  <c r="F106" i="3"/>
  <c r="F113" i="3"/>
  <c r="F120" i="3"/>
  <c r="F129" i="3"/>
  <c r="F136" i="3"/>
  <c r="F146" i="3"/>
  <c r="F157" i="3"/>
  <c r="F166" i="3"/>
  <c r="F177" i="3"/>
  <c r="F184" i="3"/>
  <c r="F196" i="3"/>
  <c r="F209" i="3"/>
  <c r="F230" i="3"/>
  <c r="F237" i="3"/>
  <c r="F259" i="3"/>
  <c r="F274" i="3"/>
  <c r="F289" i="3"/>
  <c r="F299" i="3"/>
  <c r="F309" i="3"/>
  <c r="F319" i="3"/>
  <c r="F331" i="3"/>
  <c r="F342" i="3"/>
  <c r="F353" i="3"/>
  <c r="F364" i="3"/>
  <c r="F375" i="3"/>
  <c r="F386" i="3"/>
  <c r="F397" i="3"/>
  <c r="F406" i="3"/>
  <c r="F416" i="3"/>
  <c r="F426" i="3"/>
  <c r="F437" i="3"/>
  <c r="F448" i="3"/>
  <c r="F459" i="3"/>
  <c r="F470" i="3"/>
  <c r="F481" i="3"/>
  <c r="F492" i="3"/>
  <c r="F503" i="3"/>
  <c r="F514" i="3"/>
  <c r="F526" i="3"/>
  <c r="F536" i="3"/>
  <c r="F548" i="3"/>
  <c r="F559" i="3"/>
  <c r="F570" i="3"/>
  <c r="F581" i="3"/>
  <c r="F591" i="3"/>
  <c r="F601" i="3"/>
  <c r="F612" i="3"/>
  <c r="F623" i="3"/>
  <c r="F634" i="3"/>
  <c r="F645" i="3"/>
  <c r="F652" i="3"/>
  <c r="F659" i="3"/>
  <c r="F666" i="3"/>
  <c r="F676" i="3"/>
  <c r="F686" i="3"/>
  <c r="F697" i="3"/>
  <c r="F709" i="3"/>
  <c r="F719" i="3"/>
  <c r="F730" i="3"/>
  <c r="F740" i="3"/>
  <c r="F748" i="3"/>
  <c r="F758" i="3"/>
  <c r="F765" i="3"/>
  <c r="F790" i="3"/>
  <c r="F802" i="3"/>
  <c r="F815" i="3"/>
  <c r="F777" i="3"/>
  <c r="F724" i="3"/>
  <c r="F703" i="3"/>
  <c r="F702" i="3"/>
  <c r="F670" i="3"/>
  <c r="F639" i="3"/>
  <c r="F585" i="3"/>
  <c r="F575" i="3"/>
  <c r="F574" i="3"/>
  <c r="F564" i="3"/>
  <c r="F563" i="3"/>
  <c r="F553" i="3"/>
  <c r="F552" i="3"/>
  <c r="F542" i="3"/>
  <c r="F541" i="3"/>
  <c r="F520" i="3"/>
  <c r="F519" i="3"/>
  <c r="F410" i="3"/>
  <c r="F401" i="3"/>
  <c r="F391" i="3"/>
  <c r="F390" i="3"/>
  <c r="F380" i="3"/>
  <c r="F379" i="3"/>
  <c r="F369" i="3"/>
  <c r="F368" i="3"/>
  <c r="F358" i="3"/>
  <c r="F357" i="3"/>
  <c r="F347" i="3"/>
  <c r="F346" i="3"/>
  <c r="F336" i="3"/>
  <c r="F335" i="3"/>
  <c r="F325" i="3"/>
  <c r="F324" i="3"/>
  <c r="F313" i="3"/>
  <c r="F304" i="3"/>
  <c r="F303" i="3"/>
  <c r="F294" i="3"/>
  <c r="F293" i="3"/>
  <c r="F283" i="3"/>
  <c r="F282" i="3"/>
  <c r="F268" i="3"/>
  <c r="F267" i="3"/>
  <c r="F248" i="3"/>
  <c r="F247" i="3"/>
  <c r="F246" i="3"/>
  <c r="F235" i="3"/>
  <c r="F234" i="3"/>
  <c r="F219" i="3"/>
  <c r="F218" i="3"/>
  <c r="F217" i="3"/>
  <c r="F190" i="3"/>
  <c r="F189" i="3"/>
  <c r="F171" i="3"/>
  <c r="F74" i="3"/>
  <c r="F75" i="3"/>
  <c r="F76" i="3"/>
  <c r="F73" i="3"/>
  <c r="F54" i="3"/>
  <c r="F55" i="3"/>
  <c r="F56" i="3"/>
  <c r="F53" i="3"/>
  <c r="F47" i="3"/>
  <c r="F41" i="3"/>
  <c r="F24" i="3"/>
  <c r="F1337" i="12"/>
  <c r="F1327" i="12"/>
  <c r="F1317" i="12"/>
  <c r="F1300" i="12"/>
  <c r="F1289" i="12"/>
  <c r="F1272" i="12"/>
  <c r="F1255" i="12"/>
  <c r="F1249" i="12"/>
  <c r="F1243" i="12"/>
  <c r="F1237" i="12"/>
  <c r="F1231" i="12"/>
  <c r="F1219" i="12"/>
  <c r="F1209" i="12"/>
  <c r="F1203" i="12"/>
  <c r="F1197" i="12"/>
  <c r="F1191" i="12"/>
  <c r="F1185" i="12"/>
  <c r="F1176" i="12"/>
  <c r="F1169" i="12"/>
  <c r="F1160" i="12"/>
  <c r="F1150" i="12"/>
  <c r="F1133" i="12"/>
  <c r="F1116" i="12"/>
  <c r="F1099" i="12"/>
  <c r="F1082" i="12"/>
  <c r="F1065" i="12"/>
  <c r="F1048" i="12"/>
  <c r="F1031" i="12"/>
  <c r="F1025" i="12"/>
  <c r="F1018" i="12"/>
  <c r="F1011" i="12"/>
  <c r="F1004" i="12"/>
  <c r="F992" i="12"/>
  <c r="F982" i="12"/>
  <c r="F965" i="12"/>
  <c r="F948" i="12"/>
  <c r="F931" i="12"/>
  <c r="F914" i="12"/>
  <c r="F900" i="12"/>
  <c r="F886" i="12"/>
  <c r="F876" i="12"/>
  <c r="F870" i="12"/>
  <c r="F863" i="12"/>
  <c r="F856" i="12"/>
  <c r="F849" i="12"/>
  <c r="F842" i="12"/>
  <c r="F829" i="12"/>
  <c r="F823" i="12"/>
  <c r="F816" i="12"/>
  <c r="F809" i="12"/>
  <c r="F802" i="12"/>
  <c r="F795" i="12"/>
  <c r="F782" i="12"/>
  <c r="F771" i="12"/>
  <c r="F765" i="12"/>
  <c r="F758" i="12"/>
  <c r="F751" i="12"/>
  <c r="F744" i="12"/>
  <c r="F737" i="12"/>
  <c r="F724" i="12"/>
  <c r="F718" i="12"/>
  <c r="F712" i="12"/>
  <c r="F706" i="12"/>
  <c r="F700" i="12"/>
  <c r="F694" i="12"/>
  <c r="F681" i="12"/>
  <c r="F670" i="12"/>
  <c r="F664" i="12"/>
  <c r="F658" i="12"/>
  <c r="F652" i="12"/>
  <c r="F646" i="12"/>
  <c r="F634" i="12"/>
  <c r="F624" i="12"/>
  <c r="F610" i="12"/>
  <c r="F604" i="12"/>
  <c r="F598" i="12"/>
  <c r="F592" i="12"/>
  <c r="F586" i="12"/>
  <c r="F574" i="12"/>
  <c r="F564" i="12"/>
  <c r="F534" i="12"/>
  <c r="F519" i="12"/>
  <c r="F502" i="12"/>
  <c r="F485" i="12"/>
  <c r="F479" i="12"/>
  <c r="F473" i="12"/>
  <c r="F467" i="12"/>
  <c r="F461" i="12"/>
  <c r="F452" i="12"/>
  <c r="F446" i="12"/>
  <c r="F440" i="12"/>
  <c r="F434" i="12"/>
  <c r="F428" i="12"/>
  <c r="F422" i="12"/>
  <c r="F416" i="12"/>
  <c r="F410" i="12"/>
  <c r="F404" i="12"/>
  <c r="F398" i="12"/>
  <c r="F392" i="12"/>
  <c r="F386" i="12"/>
  <c r="F380" i="12"/>
  <c r="F374" i="12"/>
  <c r="F368" i="12"/>
  <c r="F362" i="12"/>
  <c r="F356" i="12"/>
  <c r="F350" i="12"/>
  <c r="F344" i="12"/>
  <c r="F338" i="12"/>
  <c r="F332" i="12"/>
  <c r="F326" i="12"/>
  <c r="F320" i="12"/>
  <c r="F314" i="12"/>
  <c r="F308" i="12"/>
  <c r="F302" i="12"/>
  <c r="F296" i="12"/>
  <c r="F285" i="12"/>
  <c r="F271" i="12"/>
  <c r="F260" i="12"/>
  <c r="F254" i="12"/>
  <c r="F248" i="12"/>
  <c r="F242" i="12"/>
  <c r="F236" i="12"/>
  <c r="F227" i="12"/>
  <c r="F220" i="12"/>
  <c r="F203" i="12"/>
  <c r="F197" i="12"/>
  <c r="F190" i="12"/>
  <c r="F183" i="12"/>
  <c r="F176" i="12"/>
  <c r="F169" i="12"/>
  <c r="F156" i="12"/>
  <c r="F145" i="12"/>
  <c r="F135" i="12"/>
  <c r="F118" i="12"/>
  <c r="F101" i="12"/>
  <c r="F89" i="12"/>
  <c r="F72" i="12"/>
  <c r="F55" i="12"/>
  <c r="F38" i="12"/>
  <c r="F21" i="12"/>
  <c r="F1352" i="12"/>
  <c r="F1359" i="12"/>
  <c r="F1368" i="12"/>
  <c r="F1374" i="12"/>
  <c r="F1380" i="12"/>
  <c r="F1386" i="12"/>
  <c r="F1392" i="12"/>
  <c r="F549" i="12"/>
  <c r="G1390" i="12"/>
  <c r="G1391" i="12" s="1"/>
  <c r="G1392" i="12" s="1"/>
  <c r="G1384" i="12"/>
  <c r="G1385" i="12" s="1"/>
  <c r="G1386" i="12" s="1"/>
  <c r="G1378" i="12"/>
  <c r="G1379" i="12" s="1"/>
  <c r="G1380" i="12" s="1"/>
  <c r="G1372" i="12"/>
  <c r="G1373" i="12" s="1"/>
  <c r="G1374" i="12" s="1"/>
  <c r="G1366" i="12"/>
  <c r="G1365" i="12"/>
  <c r="G1364" i="12"/>
  <c r="G1363" i="12"/>
  <c r="G1357" i="12"/>
  <c r="G1356" i="12"/>
  <c r="G1350" i="12"/>
  <c r="G1351" i="12" s="1"/>
  <c r="G1347" i="12"/>
  <c r="G1348" i="12" s="1"/>
  <c r="G1344" i="12"/>
  <c r="G1343" i="12"/>
  <c r="G1342" i="12"/>
  <c r="G1341" i="12"/>
  <c r="G1335" i="12"/>
  <c r="G1334" i="12"/>
  <c r="G1331" i="12"/>
  <c r="G1332" i="12" s="1"/>
  <c r="G1325" i="12"/>
  <c r="G1324" i="12"/>
  <c r="G1321" i="12"/>
  <c r="G1322" i="12" s="1"/>
  <c r="G1315" i="12"/>
  <c r="G1316" i="12" s="1"/>
  <c r="G1312" i="12"/>
  <c r="G1313" i="12" s="1"/>
  <c r="G1309" i="12"/>
  <c r="G1308" i="12"/>
  <c r="G1307" i="12"/>
  <c r="G1306" i="12"/>
  <c r="G1305" i="12"/>
  <c r="G1304" i="12"/>
  <c r="G1298" i="12"/>
  <c r="G1297" i="12"/>
  <c r="G1294" i="12"/>
  <c r="G1293" i="12"/>
  <c r="G1287" i="12"/>
  <c r="G1288" i="12" s="1"/>
  <c r="G1284" i="12"/>
  <c r="G1285" i="12" s="1"/>
  <c r="G1281" i="12"/>
  <c r="G1280" i="12"/>
  <c r="G1279" i="12"/>
  <c r="G1278" i="12"/>
  <c r="G1277" i="12"/>
  <c r="G1276" i="12"/>
  <c r="G1270" i="12"/>
  <c r="G1271" i="12" s="1"/>
  <c r="G1267" i="12"/>
  <c r="G1268" i="12" s="1"/>
  <c r="G1264" i="12"/>
  <c r="G1263" i="12"/>
  <c r="G1262" i="12"/>
  <c r="G1261" i="12"/>
  <c r="G1260" i="12"/>
  <c r="G1259" i="12"/>
  <c r="G1253" i="12"/>
  <c r="G1254" i="12" s="1"/>
  <c r="G1255" i="12" s="1"/>
  <c r="G1247" i="12"/>
  <c r="G1248" i="12" s="1"/>
  <c r="G1249" i="12" s="1"/>
  <c r="G1241" i="12"/>
  <c r="G1242" i="12" s="1"/>
  <c r="G1243" i="12" s="1"/>
  <c r="G1235" i="12"/>
  <c r="G1236" i="12" s="1"/>
  <c r="G1237" i="12" s="1"/>
  <c r="G1229" i="12"/>
  <c r="G1228" i="12"/>
  <c r="G1227" i="12"/>
  <c r="G1226" i="12"/>
  <c r="G1223" i="12"/>
  <c r="G1224" i="12" s="1"/>
  <c r="G1217" i="12"/>
  <c r="G1216" i="12"/>
  <c r="G1213" i="12"/>
  <c r="G1214" i="12" s="1"/>
  <c r="G1207" i="12"/>
  <c r="G1208" i="12" s="1"/>
  <c r="G1209" i="12" s="1"/>
  <c r="G1201" i="12"/>
  <c r="G1202" i="12" s="1"/>
  <c r="G1203" i="12" s="1"/>
  <c r="G1195" i="12"/>
  <c r="G1196" i="12" s="1"/>
  <c r="G1197" i="12" s="1"/>
  <c r="G1189" i="12"/>
  <c r="G1190" i="12" s="1"/>
  <c r="G1191" i="12" s="1"/>
  <c r="G1183" i="12"/>
  <c r="G1182" i="12"/>
  <c r="G1181" i="12"/>
  <c r="G1180" i="12"/>
  <c r="G1174" i="12"/>
  <c r="G1173" i="12"/>
  <c r="G1167" i="12"/>
  <c r="G1168" i="12" s="1"/>
  <c r="G1164" i="12"/>
  <c r="G1165" i="12" s="1"/>
  <c r="G1158" i="12"/>
  <c r="G1159" i="12" s="1"/>
  <c r="G1155" i="12"/>
  <c r="G1154" i="12"/>
  <c r="G1148" i="12"/>
  <c r="G1149" i="12" s="1"/>
  <c r="G1145" i="12"/>
  <c r="G1146" i="12" s="1"/>
  <c r="G1142" i="12"/>
  <c r="G1141" i="12"/>
  <c r="G1140" i="12"/>
  <c r="G1139" i="12"/>
  <c r="G1138" i="12"/>
  <c r="G1137" i="12"/>
  <c r="G1131" i="12"/>
  <c r="G1132" i="12" s="1"/>
  <c r="G1128" i="12"/>
  <c r="G1129" i="12" s="1"/>
  <c r="G1125" i="12"/>
  <c r="G1124" i="12"/>
  <c r="G1123" i="12"/>
  <c r="G1122" i="12"/>
  <c r="G1121" i="12"/>
  <c r="G1120" i="12"/>
  <c r="G1114" i="12"/>
  <c r="G1115" i="12" s="1"/>
  <c r="G1111" i="12"/>
  <c r="G1112" i="12" s="1"/>
  <c r="G1108" i="12"/>
  <c r="G1107" i="12"/>
  <c r="G1106" i="12"/>
  <c r="G1105" i="12"/>
  <c r="G1104" i="12"/>
  <c r="G1103" i="12"/>
  <c r="G1097" i="12"/>
  <c r="G1098" i="12" s="1"/>
  <c r="G1094" i="12"/>
  <c r="G1095" i="12" s="1"/>
  <c r="G1091" i="12"/>
  <c r="G1090" i="12"/>
  <c r="G1089" i="12"/>
  <c r="G1088" i="12"/>
  <c r="G1087" i="12"/>
  <c r="G1086" i="12"/>
  <c r="G1080" i="12"/>
  <c r="G1081" i="12" s="1"/>
  <c r="G1077" i="12"/>
  <c r="G1078" i="12" s="1"/>
  <c r="G1074" i="12"/>
  <c r="G1073" i="12"/>
  <c r="G1072" i="12"/>
  <c r="G1071" i="12"/>
  <c r="G1070" i="12"/>
  <c r="G1069" i="12"/>
  <c r="G1063" i="12"/>
  <c r="G1064" i="12" s="1"/>
  <c r="G1060" i="12"/>
  <c r="G1061" i="12" s="1"/>
  <c r="G1057" i="12"/>
  <c r="G1056" i="12"/>
  <c r="G1055" i="12"/>
  <c r="G1054" i="12"/>
  <c r="G1053" i="12"/>
  <c r="G1052" i="12"/>
  <c r="G1046" i="12"/>
  <c r="G1047" i="12" s="1"/>
  <c r="G1043" i="12"/>
  <c r="G1044" i="12" s="1"/>
  <c r="G1040" i="12"/>
  <c r="G1039" i="12"/>
  <c r="G1038" i="12"/>
  <c r="G1037" i="12"/>
  <c r="G1036" i="12"/>
  <c r="G1035" i="12"/>
  <c r="G1029" i="12"/>
  <c r="G1030" i="12" s="1"/>
  <c r="G1031" i="12" s="1"/>
  <c r="G1023" i="12"/>
  <c r="G1022" i="12"/>
  <c r="G1016" i="12"/>
  <c r="G1015" i="12"/>
  <c r="G1009" i="12"/>
  <c r="G1008" i="12"/>
  <c r="G1002" i="12"/>
  <c r="G1001" i="12"/>
  <c r="G1000" i="12"/>
  <c r="G999" i="12"/>
  <c r="G996" i="12"/>
  <c r="G997" i="12" s="1"/>
  <c r="G990" i="12"/>
  <c r="G989" i="12"/>
  <c r="G986" i="12"/>
  <c r="G987" i="12" s="1"/>
  <c r="G980" i="12"/>
  <c r="G981" i="12" s="1"/>
  <c r="G977" i="12"/>
  <c r="G978" i="12" s="1"/>
  <c r="G974" i="12"/>
  <c r="G973" i="12"/>
  <c r="G972" i="12"/>
  <c r="G971" i="12"/>
  <c r="G970" i="12"/>
  <c r="G969" i="12"/>
  <c r="G963" i="12"/>
  <c r="G964" i="12" s="1"/>
  <c r="G960" i="12"/>
  <c r="G961" i="12" s="1"/>
  <c r="G957" i="12"/>
  <c r="G956" i="12"/>
  <c r="G955" i="12"/>
  <c r="G954" i="12"/>
  <c r="G953" i="12"/>
  <c r="G952" i="12"/>
  <c r="G946" i="12"/>
  <c r="G947" i="12" s="1"/>
  <c r="G943" i="12"/>
  <c r="G944" i="12" s="1"/>
  <c r="G940" i="12"/>
  <c r="G939" i="12"/>
  <c r="G938" i="12"/>
  <c r="G937" i="12"/>
  <c r="G936" i="12"/>
  <c r="G935" i="12"/>
  <c r="G929" i="12"/>
  <c r="G930" i="12" s="1"/>
  <c r="G926" i="12"/>
  <c r="G927" i="12" s="1"/>
  <c r="G923" i="12"/>
  <c r="G922" i="12"/>
  <c r="G921" i="12"/>
  <c r="G920" i="12"/>
  <c r="G919" i="12"/>
  <c r="G918" i="12"/>
  <c r="G912" i="12"/>
  <c r="G911" i="12"/>
  <c r="G908" i="12"/>
  <c r="G909" i="12" s="1"/>
  <c r="G905" i="12"/>
  <c r="G904" i="12"/>
  <c r="G898" i="12"/>
  <c r="G897" i="12"/>
  <c r="G894" i="12"/>
  <c r="G895" i="12" s="1"/>
  <c r="G891" i="12"/>
  <c r="G890" i="12"/>
  <c r="G884" i="12"/>
  <c r="G883" i="12"/>
  <c r="G880" i="12"/>
  <c r="G881" i="12" s="1"/>
  <c r="G874" i="12"/>
  <c r="G875" i="12" s="1"/>
  <c r="G876" i="12" s="1"/>
  <c r="F813" i="3" s="1"/>
  <c r="G868" i="12"/>
  <c r="G867" i="12"/>
  <c r="G861" i="12"/>
  <c r="G860" i="12"/>
  <c r="G854" i="12"/>
  <c r="G853" i="12"/>
  <c r="G847" i="12"/>
  <c r="G846" i="12"/>
  <c r="G840" i="12"/>
  <c r="G839" i="12"/>
  <c r="G838" i="12"/>
  <c r="G837" i="12"/>
  <c r="G836" i="12"/>
  <c r="G833" i="12"/>
  <c r="G834" i="12" s="1"/>
  <c r="G827" i="12"/>
  <c r="G828" i="12" s="1"/>
  <c r="G829" i="12" s="1"/>
  <c r="G821" i="12"/>
  <c r="G820" i="12"/>
  <c r="G814" i="12"/>
  <c r="G813" i="12"/>
  <c r="G807" i="12"/>
  <c r="G806" i="12"/>
  <c r="G800" i="12"/>
  <c r="G799" i="12"/>
  <c r="G793" i="12"/>
  <c r="G792" i="12"/>
  <c r="G791" i="12"/>
  <c r="G790" i="12"/>
  <c r="G789" i="12"/>
  <c r="G786" i="12"/>
  <c r="G787" i="12" s="1"/>
  <c r="G780" i="12"/>
  <c r="G779" i="12"/>
  <c r="G778" i="12"/>
  <c r="G775" i="12"/>
  <c r="G776" i="12" s="1"/>
  <c r="G769" i="12"/>
  <c r="G770" i="12" s="1"/>
  <c r="G771" i="12" s="1"/>
  <c r="G763" i="12"/>
  <c r="G762" i="12"/>
  <c r="G756" i="12"/>
  <c r="G755" i="12"/>
  <c r="G749" i="12"/>
  <c r="G748" i="12"/>
  <c r="G742" i="12"/>
  <c r="G741" i="12"/>
  <c r="G735" i="12"/>
  <c r="G734" i="12"/>
  <c r="G733" i="12"/>
  <c r="G732" i="12"/>
  <c r="G731" i="12"/>
  <c r="G728" i="12"/>
  <c r="G729" i="12" s="1"/>
  <c r="G722" i="12"/>
  <c r="G723" i="12" s="1"/>
  <c r="G724" i="12" s="1"/>
  <c r="G716" i="12"/>
  <c r="G717" i="12" s="1"/>
  <c r="G718" i="12" s="1"/>
  <c r="G710" i="12"/>
  <c r="G711" i="12" s="1"/>
  <c r="G712" i="12" s="1"/>
  <c r="G704" i="12"/>
  <c r="G705" i="12" s="1"/>
  <c r="G706" i="12" s="1"/>
  <c r="G698" i="12"/>
  <c r="G699" i="12" s="1"/>
  <c r="G700" i="12" s="1"/>
  <c r="G692" i="12"/>
  <c r="G691" i="12"/>
  <c r="G690" i="12"/>
  <c r="G689" i="12"/>
  <c r="G688" i="12"/>
  <c r="G685" i="12"/>
  <c r="G686" i="12" s="1"/>
  <c r="G679" i="12"/>
  <c r="G678" i="12"/>
  <c r="G677" i="12"/>
  <c r="G674" i="12"/>
  <c r="G675" i="12" s="1"/>
  <c r="G668" i="12"/>
  <c r="G669" i="12" s="1"/>
  <c r="G670" i="12" s="1"/>
  <c r="G662" i="12"/>
  <c r="G663" i="12" s="1"/>
  <c r="G664" i="12" s="1"/>
  <c r="G656" i="12"/>
  <c r="G657" i="12" s="1"/>
  <c r="G658" i="12" s="1"/>
  <c r="G650" i="12"/>
  <c r="G651" i="12" s="1"/>
  <c r="G652" i="12" s="1"/>
  <c r="G644" i="12"/>
  <c r="G643" i="12"/>
  <c r="G642" i="12"/>
  <c r="G641" i="12"/>
  <c r="G638" i="12"/>
  <c r="G639" i="12" s="1"/>
  <c r="G632" i="12"/>
  <c r="G631" i="12"/>
  <c r="G628" i="12"/>
  <c r="G629" i="12" s="1"/>
  <c r="G622" i="12"/>
  <c r="G621" i="12"/>
  <c r="G618" i="12"/>
  <c r="G617" i="12"/>
  <c r="G616" i="12"/>
  <c r="G615" i="12"/>
  <c r="G614" i="12"/>
  <c r="G608" i="12"/>
  <c r="G609" i="12" s="1"/>
  <c r="G610" i="12" s="1"/>
  <c r="G602" i="12"/>
  <c r="G603" i="12" s="1"/>
  <c r="G604" i="12" s="1"/>
  <c r="G596" i="12"/>
  <c r="G597" i="12" s="1"/>
  <c r="G598" i="12" s="1"/>
  <c r="G590" i="12"/>
  <c r="G591" i="12" s="1"/>
  <c r="G592" i="12" s="1"/>
  <c r="G584" i="12"/>
  <c r="G583" i="12"/>
  <c r="G582" i="12"/>
  <c r="G581" i="12"/>
  <c r="G578" i="12"/>
  <c r="G579" i="12" s="1"/>
  <c r="G572" i="12"/>
  <c r="G571" i="12"/>
  <c r="G568" i="12"/>
  <c r="G569" i="12" s="1"/>
  <c r="G562" i="12"/>
  <c r="G563" i="12" s="1"/>
  <c r="G559" i="12"/>
  <c r="G560" i="12" s="1"/>
  <c r="G556" i="12"/>
  <c r="G555" i="12"/>
  <c r="G554" i="12"/>
  <c r="G553" i="12"/>
  <c r="G547" i="12"/>
  <c r="G548" i="12" s="1"/>
  <c r="G544" i="12"/>
  <c r="G545" i="12" s="1"/>
  <c r="G541" i="12"/>
  <c r="G540" i="12"/>
  <c r="G539" i="12"/>
  <c r="G538" i="12"/>
  <c r="G532" i="12"/>
  <c r="G533" i="12" s="1"/>
  <c r="G529" i="12"/>
  <c r="G530" i="12" s="1"/>
  <c r="G526" i="12"/>
  <c r="G525" i="12"/>
  <c r="G524" i="12"/>
  <c r="G523" i="12"/>
  <c r="G517" i="12"/>
  <c r="G518" i="12" s="1"/>
  <c r="G514" i="12"/>
  <c r="G515" i="12" s="1"/>
  <c r="G511" i="12"/>
  <c r="G510" i="12"/>
  <c r="G509" i="12"/>
  <c r="G508" i="12"/>
  <c r="G507" i="12"/>
  <c r="G506" i="12"/>
  <c r="G500" i="12"/>
  <c r="G501" i="12" s="1"/>
  <c r="G497" i="12"/>
  <c r="G498" i="12" s="1"/>
  <c r="G494" i="12"/>
  <c r="G493" i="12"/>
  <c r="G492" i="12"/>
  <c r="G491" i="12"/>
  <c r="G490" i="12"/>
  <c r="G489" i="12"/>
  <c r="G483" i="12"/>
  <c r="G484" i="12" s="1"/>
  <c r="G485" i="12" s="1"/>
  <c r="G477" i="12"/>
  <c r="G478" i="12" s="1"/>
  <c r="G479" i="12" s="1"/>
  <c r="G471" i="12"/>
  <c r="G472" i="12" s="1"/>
  <c r="G473" i="12" s="1"/>
  <c r="G465" i="12"/>
  <c r="G466" i="12" s="1"/>
  <c r="G467" i="12" s="1"/>
  <c r="G459" i="12"/>
  <c r="G458" i="12"/>
  <c r="G457" i="12"/>
  <c r="G456" i="12"/>
  <c r="G450" i="12"/>
  <c r="G451" i="12" s="1"/>
  <c r="G452" i="12" s="1"/>
  <c r="G444" i="12"/>
  <c r="G445" i="12" s="1"/>
  <c r="G446" i="12" s="1"/>
  <c r="G438" i="12"/>
  <c r="G439" i="12" s="1"/>
  <c r="G440" i="12" s="1"/>
  <c r="G432" i="12"/>
  <c r="G433" i="12" s="1"/>
  <c r="G434" i="12" s="1"/>
  <c r="G426" i="12"/>
  <c r="G427" i="12" s="1"/>
  <c r="G428" i="12" s="1"/>
  <c r="G420" i="12"/>
  <c r="G421" i="12" s="1"/>
  <c r="G422" i="12" s="1"/>
  <c r="G414" i="12"/>
  <c r="G415" i="12" s="1"/>
  <c r="G416" i="12" s="1"/>
  <c r="G408" i="12"/>
  <c r="G409" i="12" s="1"/>
  <c r="G410" i="12" s="1"/>
  <c r="G402" i="12"/>
  <c r="G403" i="12" s="1"/>
  <c r="G404" i="12" s="1"/>
  <c r="G396" i="12"/>
  <c r="G397" i="12" s="1"/>
  <c r="G398" i="12" s="1"/>
  <c r="G390" i="12"/>
  <c r="G391" i="12" s="1"/>
  <c r="G392" i="12" s="1"/>
  <c r="G384" i="12"/>
  <c r="G385" i="12" s="1"/>
  <c r="G386" i="12" s="1"/>
  <c r="G378" i="12"/>
  <c r="G379" i="12" s="1"/>
  <c r="G380" i="12" s="1"/>
  <c r="G372" i="12"/>
  <c r="G373" i="12" s="1"/>
  <c r="G374" i="12" s="1"/>
  <c r="G366" i="12"/>
  <c r="G367" i="12" s="1"/>
  <c r="G368" i="12" s="1"/>
  <c r="G360" i="12"/>
  <c r="G361" i="12" s="1"/>
  <c r="G362" i="12" s="1"/>
  <c r="G354" i="12"/>
  <c r="G355" i="12" s="1"/>
  <c r="G356" i="12" s="1"/>
  <c r="G348" i="12"/>
  <c r="G349" i="12" s="1"/>
  <c r="G350" i="12" s="1"/>
  <c r="G342" i="12"/>
  <c r="G343" i="12" s="1"/>
  <c r="G344" i="12" s="1"/>
  <c r="G336" i="12"/>
  <c r="G337" i="12" s="1"/>
  <c r="G338" i="12" s="1"/>
  <c r="G330" i="12"/>
  <c r="G331" i="12" s="1"/>
  <c r="G332" i="12" s="1"/>
  <c r="G324" i="12"/>
  <c r="G325" i="12" s="1"/>
  <c r="G326" i="12" s="1"/>
  <c r="G318" i="12"/>
  <c r="G319" i="12" s="1"/>
  <c r="G320" i="12" s="1"/>
  <c r="G312" i="12"/>
  <c r="G313" i="12" s="1"/>
  <c r="G314" i="12" s="1"/>
  <c r="G306" i="12"/>
  <c r="G307" i="12" s="1"/>
  <c r="G308" i="12" s="1"/>
  <c r="G300" i="12"/>
  <c r="G301" i="12" s="1"/>
  <c r="G302" i="12" s="1"/>
  <c r="G294" i="12"/>
  <c r="G295" i="12" s="1"/>
  <c r="G291" i="12"/>
  <c r="G290" i="12"/>
  <c r="G289" i="12"/>
  <c r="G283" i="12"/>
  <c r="G282" i="12"/>
  <c r="G279" i="12"/>
  <c r="G280" i="12" s="1"/>
  <c r="G276" i="12"/>
  <c r="G275" i="12"/>
  <c r="G269" i="12"/>
  <c r="G268" i="12"/>
  <c r="G265" i="12"/>
  <c r="G264" i="12"/>
  <c r="G258" i="12"/>
  <c r="G259" i="12" s="1"/>
  <c r="G260" i="12" s="1"/>
  <c r="G252" i="12"/>
  <c r="G253" i="12" s="1"/>
  <c r="G254" i="12" s="1"/>
  <c r="G246" i="12"/>
  <c r="G247" i="12" s="1"/>
  <c r="G248" i="12" s="1"/>
  <c r="G240" i="12"/>
  <c r="G241" i="12" s="1"/>
  <c r="G242" i="12" s="1"/>
  <c r="G234" i="12"/>
  <c r="G233" i="12"/>
  <c r="G232" i="12"/>
  <c r="G231" i="12"/>
  <c r="G225" i="12"/>
  <c r="G224" i="12"/>
  <c r="G218" i="12"/>
  <c r="G219" i="12" s="1"/>
  <c r="G215" i="12"/>
  <c r="G216" i="12" s="1"/>
  <c r="G212" i="12"/>
  <c r="G211" i="12"/>
  <c r="G210" i="12"/>
  <c r="G209" i="12"/>
  <c r="G208" i="12"/>
  <c r="G207" i="12"/>
  <c r="G201" i="12"/>
  <c r="G202" i="12" s="1"/>
  <c r="G203" i="12" s="1"/>
  <c r="G195" i="12"/>
  <c r="G194" i="12"/>
  <c r="G188" i="12"/>
  <c r="G187" i="12"/>
  <c r="G181" i="12"/>
  <c r="G180" i="12"/>
  <c r="G174" i="12"/>
  <c r="G173" i="12"/>
  <c r="G167" i="12"/>
  <c r="G166" i="12"/>
  <c r="G165" i="12"/>
  <c r="G164" i="12"/>
  <c r="G163" i="12"/>
  <c r="G160" i="12"/>
  <c r="G161" i="12" s="1"/>
  <c r="G154" i="12"/>
  <c r="G153" i="12"/>
  <c r="G152" i="12"/>
  <c r="G149" i="12"/>
  <c r="G150" i="12" s="1"/>
  <c r="G143" i="12"/>
  <c r="G142" i="12"/>
  <c r="G139" i="12"/>
  <c r="G140" i="12" s="1"/>
  <c r="G133" i="12"/>
  <c r="G134" i="12" s="1"/>
  <c r="G130" i="12"/>
  <c r="G131" i="12" s="1"/>
  <c r="G127" i="12"/>
  <c r="G126" i="12"/>
  <c r="G125" i="12"/>
  <c r="G124" i="12"/>
  <c r="G123" i="12"/>
  <c r="G122" i="12"/>
  <c r="G116" i="12"/>
  <c r="G117" i="12" s="1"/>
  <c r="G113" i="12"/>
  <c r="G114" i="12" s="1"/>
  <c r="G110" i="12"/>
  <c r="G109" i="12"/>
  <c r="G108" i="12"/>
  <c r="G107" i="12"/>
  <c r="G106" i="12"/>
  <c r="G105" i="12"/>
  <c r="G99" i="12"/>
  <c r="G98" i="12"/>
  <c r="G95" i="12"/>
  <c r="G94" i="12"/>
  <c r="G93" i="12"/>
  <c r="G87" i="12"/>
  <c r="G88" i="12" s="1"/>
  <c r="G84" i="12"/>
  <c r="G85" i="12" s="1"/>
  <c r="G81" i="12"/>
  <c r="G80" i="12"/>
  <c r="G79" i="12"/>
  <c r="G78" i="12"/>
  <c r="G77" i="12"/>
  <c r="G76" i="12"/>
  <c r="G70" i="12"/>
  <c r="G71" i="12" s="1"/>
  <c r="G67" i="12"/>
  <c r="G68" i="12" s="1"/>
  <c r="G64" i="12"/>
  <c r="G63" i="12"/>
  <c r="G62" i="12"/>
  <c r="G61" i="12"/>
  <c r="G60" i="12"/>
  <c r="G59" i="12"/>
  <c r="G53" i="12"/>
  <c r="G54" i="12" s="1"/>
  <c r="G50" i="12"/>
  <c r="G51" i="12" s="1"/>
  <c r="G47" i="12"/>
  <c r="G46" i="12"/>
  <c r="G45" i="12"/>
  <c r="G44" i="12"/>
  <c r="G43" i="12"/>
  <c r="G42" i="12"/>
  <c r="G36" i="12"/>
  <c r="G37" i="12" s="1"/>
  <c r="G33" i="12"/>
  <c r="G34" i="12" s="1"/>
  <c r="G30" i="12"/>
  <c r="G29" i="12"/>
  <c r="G28" i="12"/>
  <c r="G27" i="12"/>
  <c r="G26" i="12"/>
  <c r="G25" i="12"/>
  <c r="G19" i="12"/>
  <c r="G20" i="12" s="1"/>
  <c r="G16" i="12"/>
  <c r="G17" i="12" s="1"/>
  <c r="G13" i="12"/>
  <c r="G14" i="12" s="1"/>
  <c r="I146" i="9"/>
  <c r="I139" i="9"/>
  <c r="I132" i="9"/>
  <c r="I125" i="9"/>
  <c r="I118" i="9"/>
  <c r="I111" i="9"/>
  <c r="I104" i="9"/>
  <c r="I97" i="9"/>
  <c r="I90" i="9"/>
  <c r="I83" i="9"/>
  <c r="I76" i="9"/>
  <c r="I69" i="9"/>
  <c r="I62" i="9"/>
  <c r="I13" i="9"/>
  <c r="F822" i="3"/>
  <c r="F420" i="3" l="1"/>
  <c r="F734" i="3"/>
  <c r="F475" i="3"/>
  <c r="F431" i="3"/>
  <c r="F595" i="3"/>
  <c r="F680" i="3"/>
  <c r="F486" i="3"/>
  <c r="F752" i="3"/>
  <c r="F453" i="3"/>
  <c r="F691" i="3"/>
  <c r="F606" i="3"/>
  <c r="F770" i="3"/>
  <c r="F442" i="3"/>
  <c r="F464" i="3"/>
  <c r="J6" i="6"/>
  <c r="K6" i="1"/>
  <c r="I6" i="9"/>
  <c r="F6" i="8"/>
  <c r="G6" i="3"/>
  <c r="G6" i="5"/>
  <c r="J6" i="4"/>
  <c r="H6" i="7"/>
  <c r="G6" i="12"/>
  <c r="F617" i="3"/>
  <c r="G189" i="12"/>
  <c r="G190" i="12" s="1"/>
  <c r="G292" i="12"/>
  <c r="G296" i="12" s="1"/>
  <c r="F83" i="3" s="1"/>
  <c r="G855" i="12"/>
  <c r="G856" i="12" s="1"/>
  <c r="G1175" i="12"/>
  <c r="G1176" i="12" s="1"/>
  <c r="G1299" i="12"/>
  <c r="G270" i="12"/>
  <c r="G271" i="12" s="1"/>
  <c r="F204" i="3" s="1"/>
  <c r="G96" i="12"/>
  <c r="G862" i="12"/>
  <c r="G863" i="12" s="1"/>
  <c r="G892" i="12"/>
  <c r="G913" i="12"/>
  <c r="G822" i="12"/>
  <c r="G823" i="12" s="1"/>
  <c r="G144" i="12"/>
  <c r="G145" i="12" s="1"/>
  <c r="F203" i="3" s="1"/>
  <c r="G155" i="12"/>
  <c r="G156" i="12" s="1"/>
  <c r="G1326" i="12"/>
  <c r="G1327" i="12" s="1"/>
  <c r="F664" i="3" s="1"/>
  <c r="G196" i="12"/>
  <c r="G197" i="12" s="1"/>
  <c r="G680" i="12"/>
  <c r="G681" i="12" s="1"/>
  <c r="G764" i="12"/>
  <c r="G765" i="12" s="1"/>
  <c r="G815" i="12"/>
  <c r="G816" i="12" s="1"/>
  <c r="G1156" i="12"/>
  <c r="G1160" i="12" s="1"/>
  <c r="G1218" i="12"/>
  <c r="G1219" i="12" s="1"/>
  <c r="F69" i="3" s="1"/>
  <c r="G277" i="12"/>
  <c r="G542" i="12"/>
  <c r="G549" i="12" s="1"/>
  <c r="F14" i="3" s="1"/>
  <c r="G743" i="12"/>
  <c r="G744" i="12" s="1"/>
  <c r="G869" i="12"/>
  <c r="G870" i="12" s="1"/>
  <c r="F812" i="3" s="1"/>
  <c r="G1010" i="12"/>
  <c r="G1011" i="12" s="1"/>
  <c r="G1143" i="12"/>
  <c r="G1150" i="12" s="1"/>
  <c r="G213" i="12"/>
  <c r="G220" i="12" s="1"/>
  <c r="G284" i="12"/>
  <c r="G781" i="12"/>
  <c r="G782" i="12" s="1"/>
  <c r="F30" i="3" s="1"/>
  <c r="G1336" i="12"/>
  <c r="G1337" i="12" s="1"/>
  <c r="F657" i="3" s="1"/>
  <c r="G1358" i="12"/>
  <c r="G1359" i="12" s="1"/>
  <c r="G801" i="12"/>
  <c r="G802" i="12" s="1"/>
  <c r="G906" i="12"/>
  <c r="G128" i="12"/>
  <c r="G135" i="12" s="1"/>
  <c r="F706" i="3" s="1"/>
  <c r="G633" i="12"/>
  <c r="G634" i="12" s="1"/>
  <c r="G1017" i="12"/>
  <c r="G1018" i="12" s="1"/>
  <c r="G266" i="12"/>
  <c r="G736" i="12"/>
  <c r="G737" i="12" s="1"/>
  <c r="F783" i="3" s="1"/>
  <c r="G794" i="12"/>
  <c r="G795" i="12" s="1"/>
  <c r="F31" i="3" s="1"/>
  <c r="G808" i="12"/>
  <c r="G809" i="12" s="1"/>
  <c r="G841" i="12"/>
  <c r="G842" i="12" s="1"/>
  <c r="G1024" i="12"/>
  <c r="G1025" i="12" s="1"/>
  <c r="G31" i="12"/>
  <c r="G38" i="12" s="1"/>
  <c r="G585" i="12"/>
  <c r="G586" i="12" s="1"/>
  <c r="F127" i="3" s="1"/>
  <c r="G460" i="12"/>
  <c r="G461" i="12" s="1"/>
  <c r="G645" i="12"/>
  <c r="G646" i="12" s="1"/>
  <c r="G1041" i="12"/>
  <c r="G1048" i="12" s="1"/>
  <c r="G100" i="12"/>
  <c r="G557" i="12"/>
  <c r="G564" i="12" s="1"/>
  <c r="F18" i="3" s="1"/>
  <c r="G750" i="12"/>
  <c r="G751" i="12" s="1"/>
  <c r="G1075" i="12"/>
  <c r="G1082" i="12" s="1"/>
  <c r="G757" i="12"/>
  <c r="G758" i="12" s="1"/>
  <c r="G899" i="12"/>
  <c r="G924" i="12"/>
  <c r="G931" i="12" s="1"/>
  <c r="G1109" i="12"/>
  <c r="G1116" i="12" s="1"/>
  <c r="G1126" i="12"/>
  <c r="G1133" i="12" s="1"/>
  <c r="G21" i="12"/>
  <c r="F201" i="3" s="1"/>
  <c r="G175" i="12"/>
  <c r="G176" i="12" s="1"/>
  <c r="G848" i="12"/>
  <c r="G849" i="12" s="1"/>
  <c r="G1092" i="12"/>
  <c r="G1099" i="12" s="1"/>
  <c r="G1169" i="12"/>
  <c r="F63" i="3" s="1"/>
  <c r="G1295" i="12"/>
  <c r="G1300" i="12" s="1"/>
  <c r="G1367" i="12"/>
  <c r="G1368" i="12" s="1"/>
  <c r="G111" i="12"/>
  <c r="G118" i="12" s="1"/>
  <c r="G48" i="12"/>
  <c r="G55" i="12" s="1"/>
  <c r="G65" i="12"/>
  <c r="G72" i="12" s="1"/>
  <c r="G82" i="12"/>
  <c r="G89" i="12" s="1"/>
  <c r="G182" i="12"/>
  <c r="G183" i="12" s="1"/>
  <c r="G226" i="12"/>
  <c r="G227" i="12" s="1"/>
  <c r="G512" i="12"/>
  <c r="G519" i="12" s="1"/>
  <c r="F707" i="3" s="1"/>
  <c r="G573" i="12"/>
  <c r="G574" i="12" s="1"/>
  <c r="F126" i="3" s="1"/>
  <c r="G623" i="12"/>
  <c r="G941" i="12"/>
  <c r="G948" i="12" s="1"/>
  <c r="G1003" i="12"/>
  <c r="G1004" i="12" s="1"/>
  <c r="G1230" i="12"/>
  <c r="G1231" i="12" s="1"/>
  <c r="F70" i="3" s="1"/>
  <c r="G1310" i="12"/>
  <c r="G1317" i="12" s="1"/>
  <c r="G619" i="12"/>
  <c r="G693" i="12"/>
  <c r="G694" i="12" s="1"/>
  <c r="G975" i="12"/>
  <c r="G982" i="12" s="1"/>
  <c r="G1345" i="12"/>
  <c r="G1352" i="12" s="1"/>
  <c r="F15" i="3" s="1"/>
  <c r="G495" i="12"/>
  <c r="G502" i="12" s="1"/>
  <c r="G885" i="12"/>
  <c r="G886" i="12" s="1"/>
  <c r="F649" i="3" s="1"/>
  <c r="G1058" i="12"/>
  <c r="G1065" i="12" s="1"/>
  <c r="G1265" i="12"/>
  <c r="G1272" i="12" s="1"/>
  <c r="G1282" i="12"/>
  <c r="G1289" i="12" s="1"/>
  <c r="G168" i="12"/>
  <c r="G169" i="12" s="1"/>
  <c r="G235" i="12"/>
  <c r="G236" i="12" s="1"/>
  <c r="G527" i="12"/>
  <c r="G534" i="12" s="1"/>
  <c r="F13" i="3" s="1"/>
  <c r="G958" i="12"/>
  <c r="G965" i="12" s="1"/>
  <c r="G991" i="12"/>
  <c r="G992" i="12" s="1"/>
  <c r="G1184" i="12"/>
  <c r="G1185" i="12" s="1"/>
  <c r="F287" i="3" l="1"/>
  <c r="F97" i="3"/>
  <c r="F663" i="3"/>
  <c r="F656" i="3"/>
  <c r="F650" i="3"/>
  <c r="F224" i="3"/>
  <c r="F253" i="3"/>
  <c r="F820" i="3"/>
  <c r="F90" i="3"/>
  <c r="F286" i="3"/>
  <c r="F182" i="3"/>
  <c r="F60" i="3"/>
  <c r="F96" i="3"/>
  <c r="F756" i="3"/>
  <c r="F272" i="3"/>
  <c r="F746" i="3"/>
  <c r="F111" i="3"/>
  <c r="F194" i="3"/>
  <c r="F118" i="3"/>
  <c r="F228" i="3"/>
  <c r="F257" i="3"/>
  <c r="F307" i="3"/>
  <c r="F297" i="3"/>
  <c r="F103" i="3"/>
  <c r="F755" i="3"/>
  <c r="F89" i="3"/>
  <c r="F193" i="3"/>
  <c r="F117" i="3"/>
  <c r="F110" i="3"/>
  <c r="F745" i="3"/>
  <c r="F806" i="3"/>
  <c r="F795" i="3"/>
  <c r="F164" i="3"/>
  <c r="F788" i="3"/>
  <c r="F223" i="3"/>
  <c r="F819" i="3"/>
  <c r="F252" i="3"/>
  <c r="F271" i="3"/>
  <c r="F800" i="3"/>
  <c r="F811" i="3"/>
  <c r="F799" i="3"/>
  <c r="F810" i="3"/>
  <c r="F809" i="3"/>
  <c r="F798" i="3"/>
  <c r="F151" i="3"/>
  <c r="F140" i="3"/>
  <c r="F243" i="3"/>
  <c r="F214" i="3"/>
  <c r="F242" i="3"/>
  <c r="F213" i="3"/>
  <c r="F264" i="3"/>
  <c r="F279" i="3"/>
  <c r="F263" i="3"/>
  <c r="F278" i="3"/>
  <c r="F632" i="3"/>
  <c r="F490" i="3"/>
  <c r="F317" i="3"/>
  <c r="F163" i="3"/>
  <c r="F717" i="3"/>
  <c r="F621" i="3"/>
  <c r="F568" i="3"/>
  <c r="F479" i="3"/>
  <c r="F404" i="3"/>
  <c r="F373" i="3"/>
  <c r="F351" i="3"/>
  <c r="F610" i="3"/>
  <c r="F534" i="3"/>
  <c r="F468" i="3"/>
  <c r="F340" i="3"/>
  <c r="F524" i="3"/>
  <c r="F457" i="3"/>
  <c r="F395" i="3"/>
  <c r="F155" i="3"/>
  <c r="F175" i="3"/>
  <c r="F599" i="3"/>
  <c r="F557" i="3"/>
  <c r="F446" i="3"/>
  <c r="F362" i="3"/>
  <c r="F501" i="3"/>
  <c r="F684" i="3"/>
  <c r="F589" i="3"/>
  <c r="F435" i="3"/>
  <c r="F329" i="3"/>
  <c r="F144" i="3"/>
  <c r="F414" i="3"/>
  <c r="F738" i="3"/>
  <c r="F674" i="3"/>
  <c r="F643" i="3"/>
  <c r="F579" i="3"/>
  <c r="F512" i="3"/>
  <c r="F424" i="3"/>
  <c r="F384" i="3"/>
  <c r="F787" i="3"/>
  <c r="F728" i="3"/>
  <c r="F546" i="3"/>
  <c r="F80" i="3"/>
  <c r="F35" i="3"/>
  <c r="F59" i="3"/>
  <c r="F134" i="3"/>
  <c r="F125" i="3"/>
  <c r="F133" i="3"/>
  <c r="F124" i="3"/>
  <c r="F786" i="3"/>
  <c r="F737" i="3"/>
  <c r="F174" i="3"/>
  <c r="F598" i="3"/>
  <c r="F567" i="3"/>
  <c r="F545" i="3"/>
  <c r="F478" i="3"/>
  <c r="F434" i="3"/>
  <c r="F727" i="3"/>
  <c r="F694" i="3"/>
  <c r="F631" i="3"/>
  <c r="F394" i="3"/>
  <c r="F372" i="3"/>
  <c r="F350" i="3"/>
  <c r="F328" i="3"/>
  <c r="F143" i="3"/>
  <c r="F588" i="3"/>
  <c r="F511" i="3"/>
  <c r="F467" i="3"/>
  <c r="F423" i="3"/>
  <c r="F683" i="3"/>
  <c r="F620" i="3"/>
  <c r="F716" i="3"/>
  <c r="F578" i="3"/>
  <c r="F556" i="3"/>
  <c r="F533" i="3"/>
  <c r="F500" i="3"/>
  <c r="F456" i="3"/>
  <c r="F413" i="3"/>
  <c r="F162" i="3"/>
  <c r="F154" i="3"/>
  <c r="F673" i="3"/>
  <c r="F609" i="3"/>
  <c r="F383" i="3"/>
  <c r="F361" i="3"/>
  <c r="F339" i="3"/>
  <c r="F316" i="3"/>
  <c r="F642" i="3"/>
  <c r="F523" i="3"/>
  <c r="F489" i="3"/>
  <c r="F445" i="3"/>
  <c r="F251" i="3"/>
  <c r="F222" i="3"/>
  <c r="F34" i="3"/>
  <c r="F79" i="3"/>
  <c r="G101" i="12"/>
  <c r="F202" i="3" s="1"/>
  <c r="G900" i="12"/>
  <c r="G914" i="12"/>
  <c r="F207" i="3" s="1"/>
  <c r="G285" i="12"/>
  <c r="F205" i="3" s="1"/>
  <c r="G624" i="12"/>
  <c r="F206" i="3" s="1"/>
  <c r="F256" i="3" l="1"/>
  <c r="G256" i="3" s="1"/>
  <c r="F227" i="3"/>
  <c r="G227" i="3" s="1"/>
  <c r="I55" i="9"/>
  <c r="I48" i="9"/>
  <c r="I41" i="9"/>
  <c r="I34" i="9"/>
  <c r="I27" i="9"/>
  <c r="I20" i="9"/>
  <c r="G820" i="3"/>
  <c r="G819" i="3"/>
  <c r="G813" i="3"/>
  <c r="G812" i="3"/>
  <c r="G811" i="3"/>
  <c r="G810" i="3"/>
  <c r="G809" i="3"/>
  <c r="G806" i="3"/>
  <c r="G807" i="3" s="1"/>
  <c r="G800" i="3"/>
  <c r="G799" i="3"/>
  <c r="G798" i="3"/>
  <c r="G795" i="3"/>
  <c r="G796" i="3" s="1"/>
  <c r="G788" i="3"/>
  <c r="G787" i="3"/>
  <c r="G786" i="3"/>
  <c r="G783" i="3"/>
  <c r="G784" i="3" s="1"/>
  <c r="G777" i="3"/>
  <c r="G778" i="3" s="1"/>
  <c r="G779" i="3" s="1"/>
  <c r="G770" i="3"/>
  <c r="G771" i="3" s="1"/>
  <c r="G772" i="3" s="1"/>
  <c r="G756" i="3"/>
  <c r="G755" i="3"/>
  <c r="G752" i="3"/>
  <c r="G753" i="3" s="1"/>
  <c r="G746" i="3"/>
  <c r="G745" i="3"/>
  <c r="G738" i="3"/>
  <c r="G737" i="3"/>
  <c r="G734" i="3"/>
  <c r="G735" i="3" s="1"/>
  <c r="G728" i="3"/>
  <c r="G727" i="3"/>
  <c r="G724" i="3"/>
  <c r="G725" i="3" s="1"/>
  <c r="G717" i="3"/>
  <c r="G716" i="3"/>
  <c r="G707" i="3"/>
  <c r="G706" i="3"/>
  <c r="G703" i="3"/>
  <c r="G702" i="3"/>
  <c r="G695" i="3"/>
  <c r="G694" i="3"/>
  <c r="G691" i="3"/>
  <c r="G692" i="3" s="1"/>
  <c r="G684" i="3"/>
  <c r="G683" i="3"/>
  <c r="G680" i="3"/>
  <c r="G681" i="3" s="1"/>
  <c r="G674" i="3"/>
  <c r="G673" i="3"/>
  <c r="G670" i="3"/>
  <c r="G671" i="3" s="1"/>
  <c r="G664" i="3"/>
  <c r="G663" i="3"/>
  <c r="G657" i="3"/>
  <c r="G656" i="3"/>
  <c r="G650" i="3"/>
  <c r="G649" i="3"/>
  <c r="G643" i="3"/>
  <c r="G642" i="3"/>
  <c r="G639" i="3"/>
  <c r="G640" i="3" s="1"/>
  <c r="G632" i="3"/>
  <c r="G631" i="3"/>
  <c r="G621" i="3"/>
  <c r="G620" i="3"/>
  <c r="G617" i="3"/>
  <c r="G618" i="3" s="1"/>
  <c r="G610" i="3"/>
  <c r="G609" i="3"/>
  <c r="G606" i="3"/>
  <c r="G607" i="3" s="1"/>
  <c r="G599" i="3"/>
  <c r="G598" i="3"/>
  <c r="G595" i="3"/>
  <c r="G596" i="3" s="1"/>
  <c r="G589" i="3"/>
  <c r="G588" i="3"/>
  <c r="G585" i="3"/>
  <c r="G586" i="3" s="1"/>
  <c r="G579" i="3"/>
  <c r="G578" i="3"/>
  <c r="G575" i="3"/>
  <c r="G574" i="3"/>
  <c r="G568" i="3"/>
  <c r="G567" i="3"/>
  <c r="G564" i="3"/>
  <c r="G563" i="3"/>
  <c r="G557" i="3"/>
  <c r="G556" i="3"/>
  <c r="G553" i="3"/>
  <c r="G552" i="3"/>
  <c r="G546" i="3"/>
  <c r="G545" i="3"/>
  <c r="G542" i="3"/>
  <c r="G541" i="3"/>
  <c r="G534" i="3"/>
  <c r="G533" i="3"/>
  <c r="G524" i="3"/>
  <c r="G523" i="3"/>
  <c r="G520" i="3"/>
  <c r="G519" i="3"/>
  <c r="G512" i="3"/>
  <c r="G511" i="3"/>
  <c r="G501" i="3"/>
  <c r="G500" i="3"/>
  <c r="G490" i="3"/>
  <c r="G489" i="3"/>
  <c r="G486" i="3"/>
  <c r="G487" i="3" s="1"/>
  <c r="G479" i="3"/>
  <c r="G478" i="3"/>
  <c r="G475" i="3"/>
  <c r="G476" i="3" s="1"/>
  <c r="G468" i="3"/>
  <c r="G467" i="3"/>
  <c r="G464" i="3"/>
  <c r="G465" i="3" s="1"/>
  <c r="G457" i="3"/>
  <c r="G456" i="3"/>
  <c r="G453" i="3"/>
  <c r="G454" i="3" s="1"/>
  <c r="G446" i="3"/>
  <c r="G445" i="3"/>
  <c r="G442" i="3"/>
  <c r="G443" i="3" s="1"/>
  <c r="G435" i="3"/>
  <c r="G434" i="3"/>
  <c r="G431" i="3"/>
  <c r="G432" i="3" s="1"/>
  <c r="G424" i="3"/>
  <c r="G423" i="3"/>
  <c r="G420" i="3"/>
  <c r="G421" i="3" s="1"/>
  <c r="G414" i="3"/>
  <c r="G413" i="3"/>
  <c r="G410" i="3"/>
  <c r="G411" i="3" s="1"/>
  <c r="G404" i="3"/>
  <c r="G405" i="3" s="1"/>
  <c r="G401" i="3"/>
  <c r="G402" i="3" s="1"/>
  <c r="G395" i="3"/>
  <c r="G394" i="3"/>
  <c r="G391" i="3"/>
  <c r="G390" i="3"/>
  <c r="G384" i="3"/>
  <c r="G383" i="3"/>
  <c r="G380" i="3"/>
  <c r="G379" i="3"/>
  <c r="G373" i="3"/>
  <c r="G372" i="3"/>
  <c r="G369" i="3"/>
  <c r="G368" i="3"/>
  <c r="G362" i="3"/>
  <c r="G361" i="3"/>
  <c r="G358" i="3"/>
  <c r="G357" i="3"/>
  <c r="G351" i="3"/>
  <c r="G350" i="3"/>
  <c r="G347" i="3"/>
  <c r="G346" i="3"/>
  <c r="G340" i="3"/>
  <c r="G339" i="3"/>
  <c r="G336" i="3"/>
  <c r="G335" i="3"/>
  <c r="G329" i="3"/>
  <c r="G328" i="3"/>
  <c r="G325" i="3"/>
  <c r="G324" i="3"/>
  <c r="G317" i="3"/>
  <c r="G316" i="3"/>
  <c r="G313" i="3"/>
  <c r="G314" i="3" s="1"/>
  <c r="G307" i="3"/>
  <c r="G308" i="3" s="1"/>
  <c r="G304" i="3"/>
  <c r="G303" i="3"/>
  <c r="G297" i="3"/>
  <c r="G298" i="3" s="1"/>
  <c r="G294" i="3"/>
  <c r="G293" i="3"/>
  <c r="G287" i="3"/>
  <c r="G286" i="3"/>
  <c r="G283" i="3"/>
  <c r="G282" i="3"/>
  <c r="G279" i="3"/>
  <c r="G278" i="3"/>
  <c r="G272" i="3"/>
  <c r="G271" i="3"/>
  <c r="G268" i="3"/>
  <c r="G267" i="3"/>
  <c r="G264" i="3"/>
  <c r="G263" i="3"/>
  <c r="G257" i="3"/>
  <c r="G253" i="3"/>
  <c r="G252" i="3"/>
  <c r="G251" i="3"/>
  <c r="G248" i="3"/>
  <c r="G247" i="3"/>
  <c r="G246" i="3"/>
  <c r="G243" i="3"/>
  <c r="G242" i="3"/>
  <c r="G235" i="3"/>
  <c r="G234" i="3"/>
  <c r="G228" i="3"/>
  <c r="G224" i="3"/>
  <c r="G223" i="3"/>
  <c r="G222" i="3"/>
  <c r="G219" i="3"/>
  <c r="G218" i="3"/>
  <c r="G217" i="3"/>
  <c r="G214" i="3"/>
  <c r="G213" i="3"/>
  <c r="G207" i="3"/>
  <c r="G206" i="3"/>
  <c r="G205" i="3"/>
  <c r="G204" i="3"/>
  <c r="G203" i="3"/>
  <c r="G202" i="3"/>
  <c r="G201" i="3"/>
  <c r="G194" i="3"/>
  <c r="G193" i="3"/>
  <c r="G190" i="3"/>
  <c r="G189" i="3"/>
  <c r="G182" i="3"/>
  <c r="G183" i="3" s="1"/>
  <c r="G184" i="3" s="1"/>
  <c r="H37" i="1" s="1"/>
  <c r="G175" i="3"/>
  <c r="G174" i="3"/>
  <c r="G171" i="3"/>
  <c r="G172" i="3" s="1"/>
  <c r="G164" i="3"/>
  <c r="G163" i="3"/>
  <c r="G162" i="3"/>
  <c r="G155" i="3"/>
  <c r="G154" i="3"/>
  <c r="G151" i="3"/>
  <c r="G152" i="3" s="1"/>
  <c r="G144" i="3"/>
  <c r="G143" i="3"/>
  <c r="G140" i="3"/>
  <c r="G141" i="3" s="1"/>
  <c r="G134" i="3"/>
  <c r="G133" i="3"/>
  <c r="G127" i="3"/>
  <c r="G126" i="3"/>
  <c r="G125" i="3"/>
  <c r="G124" i="3"/>
  <c r="G118" i="3"/>
  <c r="G117" i="3"/>
  <c r="G111" i="3"/>
  <c r="G110" i="3"/>
  <c r="G104" i="3"/>
  <c r="G103" i="3"/>
  <c r="G97" i="3"/>
  <c r="G96" i="3"/>
  <c r="G90" i="3"/>
  <c r="G89" i="3"/>
  <c r="G83" i="3"/>
  <c r="G84" i="3" s="1"/>
  <c r="G80" i="3"/>
  <c r="G79" i="3"/>
  <c r="G76" i="3"/>
  <c r="G75" i="3"/>
  <c r="G74" i="3"/>
  <c r="G73" i="3"/>
  <c r="G70" i="3"/>
  <c r="G69" i="3"/>
  <c r="G63" i="3"/>
  <c r="G64" i="3" s="1"/>
  <c r="G60" i="3"/>
  <c r="G59" i="3"/>
  <c r="G56" i="3"/>
  <c r="G55" i="3"/>
  <c r="G54" i="3"/>
  <c r="G53" i="3"/>
  <c r="G47" i="3"/>
  <c r="G48" i="3" s="1"/>
  <c r="G49" i="3" s="1"/>
  <c r="H20" i="1" s="1"/>
  <c r="G41" i="3"/>
  <c r="G42" i="3" s="1"/>
  <c r="G43" i="3" s="1"/>
  <c r="H19" i="1" s="1"/>
  <c r="G35" i="3"/>
  <c r="G34" i="3"/>
  <c r="G31" i="3"/>
  <c r="G30" i="3"/>
  <c r="G24" i="3"/>
  <c r="G25" i="3" s="1"/>
  <c r="G26" i="3" s="1"/>
  <c r="H16" i="1" s="1"/>
  <c r="G18" i="3"/>
  <c r="G19" i="3" s="1"/>
  <c r="G15" i="3"/>
  <c r="G14" i="3"/>
  <c r="G13" i="3"/>
  <c r="F508" i="3" l="1"/>
  <c r="G508" i="3" s="1"/>
  <c r="G509" i="3" s="1"/>
  <c r="F713" i="3"/>
  <c r="G713" i="3" s="1"/>
  <c r="G714" i="3" s="1"/>
  <c r="F763" i="3"/>
  <c r="G763" i="3" s="1"/>
  <c r="G764" i="3" s="1"/>
  <c r="G765" i="3" s="1"/>
  <c r="F497" i="3"/>
  <c r="G497" i="3" s="1"/>
  <c r="G498" i="3" s="1"/>
  <c r="F530" i="3"/>
  <c r="G530" i="3" s="1"/>
  <c r="G531" i="3" s="1"/>
  <c r="F628" i="3"/>
  <c r="G628" i="3" s="1"/>
  <c r="G629" i="3" s="1"/>
  <c r="I16" i="1"/>
  <c r="I37" i="1"/>
  <c r="I19" i="1"/>
  <c r="I20" i="1"/>
  <c r="G265" i="3"/>
  <c r="G821" i="3"/>
  <c r="G822" i="3" s="1"/>
  <c r="G458" i="3"/>
  <c r="G459" i="3" s="1"/>
  <c r="H62" i="1" s="1"/>
  <c r="G814" i="3"/>
  <c r="G815" i="3" s="1"/>
  <c r="G191" i="3"/>
  <c r="G535" i="3"/>
  <c r="G547" i="3"/>
  <c r="G622" i="3"/>
  <c r="G623" i="3" s="1"/>
  <c r="G651" i="3"/>
  <c r="G652" i="3" s="1"/>
  <c r="G359" i="3"/>
  <c r="G436" i="3"/>
  <c r="G437" i="3" s="1"/>
  <c r="H60" i="1" s="1"/>
  <c r="G704" i="3"/>
  <c r="G341" i="3"/>
  <c r="G363" i="3"/>
  <c r="G385" i="3"/>
  <c r="G469" i="3"/>
  <c r="G470" i="3" s="1"/>
  <c r="H63" i="1" s="1"/>
  <c r="G789" i="3"/>
  <c r="G790" i="3" s="1"/>
  <c r="G32" i="3"/>
  <c r="G396" i="3"/>
  <c r="G71" i="3"/>
  <c r="G521" i="3"/>
  <c r="G229" i="3"/>
  <c r="G658" i="3"/>
  <c r="G659" i="3" s="1"/>
  <c r="G225" i="3"/>
  <c r="G696" i="3"/>
  <c r="G697" i="3" s="1"/>
  <c r="G77" i="3"/>
  <c r="G244" i="3"/>
  <c r="G280" i="3"/>
  <c r="G480" i="3"/>
  <c r="G481" i="3" s="1"/>
  <c r="H64" i="1" s="1"/>
  <c r="G91" i="3"/>
  <c r="G92" i="3" s="1"/>
  <c r="H24" i="1" s="1"/>
  <c r="G119" i="3"/>
  <c r="G120" i="3" s="1"/>
  <c r="H28" i="1" s="1"/>
  <c r="G337" i="3"/>
  <c r="G513" i="3"/>
  <c r="G565" i="3"/>
  <c r="G611" i="3"/>
  <c r="G612" i="3" s="1"/>
  <c r="G269" i="3"/>
  <c r="G569" i="3"/>
  <c r="G318" i="3"/>
  <c r="G319" i="3" s="1"/>
  <c r="H49" i="1" s="1"/>
  <c r="G220" i="3"/>
  <c r="G348" i="3"/>
  <c r="G370" i="3"/>
  <c r="G502" i="3"/>
  <c r="G554" i="3"/>
  <c r="G685" i="3"/>
  <c r="G686" i="3" s="1"/>
  <c r="G757" i="3"/>
  <c r="G758" i="3" s="1"/>
  <c r="G81" i="3"/>
  <c r="G135" i="3"/>
  <c r="G136" i="3" s="1"/>
  <c r="H30" i="1" s="1"/>
  <c r="G165" i="3"/>
  <c r="G166" i="3" s="1"/>
  <c r="G558" i="3"/>
  <c r="G580" i="3"/>
  <c r="G665" i="3"/>
  <c r="G666" i="3" s="1"/>
  <c r="G156" i="3"/>
  <c r="G157" i="3" s="1"/>
  <c r="H32" i="1" s="1"/>
  <c r="G16" i="3"/>
  <c r="G20" i="3" s="1"/>
  <c r="H13" i="1" s="1"/>
  <c r="G36" i="3"/>
  <c r="G145" i="3"/>
  <c r="G146" i="3" s="1"/>
  <c r="H31" i="1" s="1"/>
  <c r="G215" i="3"/>
  <c r="G305" i="3"/>
  <c r="G309" i="3" s="1"/>
  <c r="H46" i="1" s="1"/>
  <c r="G330" i="3"/>
  <c r="G392" i="3"/>
  <c r="G397" i="3" s="1"/>
  <c r="H56" i="1" s="1"/>
  <c r="G525" i="3"/>
  <c r="G644" i="3"/>
  <c r="G645" i="3" s="1"/>
  <c r="G61" i="3"/>
  <c r="G98" i="3"/>
  <c r="G99" i="3" s="1"/>
  <c r="H25" i="1" s="1"/>
  <c r="G352" i="3"/>
  <c r="G353" i="3" s="1"/>
  <c r="H52" i="1" s="1"/>
  <c r="G801" i="3"/>
  <c r="G802" i="3" s="1"/>
  <c r="G176" i="3"/>
  <c r="G177" i="3" s="1"/>
  <c r="H35" i="1" s="1"/>
  <c r="G273" i="3"/>
  <c r="G295" i="3"/>
  <c r="G299" i="3" s="1"/>
  <c r="H45" i="1" s="1"/>
  <c r="G600" i="3"/>
  <c r="G601" i="3" s="1"/>
  <c r="G675" i="3"/>
  <c r="G676" i="3" s="1"/>
  <c r="G718" i="3"/>
  <c r="G747" i="3"/>
  <c r="G748" i="3" s="1"/>
  <c r="G128" i="3"/>
  <c r="G129" i="3" s="1"/>
  <c r="H29" i="1" s="1"/>
  <c r="G195" i="3"/>
  <c r="G208" i="3"/>
  <c r="G209" i="3" s="1"/>
  <c r="H39" i="1" s="1"/>
  <c r="G425" i="3"/>
  <c r="G426" i="3" s="1"/>
  <c r="H59" i="1" s="1"/>
  <c r="G576" i="3"/>
  <c r="G543" i="3"/>
  <c r="G105" i="3"/>
  <c r="G106" i="3" s="1"/>
  <c r="H26" i="1" s="1"/>
  <c r="G284" i="3"/>
  <c r="G374" i="3"/>
  <c r="G415" i="3"/>
  <c r="G416" i="3" s="1"/>
  <c r="H58" i="1" s="1"/>
  <c r="G406" i="3"/>
  <c r="H57" i="1" s="1"/>
  <c r="G258" i="3"/>
  <c r="G254" i="3"/>
  <c r="G57" i="3"/>
  <c r="G112" i="3"/>
  <c r="G113" i="3" s="1"/>
  <c r="H27" i="1" s="1"/>
  <c r="G236" i="3"/>
  <c r="G237" i="3" s="1"/>
  <c r="H41" i="1" s="1"/>
  <c r="G288" i="3"/>
  <c r="G326" i="3"/>
  <c r="G491" i="3"/>
  <c r="G492" i="3" s="1"/>
  <c r="H65" i="1" s="1"/>
  <c r="G739" i="3"/>
  <c r="G740" i="3" s="1"/>
  <c r="G590" i="3"/>
  <c r="G591" i="3" s="1"/>
  <c r="G633" i="3"/>
  <c r="G447" i="3"/>
  <c r="G448" i="3" s="1"/>
  <c r="H61" i="1" s="1"/>
  <c r="G249" i="3"/>
  <c r="G381" i="3"/>
  <c r="G708" i="3"/>
  <c r="G729" i="3"/>
  <c r="G730" i="3" s="1"/>
  <c r="H91" i="1" l="1"/>
  <c r="G514" i="3"/>
  <c r="H86" i="1"/>
  <c r="I86" i="1" s="1"/>
  <c r="H103" i="1"/>
  <c r="I103" i="1" s="1"/>
  <c r="G719" i="3"/>
  <c r="H89" i="1" s="1"/>
  <c r="I89" i="1" s="1"/>
  <c r="H90" i="1"/>
  <c r="I90" i="1" s="1"/>
  <c r="H102" i="1"/>
  <c r="I102" i="1" s="1"/>
  <c r="H83" i="1"/>
  <c r="I83" i="1" s="1"/>
  <c r="G634" i="3"/>
  <c r="H80" i="1" s="1"/>
  <c r="I80" i="1" s="1"/>
  <c r="H85" i="1"/>
  <c r="I85" i="1" s="1"/>
  <c r="G536" i="3"/>
  <c r="H70" i="1" s="1"/>
  <c r="I70" i="1" s="1"/>
  <c r="H98" i="1"/>
  <c r="I98" i="1" s="1"/>
  <c r="H75" i="1"/>
  <c r="I75" i="1" s="1"/>
  <c r="H77" i="1"/>
  <c r="I77" i="1" s="1"/>
  <c r="H81" i="1"/>
  <c r="I81" i="1" s="1"/>
  <c r="H94" i="1"/>
  <c r="I94" i="1" s="1"/>
  <c r="H78" i="1"/>
  <c r="I78" i="1" s="1"/>
  <c r="H97" i="1"/>
  <c r="I97" i="1" s="1"/>
  <c r="H84" i="1"/>
  <c r="I84" i="1" s="1"/>
  <c r="G503" i="3"/>
  <c r="H67" i="1" s="1"/>
  <c r="I67" i="1" s="1"/>
  <c r="H105" i="1"/>
  <c r="I105" i="1" s="1"/>
  <c r="H68" i="1"/>
  <c r="I68" i="1" s="1"/>
  <c r="H87" i="1"/>
  <c r="I87" i="1" s="1"/>
  <c r="H101" i="1"/>
  <c r="I101" i="1" s="1"/>
  <c r="H82" i="1"/>
  <c r="I82" i="1" s="1"/>
  <c r="H96" i="1"/>
  <c r="I96" i="1" s="1"/>
  <c r="H93" i="1"/>
  <c r="I93" i="1" s="1"/>
  <c r="H79" i="1"/>
  <c r="I79" i="1" s="1"/>
  <c r="I91" i="1"/>
  <c r="I65" i="1"/>
  <c r="I56" i="1"/>
  <c r="I29" i="1"/>
  <c r="I46" i="1"/>
  <c r="I13" i="1"/>
  <c r="I58" i="1"/>
  <c r="I35" i="1"/>
  <c r="G53" i="4"/>
  <c r="H53" i="4" s="1"/>
  <c r="J37" i="1"/>
  <c r="I59" i="1"/>
  <c r="I32" i="1"/>
  <c r="I57" i="1"/>
  <c r="I39" i="1"/>
  <c r="I60" i="1"/>
  <c r="I62" i="1"/>
  <c r="I41" i="1"/>
  <c r="I52" i="1"/>
  <c r="H100" i="1"/>
  <c r="H34" i="1"/>
  <c r="I63" i="1"/>
  <c r="I61" i="1"/>
  <c r="I27" i="1"/>
  <c r="I26" i="1"/>
  <c r="I25" i="1"/>
  <c r="I31" i="1"/>
  <c r="I30" i="1"/>
  <c r="I28" i="1"/>
  <c r="G55" i="4"/>
  <c r="H55" i="4" s="1"/>
  <c r="J16" i="1"/>
  <c r="J15" i="1" s="1"/>
  <c r="E12" i="15" s="1"/>
  <c r="I64" i="1"/>
  <c r="J19" i="1"/>
  <c r="G32" i="4"/>
  <c r="H32" i="4" s="1"/>
  <c r="I45" i="1"/>
  <c r="I49" i="1"/>
  <c r="I24" i="1"/>
  <c r="J20" i="1"/>
  <c r="G26" i="4"/>
  <c r="H26" i="4" s="1"/>
  <c r="G526" i="3"/>
  <c r="H69" i="1" s="1"/>
  <c r="G196" i="3"/>
  <c r="H38" i="1" s="1"/>
  <c r="G386" i="3"/>
  <c r="H55" i="1" s="1"/>
  <c r="G548" i="3"/>
  <c r="H71" i="1" s="1"/>
  <c r="G709" i="3"/>
  <c r="H88" i="1" s="1"/>
  <c r="G364" i="3"/>
  <c r="H53" i="1" s="1"/>
  <c r="G342" i="3"/>
  <c r="H51" i="1" s="1"/>
  <c r="G37" i="3"/>
  <c r="H18" i="1" s="1"/>
  <c r="G85" i="3"/>
  <c r="H22" i="1" s="1"/>
  <c r="G230" i="3"/>
  <c r="H40" i="1" s="1"/>
  <c r="G559" i="3"/>
  <c r="H72" i="1" s="1"/>
  <c r="G274" i="3"/>
  <c r="H43" i="1" s="1"/>
  <c r="G570" i="3"/>
  <c r="H73" i="1" s="1"/>
  <c r="G581" i="3"/>
  <c r="H74" i="1" s="1"/>
  <c r="G259" i="3"/>
  <c r="H42" i="1" s="1"/>
  <c r="G65" i="3"/>
  <c r="H21" i="1" s="1"/>
  <c r="G375" i="3"/>
  <c r="H54" i="1" s="1"/>
  <c r="G289" i="3"/>
  <c r="H44" i="1" s="1"/>
  <c r="G331" i="3"/>
  <c r="H50" i="1" s="1"/>
  <c r="I40" i="1" l="1"/>
  <c r="G63" i="4"/>
  <c r="H63" i="4" s="1"/>
  <c r="J45" i="1"/>
  <c r="J25" i="1"/>
  <c r="G76" i="4"/>
  <c r="H76" i="4" s="1"/>
  <c r="J101" i="1"/>
  <c r="G41" i="4"/>
  <c r="H41" i="4" s="1"/>
  <c r="J89" i="1"/>
  <c r="G83" i="4"/>
  <c r="H83" i="4" s="1"/>
  <c r="J96" i="1"/>
  <c r="G12" i="4"/>
  <c r="J77" i="1"/>
  <c r="G85" i="4"/>
  <c r="H85" i="4" s="1"/>
  <c r="I22" i="1"/>
  <c r="I34" i="1"/>
  <c r="G15" i="4"/>
  <c r="H15" i="4" s="1"/>
  <c r="J97" i="1"/>
  <c r="G78" i="4"/>
  <c r="H78" i="4" s="1"/>
  <c r="J75" i="1"/>
  <c r="J67" i="1"/>
  <c r="G48" i="4"/>
  <c r="H48" i="4" s="1"/>
  <c r="I18" i="1"/>
  <c r="G44" i="4"/>
  <c r="H44" i="4" s="1"/>
  <c r="J28" i="1"/>
  <c r="J29" i="1"/>
  <c r="G46" i="4"/>
  <c r="H46" i="4" s="1"/>
  <c r="G89" i="4"/>
  <c r="H89" i="4" s="1"/>
  <c r="J86" i="1"/>
  <c r="I42" i="1"/>
  <c r="G60" i="4"/>
  <c r="H60" i="4" s="1"/>
  <c r="J70" i="1"/>
  <c r="G70" i="4"/>
  <c r="H70" i="4" s="1"/>
  <c r="J83" i="1"/>
  <c r="I74" i="1"/>
  <c r="I53" i="1"/>
  <c r="J68" i="1"/>
  <c r="G69" i="4"/>
  <c r="H69" i="4" s="1"/>
  <c r="J24" i="1"/>
  <c r="G82" i="4"/>
  <c r="H82" i="4" s="1"/>
  <c r="J64" i="1"/>
  <c r="G87" i="4"/>
  <c r="H87" i="4" s="1"/>
  <c r="J30" i="1"/>
  <c r="G33" i="4"/>
  <c r="H33" i="4" s="1"/>
  <c r="J52" i="1"/>
  <c r="G23" i="4"/>
  <c r="H23" i="4" s="1"/>
  <c r="J60" i="1"/>
  <c r="G66" i="4"/>
  <c r="H66" i="4" s="1"/>
  <c r="J32" i="1"/>
  <c r="G30" i="4"/>
  <c r="H30" i="4" s="1"/>
  <c r="J56" i="1"/>
  <c r="G42" i="4"/>
  <c r="H42" i="4" s="1"/>
  <c r="G36" i="4"/>
  <c r="H36" i="4" s="1"/>
  <c r="J94" i="1"/>
  <c r="J85" i="1"/>
  <c r="G49" i="4"/>
  <c r="H49" i="4" s="1"/>
  <c r="J84" i="1"/>
  <c r="G74" i="4"/>
  <c r="H74" i="4" s="1"/>
  <c r="I73" i="1"/>
  <c r="I88" i="1"/>
  <c r="J31" i="1"/>
  <c r="G40" i="4"/>
  <c r="H40" i="4" s="1"/>
  <c r="J41" i="1"/>
  <c r="G67" i="4"/>
  <c r="H67" i="4" s="1"/>
  <c r="J59" i="1"/>
  <c r="G84" i="4"/>
  <c r="H84" i="4" s="1"/>
  <c r="G28" i="4"/>
  <c r="H28" i="4" s="1"/>
  <c r="J79" i="1"/>
  <c r="J80" i="1"/>
  <c r="G64" i="4"/>
  <c r="H64" i="4" s="1"/>
  <c r="J103" i="1"/>
  <c r="G35" i="4"/>
  <c r="H35" i="4" s="1"/>
  <c r="I44" i="1"/>
  <c r="I38" i="1"/>
  <c r="G86" i="4"/>
  <c r="H86" i="4" s="1"/>
  <c r="J87" i="1"/>
  <c r="J90" i="1"/>
  <c r="G56" i="4"/>
  <c r="H56" i="4" s="1"/>
  <c r="I54" i="1"/>
  <c r="I69" i="1"/>
  <c r="G31" i="4"/>
  <c r="H31" i="4" s="1"/>
  <c r="J26" i="1"/>
  <c r="G72" i="4"/>
  <c r="H72" i="4" s="1"/>
  <c r="J62" i="1"/>
  <c r="J105" i="1"/>
  <c r="J104" i="1" s="1"/>
  <c r="G73" i="4"/>
  <c r="H73" i="4" s="1"/>
  <c r="I21" i="1"/>
  <c r="I100" i="1"/>
  <c r="J100" i="1" s="1"/>
  <c r="G39" i="4"/>
  <c r="H39" i="4" s="1"/>
  <c r="J78" i="1"/>
  <c r="G45" i="4"/>
  <c r="H45" i="4" s="1"/>
  <c r="J58" i="1"/>
  <c r="I51" i="1"/>
  <c r="J27" i="1"/>
  <c r="G20" i="4"/>
  <c r="H20" i="4" s="1"/>
  <c r="I43" i="1"/>
  <c r="I71" i="1"/>
  <c r="J82" i="1"/>
  <c r="G81" i="4"/>
  <c r="H81" i="4" s="1"/>
  <c r="G24" i="4"/>
  <c r="H24" i="4" s="1"/>
  <c r="J49" i="1"/>
  <c r="J61" i="1"/>
  <c r="G88" i="4"/>
  <c r="H88" i="4" s="1"/>
  <c r="J39" i="1"/>
  <c r="G25" i="4"/>
  <c r="H25" i="4" s="1"/>
  <c r="J13" i="1"/>
  <c r="J12" i="1" s="1"/>
  <c r="G14" i="4"/>
  <c r="H14" i="4" s="1"/>
  <c r="J65" i="1"/>
  <c r="G59" i="4"/>
  <c r="H59" i="4" s="1"/>
  <c r="G75" i="4"/>
  <c r="H75" i="4" s="1"/>
  <c r="J81" i="1"/>
  <c r="J93" i="1"/>
  <c r="G68" i="4"/>
  <c r="H68" i="4" s="1"/>
  <c r="I50" i="1"/>
  <c r="I72" i="1"/>
  <c r="I55" i="1"/>
  <c r="G13" i="4"/>
  <c r="H13" i="4" s="1"/>
  <c r="J98" i="1"/>
  <c r="G65" i="4"/>
  <c r="H65" i="4" s="1"/>
  <c r="J63" i="1"/>
  <c r="J57" i="1"/>
  <c r="G17" i="4"/>
  <c r="H17" i="4" s="1"/>
  <c r="J35" i="1"/>
  <c r="G21" i="4"/>
  <c r="H21" i="4" s="1"/>
  <c r="J46" i="1"/>
  <c r="G61" i="4"/>
  <c r="H61" i="4" s="1"/>
  <c r="G57" i="4"/>
  <c r="H57" i="4" s="1"/>
  <c r="J102" i="1"/>
  <c r="G16" i="4"/>
  <c r="H16" i="4" s="1"/>
  <c r="J91" i="1"/>
  <c r="T98" i="1" l="1"/>
  <c r="S97" i="1"/>
  <c r="S99" i="1" s="1"/>
  <c r="AA98" i="1"/>
  <c r="E15" i="15"/>
  <c r="AA96" i="1"/>
  <c r="E13" i="15"/>
  <c r="E16" i="15"/>
  <c r="F16" i="15" s="1"/>
  <c r="J55" i="1"/>
  <c r="G18" i="4"/>
  <c r="H18" i="4" s="1"/>
  <c r="G50" i="4"/>
  <c r="H50" i="4" s="1"/>
  <c r="J51" i="1"/>
  <c r="G51" i="4"/>
  <c r="H51" i="4" s="1"/>
  <c r="J38" i="1"/>
  <c r="J50" i="1"/>
  <c r="G52" i="4"/>
  <c r="H52" i="4" s="1"/>
  <c r="G37" i="4"/>
  <c r="H37" i="4" s="1"/>
  <c r="J21" i="1"/>
  <c r="G62" i="4"/>
  <c r="H62" i="4" s="1"/>
  <c r="J69" i="1"/>
  <c r="G71" i="4"/>
  <c r="H71" i="4" s="1"/>
  <c r="J72" i="1"/>
  <c r="J88" i="1"/>
  <c r="J76" i="1" s="1"/>
  <c r="G54" i="4"/>
  <c r="H54" i="4" s="1"/>
  <c r="J74" i="1"/>
  <c r="G77" i="4"/>
  <c r="H77" i="4" s="1"/>
  <c r="G27" i="4"/>
  <c r="H27" i="4" s="1"/>
  <c r="J22" i="1"/>
  <c r="J71" i="1"/>
  <c r="G80" i="4"/>
  <c r="H80" i="4" s="1"/>
  <c r="G22" i="4"/>
  <c r="H22" i="4" s="1"/>
  <c r="J54" i="1"/>
  <c r="G38" i="4"/>
  <c r="H38" i="4" s="1"/>
  <c r="J44" i="1"/>
  <c r="G79" i="4"/>
  <c r="H79" i="4" s="1"/>
  <c r="J73" i="1"/>
  <c r="J40" i="1"/>
  <c r="G34" i="4"/>
  <c r="H34" i="4" s="1"/>
  <c r="J43" i="1"/>
  <c r="G43" i="4"/>
  <c r="H43" i="4" s="1"/>
  <c r="G47" i="4"/>
  <c r="H47" i="4" s="1"/>
  <c r="J53" i="1"/>
  <c r="G29" i="4"/>
  <c r="H29" i="4" s="1"/>
  <c r="J42" i="1"/>
  <c r="J18" i="1"/>
  <c r="G58" i="4"/>
  <c r="H58" i="4" s="1"/>
  <c r="J34" i="1"/>
  <c r="G19" i="4"/>
  <c r="H19" i="4" s="1"/>
  <c r="D11" i="2"/>
  <c r="C12" i="6"/>
  <c r="D19" i="2"/>
  <c r="C28" i="6"/>
  <c r="I29" i="6" s="1"/>
  <c r="J29" i="6" s="1"/>
  <c r="J23" i="1"/>
  <c r="J92" i="1"/>
  <c r="T97" i="1" l="1"/>
  <c r="T96" i="1"/>
  <c r="T99" i="1"/>
  <c r="AA99" i="1"/>
  <c r="F12" i="15"/>
  <c r="J66" i="1"/>
  <c r="J48" i="1"/>
  <c r="D13" i="2"/>
  <c r="C16" i="6"/>
  <c r="J17" i="1"/>
  <c r="J14" i="1" s="1"/>
  <c r="J36" i="1"/>
  <c r="J33" i="1"/>
  <c r="J99" i="1"/>
  <c r="G17" i="6" l="1"/>
  <c r="J17" i="6" s="1"/>
  <c r="J47" i="1"/>
  <c r="C22" i="6" s="1"/>
  <c r="D15" i="2"/>
  <c r="C20" i="6"/>
  <c r="H21" i="6" s="1"/>
  <c r="J21" i="6" s="1"/>
  <c r="D18" i="2"/>
  <c r="C26" i="6"/>
  <c r="D14" i="2"/>
  <c r="C18" i="6"/>
  <c r="D12" i="2"/>
  <c r="C14" i="6"/>
  <c r="D15" i="6" s="1"/>
  <c r="D16" i="2" l="1"/>
  <c r="F15" i="6"/>
  <c r="H23" i="6"/>
  <c r="I23" i="6"/>
  <c r="H19" i="6"/>
  <c r="G19" i="6"/>
  <c r="I27" i="6"/>
  <c r="H27" i="6"/>
  <c r="J27" i="6" s="1"/>
  <c r="J23" i="6" l="1"/>
  <c r="J19" i="6"/>
  <c r="J15" i="6"/>
  <c r="H12" i="4"/>
  <c r="H90" i="4" s="1"/>
  <c r="J95" i="1" l="1"/>
  <c r="S101" i="1" l="1"/>
  <c r="S100" i="1"/>
  <c r="U96" i="1"/>
  <c r="U98" i="1"/>
  <c r="Y96" i="1"/>
  <c r="Y98" i="1"/>
  <c r="X98" i="1"/>
  <c r="U97" i="1"/>
  <c r="X96" i="1"/>
  <c r="D17" i="2"/>
  <c r="J107" i="1"/>
  <c r="C24" i="6"/>
  <c r="X100" i="1" l="1"/>
  <c r="W98" i="1"/>
  <c r="V98" i="1"/>
  <c r="V96" i="1"/>
  <c r="W96" i="1"/>
  <c r="C30" i="6"/>
  <c r="E25" i="6"/>
  <c r="D25" i="6"/>
  <c r="K61" i="1"/>
  <c r="I88" i="4" s="1"/>
  <c r="K87" i="1"/>
  <c r="I86" i="4" s="1"/>
  <c r="K59" i="1"/>
  <c r="I84" i="4" s="1"/>
  <c r="K24" i="1"/>
  <c r="I82" i="4" s="1"/>
  <c r="K71" i="1"/>
  <c r="I80" i="4" s="1"/>
  <c r="K75" i="1"/>
  <c r="I78" i="4" s="1"/>
  <c r="K25" i="1"/>
  <c r="I76" i="4" s="1"/>
  <c r="K81" i="1"/>
  <c r="I75" i="4" s="1"/>
  <c r="K62" i="1"/>
  <c r="I72" i="4" s="1"/>
  <c r="K83" i="1"/>
  <c r="I70" i="4" s="1"/>
  <c r="K41" i="1"/>
  <c r="I67" i="4" s="1"/>
  <c r="K60" i="1"/>
  <c r="I66" i="4" s="1"/>
  <c r="K80" i="1"/>
  <c r="I64" i="4" s="1"/>
  <c r="K70" i="1"/>
  <c r="I60" i="4" s="1"/>
  <c r="K65" i="1"/>
  <c r="I59" i="4" s="1"/>
  <c r="K16" i="1"/>
  <c r="I55" i="4" s="1"/>
  <c r="K88" i="1"/>
  <c r="I54" i="4" s="1"/>
  <c r="K37" i="1"/>
  <c r="I53" i="4" s="1"/>
  <c r="K38" i="1"/>
  <c r="I51" i="4" s="1"/>
  <c r="K51" i="1"/>
  <c r="I50" i="4" s="1"/>
  <c r="K53" i="1"/>
  <c r="I47" i="4" s="1"/>
  <c r="K58" i="1"/>
  <c r="I45" i="4" s="1"/>
  <c r="K45" i="1"/>
  <c r="I63" i="4" s="1"/>
  <c r="K46" i="1"/>
  <c r="I61" i="4" s="1"/>
  <c r="K31" i="1"/>
  <c r="I40" i="4" s="1"/>
  <c r="K78" i="1"/>
  <c r="I39" i="4" s="1"/>
  <c r="K103" i="1"/>
  <c r="I35" i="4" s="1"/>
  <c r="K30" i="1"/>
  <c r="I33" i="4" s="1"/>
  <c r="K26" i="1"/>
  <c r="I31" i="4" s="1"/>
  <c r="K79" i="1"/>
  <c r="I28" i="4" s="1"/>
  <c r="K42" i="1"/>
  <c r="I29" i="4" s="1"/>
  <c r="K39" i="1"/>
  <c r="I25" i="4" s="1"/>
  <c r="K49" i="1"/>
  <c r="I24" i="4" s="1"/>
  <c r="K55" i="1"/>
  <c r="I18" i="4" s="1"/>
  <c r="K91" i="1"/>
  <c r="I16" i="4" s="1"/>
  <c r="K77" i="1"/>
  <c r="I85" i="4" s="1"/>
  <c r="K69" i="1"/>
  <c r="I62" i="4" s="1"/>
  <c r="K50" i="1"/>
  <c r="I52" i="4" s="1"/>
  <c r="K43" i="1"/>
  <c r="I43" i="4" s="1"/>
  <c r="K94" i="1"/>
  <c r="I36" i="4" s="1"/>
  <c r="K21" i="1"/>
  <c r="I37" i="4" s="1"/>
  <c r="K13" i="1"/>
  <c r="K100" i="1"/>
  <c r="K89" i="1"/>
  <c r="I83" i="4" s="1"/>
  <c r="K82" i="1"/>
  <c r="I81" i="4" s="1"/>
  <c r="K74" i="1"/>
  <c r="I77" i="4" s="1"/>
  <c r="K72" i="1"/>
  <c r="I71" i="4" s="1"/>
  <c r="K63" i="1"/>
  <c r="I65" i="4" s="1"/>
  <c r="K18" i="1"/>
  <c r="I58" i="4" s="1"/>
  <c r="K29" i="1"/>
  <c r="I46" i="4" s="1"/>
  <c r="K44" i="1"/>
  <c r="I38" i="4" s="1"/>
  <c r="K22" i="1"/>
  <c r="I27" i="4" s="1"/>
  <c r="K27" i="1"/>
  <c r="I20" i="4" s="1"/>
  <c r="K64" i="1"/>
  <c r="I87" i="4" s="1"/>
  <c r="K68" i="1"/>
  <c r="I69" i="4" s="1"/>
  <c r="K102" i="1"/>
  <c r="I57" i="4" s="1"/>
  <c r="K85" i="1"/>
  <c r="I49" i="4" s="1"/>
  <c r="K56" i="1"/>
  <c r="I42" i="4" s="1"/>
  <c r="K32" i="1"/>
  <c r="I30" i="4" s="1"/>
  <c r="K54" i="1"/>
  <c r="I22" i="4" s="1"/>
  <c r="K86" i="1"/>
  <c r="I89" i="4" s="1"/>
  <c r="K73" i="1"/>
  <c r="I79" i="4" s="1"/>
  <c r="K84" i="1"/>
  <c r="I74" i="4" s="1"/>
  <c r="K105" i="1"/>
  <c r="I73" i="4" s="1"/>
  <c r="K93" i="1"/>
  <c r="I68" i="4" s="1"/>
  <c r="K90" i="1"/>
  <c r="I56" i="4" s="1"/>
  <c r="K28" i="1"/>
  <c r="I44" i="4" s="1"/>
  <c r="K67" i="1"/>
  <c r="I48" i="4" s="1"/>
  <c r="K101" i="1"/>
  <c r="I41" i="4" s="1"/>
  <c r="K40" i="1"/>
  <c r="I34" i="4" s="1"/>
  <c r="K19" i="1"/>
  <c r="I32" i="4" s="1"/>
  <c r="K52" i="1"/>
  <c r="I23" i="4" s="1"/>
  <c r="K97" i="1"/>
  <c r="I15" i="4" s="1"/>
  <c r="K20" i="1"/>
  <c r="I26" i="4" s="1"/>
  <c r="K35" i="1"/>
  <c r="I21" i="4" s="1"/>
  <c r="K34" i="1"/>
  <c r="K98" i="1"/>
  <c r="I13" i="4" s="1"/>
  <c r="K57" i="1"/>
  <c r="I17" i="4" s="1"/>
  <c r="K96" i="1"/>
  <c r="I12" i="4" s="1"/>
  <c r="J12" i="4" s="1"/>
  <c r="K12" i="4" s="1"/>
  <c r="F25" i="6"/>
  <c r="H25" i="6"/>
  <c r="I25" i="6"/>
  <c r="G25" i="6"/>
  <c r="E21" i="2"/>
  <c r="F17" i="2" s="1"/>
  <c r="F12" i="6" l="1"/>
  <c r="E30" i="6"/>
  <c r="G12" i="6"/>
  <c r="D22" i="15" s="1"/>
  <c r="I12" i="6"/>
  <c r="D35" i="15" s="1"/>
  <c r="E35" i="15" s="1"/>
  <c r="F35" i="15" s="1"/>
  <c r="H12" i="6"/>
  <c r="D29" i="15" s="1"/>
  <c r="E29" i="15" s="1"/>
  <c r="F29" i="15" s="1"/>
  <c r="V99" i="1"/>
  <c r="W99" i="1"/>
  <c r="J25" i="6"/>
  <c r="I19" i="4"/>
  <c r="J13" i="4"/>
  <c r="K13" i="4" s="1"/>
  <c r="F11" i="2"/>
  <c r="F13" i="2"/>
  <c r="F19" i="2"/>
  <c r="F12" i="2"/>
  <c r="F16" i="2"/>
  <c r="F14" i="2"/>
  <c r="F15" i="2"/>
  <c r="F18" i="2"/>
  <c r="K107" i="1"/>
  <c r="I14" i="4"/>
  <c r="E22" i="15" l="1"/>
  <c r="F22" i="15" s="1"/>
  <c r="F13" i="6"/>
  <c r="F30" i="6" s="1"/>
  <c r="D19" i="15"/>
  <c r="E19" i="15" s="1"/>
  <c r="F19" i="15" s="1"/>
  <c r="D30" i="6"/>
  <c r="D31" i="6" s="1"/>
  <c r="E31" i="6" s="1"/>
  <c r="G13" i="6"/>
  <c r="G30" i="6" s="1"/>
  <c r="J12" i="6"/>
  <c r="H13" i="6"/>
  <c r="H30" i="6" s="1"/>
  <c r="J14" i="4"/>
  <c r="K14" i="4" s="1"/>
  <c r="F21" i="2"/>
  <c r="F31" i="6" l="1"/>
  <c r="G31" i="6" s="1"/>
  <c r="H31" i="6" s="1"/>
  <c r="J15" i="4"/>
  <c r="J16" i="4" s="1"/>
  <c r="F38" i="15" l="1"/>
  <c r="G22" i="15" s="1"/>
  <c r="K15" i="4"/>
  <c r="K16" i="4"/>
  <c r="J17" i="4"/>
  <c r="G12" i="15" l="1"/>
  <c r="G35" i="15"/>
  <c r="G29" i="15"/>
  <c r="G19" i="15"/>
  <c r="G16" i="15"/>
  <c r="I13" i="6"/>
  <c r="K17" i="4"/>
  <c r="J18" i="4"/>
  <c r="I30" i="6" l="1"/>
  <c r="I31" i="6" s="1"/>
  <c r="J13" i="6"/>
  <c r="J30" i="6" s="1"/>
  <c r="K18" i="4"/>
  <c r="J19" i="4"/>
  <c r="K19" i="4" l="1"/>
  <c r="J20" i="4"/>
  <c r="K20" i="4" l="1"/>
  <c r="J21" i="4"/>
  <c r="K21" i="4" l="1"/>
  <c r="J22" i="4"/>
  <c r="K22" i="4" l="1"/>
  <c r="J23" i="4"/>
  <c r="K23" i="4" l="1"/>
  <c r="J24" i="4"/>
  <c r="K24" i="4" l="1"/>
  <c r="J25" i="4"/>
  <c r="J26" i="4" s="1"/>
  <c r="J27" i="4" s="1"/>
  <c r="J28" i="4" s="1"/>
  <c r="J29" i="4" s="1"/>
  <c r="J30" i="4" s="1"/>
  <c r="J31" i="4" s="1"/>
  <c r="J32" i="4" s="1"/>
  <c r="J33" i="4" s="1"/>
  <c r="J34" i="4" s="1"/>
  <c r="J35" i="4" s="1"/>
  <c r="J36" i="4" s="1"/>
  <c r="J37" i="4" s="1"/>
  <c r="J38" i="4" s="1"/>
  <c r="J39" i="4" s="1"/>
  <c r="J40" i="4" s="1"/>
  <c r="J41" i="4" s="1"/>
  <c r="J42" i="4" s="1"/>
  <c r="J43" i="4" s="1"/>
  <c r="J44" i="4" s="1"/>
  <c r="J45" i="4" s="1"/>
  <c r="J46" i="4" s="1"/>
  <c r="J47" i="4" s="1"/>
  <c r="J48" i="4" s="1"/>
  <c r="J49" i="4" s="1"/>
  <c r="J50" i="4" s="1"/>
  <c r="J51" i="4" s="1"/>
  <c r="J52" i="4" s="1"/>
  <c r="J53" i="4" s="1"/>
  <c r="J54" i="4" s="1"/>
  <c r="J55" i="4" s="1"/>
  <c r="J56" i="4" s="1"/>
  <c r="J57" i="4" s="1"/>
  <c r="J58" i="4" s="1"/>
  <c r="J59" i="4" s="1"/>
  <c r="J60" i="4" s="1"/>
  <c r="J61" i="4" s="1"/>
  <c r="J62" i="4" s="1"/>
  <c r="J63" i="4" s="1"/>
  <c r="J64" i="4" s="1"/>
  <c r="J65" i="4" s="1"/>
  <c r="J66" i="4" s="1"/>
  <c r="J67" i="4" s="1"/>
  <c r="J68" i="4" s="1"/>
  <c r="J69" i="4" s="1"/>
  <c r="J70" i="4" s="1"/>
  <c r="J71" i="4" s="1"/>
  <c r="J72" i="4" s="1"/>
  <c r="J73" i="4" s="1"/>
  <c r="J74" i="4" s="1"/>
  <c r="J75" i="4" s="1"/>
  <c r="J76" i="4" s="1"/>
  <c r="J77" i="4" s="1"/>
  <c r="J78" i="4" s="1"/>
  <c r="J79" i="4" s="1"/>
  <c r="J80" i="4" s="1"/>
  <c r="J81" i="4" s="1"/>
  <c r="J82" i="4" s="1"/>
  <c r="J83" i="4" s="1"/>
  <c r="J84" i="4" s="1"/>
  <c r="J85" i="4" s="1"/>
  <c r="J86" i="4" s="1"/>
  <c r="J87" i="4" s="1"/>
  <c r="J88" i="4" s="1"/>
  <c r="J89" i="4" s="1"/>
  <c r="K25" i="4" l="1"/>
  <c r="K26" i="4" l="1"/>
  <c r="K27" i="4" l="1"/>
  <c r="K28" i="4" l="1"/>
  <c r="K29" i="4" l="1"/>
  <c r="K30" i="4" l="1"/>
  <c r="K31" i="4" l="1"/>
  <c r="K32" i="4" l="1"/>
  <c r="K33" i="4" l="1"/>
  <c r="K34" i="4" l="1"/>
  <c r="K35" i="4" l="1"/>
  <c r="K36" i="4" l="1"/>
  <c r="K37" i="4" l="1"/>
  <c r="K38" i="4" l="1"/>
  <c r="K39" i="4" l="1"/>
  <c r="K40" i="4" l="1"/>
  <c r="K41" i="4" l="1"/>
  <c r="K42" i="4" l="1"/>
  <c r="K43" i="4" l="1"/>
  <c r="K44" i="4" l="1"/>
  <c r="K45" i="4" l="1"/>
  <c r="K46" i="4" l="1"/>
  <c r="K47" i="4" l="1"/>
  <c r="K48" i="4" l="1"/>
  <c r="K49" i="4" l="1"/>
  <c r="K50" i="4" l="1"/>
  <c r="K51" i="4" l="1"/>
  <c r="K52" i="4" l="1"/>
  <c r="K53" i="4" l="1"/>
  <c r="K54" i="4" l="1"/>
  <c r="K55" i="4" l="1"/>
  <c r="K56" i="4" l="1"/>
  <c r="K57" i="4" l="1"/>
  <c r="K58" i="4" l="1"/>
  <c r="K59" i="4" l="1"/>
  <c r="K60" i="4" l="1"/>
  <c r="K61" i="4" l="1"/>
  <c r="K62" i="4" l="1"/>
  <c r="K63" i="4" l="1"/>
  <c r="K64" i="4" l="1"/>
  <c r="K65" i="4" l="1"/>
  <c r="K66" i="4" l="1"/>
  <c r="K67" i="4" l="1"/>
  <c r="K68" i="4" l="1"/>
  <c r="K69" i="4" l="1"/>
  <c r="K70" i="4" l="1"/>
  <c r="K71" i="4" l="1"/>
  <c r="K72" i="4" l="1"/>
  <c r="K73" i="4" l="1"/>
  <c r="K74" i="4" l="1"/>
  <c r="K75" i="4" l="1"/>
  <c r="K76" i="4" l="1"/>
  <c r="K77" i="4" l="1"/>
  <c r="K78" i="4" l="1"/>
  <c r="K79" i="4" l="1"/>
  <c r="K80" i="4" l="1"/>
  <c r="K81" i="4" l="1"/>
  <c r="K82" i="4" l="1"/>
  <c r="K83" i="4" l="1"/>
  <c r="K84" i="4" l="1"/>
  <c r="K85" i="4" l="1"/>
  <c r="K86" i="4" l="1"/>
  <c r="K87" i="4" l="1"/>
  <c r="K88" i="4" l="1"/>
  <c r="K89" i="4"/>
</calcChain>
</file>

<file path=xl/sharedStrings.xml><?xml version="1.0" encoding="utf-8"?>
<sst xmlns="http://schemas.openxmlformats.org/spreadsheetml/2006/main" count="8924" uniqueCount="1430">
  <si>
    <t xml:space="preserve">
</t>
  </si>
  <si>
    <t>ITEM</t>
  </si>
  <si>
    <t>CÓDIGO</t>
  </si>
  <si>
    <t>DESCRIÇÃO</t>
  </si>
  <si>
    <t>FONTE</t>
  </si>
  <si>
    <t>UND</t>
  </si>
  <si>
    <t>QUANTIDADE</t>
  </si>
  <si>
    <t>PREÇO
TOTAL R$</t>
  </si>
  <si>
    <t>1</t>
  </si>
  <si>
    <t>ADMINISTRAÇÃO DA OBRA</t>
  </si>
  <si>
    <t>1.1</t>
  </si>
  <si>
    <t>JFPB-23162206</t>
  </si>
  <si>
    <t>ADMINISTRAÇÃO LOCAL DA OBRA - MODERNIZAÇÃO DA SUBESTAÇÃO DE ENERGIA ELÉTRICA DA SEDE DA JUSTIÇA FEDERAL NA PARAÍBA</t>
  </si>
  <si>
    <t>Composições Próprias</t>
  </si>
  <si>
    <t>UN</t>
  </si>
  <si>
    <t>2</t>
  </si>
  <si>
    <t>SERVIÇOS INICIAIS</t>
  </si>
  <si>
    <t>2.1</t>
  </si>
  <si>
    <t>TAXAS E EMOLUMENTOS</t>
  </si>
  <si>
    <t>2.1.1</t>
  </si>
  <si>
    <t>JCA-ART-002-2024</t>
  </si>
  <si>
    <t>ANOTAÇÃO DE RESPONSABILIDADE TÉCNICA JUNTO AO CREA - ART PRINCIPAL - FAIXA ACIMA DE R$ 15.000,00 (2024)</t>
  </si>
  <si>
    <t>2.2</t>
  </si>
  <si>
    <t>CANTEIRO DE OBRAS</t>
  </si>
  <si>
    <t>2.2.1</t>
  </si>
  <si>
    <t>INSTALAÇÃO E DESINSTALAÇÃO MECANIZADA DE CONTÊINER OU MÓDULO HABITÁVEL DE USOS DIVERSOS. AF_03/2024</t>
  </si>
  <si>
    <t>SINAPI</t>
  </si>
  <si>
    <t>2.2.2</t>
  </si>
  <si>
    <t>LOCACAO DE CONTAINER 2,30 X 6,00 M, ALT. 2,50 M, PARA ESCRITORIO, SEM DIVISORIAS INTERNAS E SEM SANITARIO (NAO INCLUI MOBILIZACAO/DESMOBILIZACAO)</t>
  </si>
  <si>
    <t>MES</t>
  </si>
  <si>
    <t>2.2.3</t>
  </si>
  <si>
    <t>LOCACAO DE CONTAINER 2,30 X 6,00 M, ALT. 2,50 M, PARA SANITARIO, COM 4 BACIAS, 8 CHUVEIROS,1 LAVATORIO E 1 MICTORIO (NAO INCLUI MOBILIZACAO/DESMOBILIZACAO)</t>
  </si>
  <si>
    <t>2.2.4</t>
  </si>
  <si>
    <t>FORNECIMENTO E INSTALAÇÃO DE PLACA DE OBRA COM CHAPA GALVANIZADA E ESTRUTURA DE MADEIRA. AF_03/2022_PS</t>
  </si>
  <si>
    <t>M2</t>
  </si>
  <si>
    <t>2.2.5</t>
  </si>
  <si>
    <t>TAPUME COM TELHA METÁLICA. AF_03/2024</t>
  </si>
  <si>
    <t>3</t>
  </si>
  <si>
    <t>DEMOLIÇÕES E RETIRADAS</t>
  </si>
  <si>
    <t>3.1</t>
  </si>
  <si>
    <t>REMOÇÃO DE PORTAS, DE FORMA MANUAL, SEM REAPROVEITAMENTO. AF_09/2023</t>
  </si>
  <si>
    <t>3.2</t>
  </si>
  <si>
    <t>REMOÇÃO DE TELHAS DE FIBROCIMENTO METÁLICA E CERÂMICA, DE FORMA MANUAL, SEM REAPROVEITAMENTO. AF_09/2023</t>
  </si>
  <si>
    <t>3.3</t>
  </si>
  <si>
    <t>DEMOLIÇÃO DE ALVENARIA DE BLOCO FURADO, DE FORMA MANUAL, SEM REAPROVEITAMENTO. AF_09/2023</t>
  </si>
  <si>
    <t>M3</t>
  </si>
  <si>
    <t>3.4</t>
  </si>
  <si>
    <t>DEMOLIÇÃO DE LAJES, EM CONCRETO ARMADO, DE FORMA MANUAL, SEM REAPROVEITAMENTO. AF_09/2023</t>
  </si>
  <si>
    <t>3.5</t>
  </si>
  <si>
    <t>DEMOLIÇÃO DE PILARES E VIGAS EM CONCRETO ARMADO, DE FORMA MANUAL, SEM REAPROVEITAMENTO. AF_09/2023</t>
  </si>
  <si>
    <t>3.6</t>
  </si>
  <si>
    <t>CARGA, MANOBRA E DESCARGA DE ENTULHO EM CAMINHÃO BASCULANTE 10 M³ - CARGA COM ESCAVADEIRA HIDRÁULICA (CAÇAMBA DE 0,80 M³ / 111 HP) E DESCARGA LIVRE (UNIDADE: M3). AF_07/2020</t>
  </si>
  <si>
    <t>3.7</t>
  </si>
  <si>
    <t>TRANSPORTE COM CAMINHÃO BASCULANTE DE 10 M³, EM VIA URBANA PAVIMENTADA, DMT ATÉ 30 KM (UNIDADE: M3XKM). AF_07/2020</t>
  </si>
  <si>
    <t>M3XKM</t>
  </si>
  <si>
    <t>3.8</t>
  </si>
  <si>
    <t>JFPB-78575372</t>
  </si>
  <si>
    <t>RETIRADA DE TRANSFORMADOR A ÓLEO</t>
  </si>
  <si>
    <t>CJ</t>
  </si>
  <si>
    <t>3.9</t>
  </si>
  <si>
    <t>JFPB-83751331</t>
  </si>
  <si>
    <t>RETIRADA DE GRUPO GERADOR A ÓLEO NÃO CABINADO</t>
  </si>
  <si>
    <t>4</t>
  </si>
  <si>
    <t>INSTALAÇÃO PROVISÓRIA DO GERADOR</t>
  </si>
  <si>
    <t>4.1</t>
  </si>
  <si>
    <t>JFPB-57729649</t>
  </si>
  <si>
    <t>SERVIÇOS DE INSTALAÇÃO DE GRUPO GERADOR DIESEL, COM CARENAGEM, POTENCIA STAND-BY 750 KVA, 380/220 V, FREQUÊNCIA DE 60 HZ</t>
  </si>
  <si>
    <t>4.2</t>
  </si>
  <si>
    <t>JFPB-54419820</t>
  </si>
  <si>
    <t>SERVIÇO DE INSTALAÇÃO DE CABO DE COBRE FLEXÍVEL ISOLADO, 500 MM², ANTI-CHAMA 0,6/1,0 KV, PARA REDE DE DISTRIBUIÇÃO DE ENERGIA ELÉTRICA - FORNECIMENTO E INSTALAÇÃO.</t>
  </si>
  <si>
    <t>M</t>
  </si>
  <si>
    <t>5</t>
  </si>
  <si>
    <t>OBRAS CIVIS</t>
  </si>
  <si>
    <t>5.1</t>
  </si>
  <si>
    <t>JFPB-83571042</t>
  </si>
  <si>
    <t>PREPARAÇÃO DO PISO EM CONCRETO COM LIXAMENTO / APICOAMENTO PARA REMOÇÃO DA CAMADA DE ACABAMENTO</t>
  </si>
  <si>
    <t>5.2</t>
  </si>
  <si>
    <t>JFPB-26610867</t>
  </si>
  <si>
    <t>PONTE DE ADERÊNCIA COM ADESIVO BASE ACRÍLICA</t>
  </si>
  <si>
    <t>5.3</t>
  </si>
  <si>
    <t>EXECUÇÃO DE PISO DE CONCRETO, COM ACABAMENTO SUPERFICIAL, ESPESSURA DE 15 CM, FCK = 30 MPA, COM USO DE FORMAS EM MADEIRA SERRADA. AF_09/2021</t>
  </si>
  <si>
    <t>5.4</t>
  </si>
  <si>
    <t>PILAR METÁLICO PERFIL LAMINADO OU SOLDADO EM AÇO ESTRUTURAL, COM CONEXÕES SOLDADAS, INCLUSOS MÃO DE OBRA, TRANSPORTE E IÇAMENTO UTILIZANDO GUINDASTE - FORNECIMENTO E INSTALAÇÃO. AF_01/2020_PA</t>
  </si>
  <si>
    <t>KG</t>
  </si>
  <si>
    <t>5.5</t>
  </si>
  <si>
    <t>JFPB-03642294</t>
  </si>
  <si>
    <t>BASE PARA FIXAÇÃO DE PILAR COM CHAPA DE ACO GROSSA, ASTM A36, E = 3/8" (9,53 MM) 74,69 KG/M2 E PARABOLTS</t>
  </si>
  <si>
    <t>5.6</t>
  </si>
  <si>
    <t>VIGA METÁLICA EM PERFIL LAMINADO OU SOLDADO EM AÇO ESTRUTURAL, COM CONEXÕES SOLDADAS, INCLUSOS MÃO DE OBRA, TRANSPORTE E IÇAMENTO UTILIZANDO GUINDASTE - FORNECIMENTO E INSTALAÇÃO. AF_01/2020_PA</t>
  </si>
  <si>
    <t>5.7</t>
  </si>
  <si>
    <t>TRAMA DE AÇO COMPOSTA POR TERÇAS PARA TELHADOS DE ATÉ 2 ÁGUAS PARA TELHA ONDULADA DE FIBROCIMENTO, METÁLICA, PLÁSTICA OU TERMOACÚSTICA, INCLUSO TRANSPORTE VERTICAL. AF_07/2019</t>
  </si>
  <si>
    <t>5.8</t>
  </si>
  <si>
    <t>TELHAMENTO COM TELHA DE AÇO/ALUMÍNIO E = 0,5 MM, COM ATÉ 2 ÁGUAS, INCLUSO IÇAMENTO. AF_07/2019</t>
  </si>
  <si>
    <t>5.9</t>
  </si>
  <si>
    <t>PINTURA COM TINTA ALQUÍDICA DE FUNDO (TIPO ZARCÃO) APLICADA A ROLO OU PINCEL SOBRE PERFIL METÁLICO EXECUTADO EM FÁBRICA (POR DEMÃO). AF_01/2020</t>
  </si>
  <si>
    <t>5.10</t>
  </si>
  <si>
    <t>PINTURA COM TINTA ALQUÍDICA DE ACABAMENTO (ESMALTE SINTÉTICO ACETINADO) APLICADA A ROLO OU PINCEL SOBRE PERFIL METÁLICO EXECUTADO EM FÁBRICA (POR DEMÃO). AF_01/2020</t>
  </si>
  <si>
    <t>6</t>
  </si>
  <si>
    <t>OBRAS DE INSTALAÇÕES ELÉTRICAS</t>
  </si>
  <si>
    <t>6.1</t>
  </si>
  <si>
    <t>CABEAMENTO</t>
  </si>
  <si>
    <t>6.1.1</t>
  </si>
  <si>
    <t>JFPB-28435567</t>
  </si>
  <si>
    <t>REMANEJAMENTO DE CABO DE COBRE FLEXÍVEL ISOLADO, 500 MM², ANTI-CHAMA 0,6/1,0 KV, PARA REDE DE DISTRIBUIÇÃO DE ENERGIA ELÉTRICA (INCLUI RETIRADA E REINSTALAÇÃO)</t>
  </si>
  <si>
    <t>6.1.2</t>
  </si>
  <si>
    <t>CABO DE COBRE FLEXÍVEL ISOLADO, 2,5 MM², ANTI-CHAMA 450/750 V, PARA CIRCUITOS TERMINAIS - FORNECIMENTO E INSTALAÇÃO. AF_03/2023</t>
  </si>
  <si>
    <t>6.1.3</t>
  </si>
  <si>
    <t>CABO DE COBRE FLEXÍVEL ISOLADO, 2,5 MM², ANTI-CHAMA 0,6/1,0 KV, PARA CIRCUITOS TERMINAIS - FORNECIMENTO E INSTALAÇÃO. AF_03/2023</t>
  </si>
  <si>
    <t>6.1.4</t>
  </si>
  <si>
    <t>CABO DE COBRE FLEXÍVEL ISOLADO, 4 MM², ANTI-CHAMA 0,6/1,0 KV, PARA CIRCUITOS TERMINAIS - FORNECIMENTO E INSTALAÇÃO. AF_03/2023</t>
  </si>
  <si>
    <t>6.1.5</t>
  </si>
  <si>
    <t>CABO DE COBRE FLEXÍVEL ISOLADO, 6 MM², ANTI-CHAMA 0,6/1,0 KV, PARA CIRCUITOS TERMINAIS - FORNECIMENTO E INSTALAÇÃO. AF_03/2023</t>
  </si>
  <si>
    <t>6.1.6</t>
  </si>
  <si>
    <t>CABO DE COBRE FLEXÍVEL ISOLADO, 10 MM², ANTI-CHAMA 0,6/1,0 KV, PARA CIRCUITOS TERMINAIS - FORNECIMENTO E INSTALAÇÃO. AF_03/2023</t>
  </si>
  <si>
    <t>6.1.7</t>
  </si>
  <si>
    <t>CABO DE COBRE ISOLADO, 16 MM², ANTI-CHAMA 0,6/1 KV, INSTALADO EM ELETROCALHA OU PERFILADO - FORNECIMENTO E INSTALAÇÃO. AF_10/2020</t>
  </si>
  <si>
    <t>6.1.8</t>
  </si>
  <si>
    <t>CABO DE COBRE ISOLADO, 25 MM², ANTI-CHAMA 0,6/1 KV, INSTALADO EM ELETROCALHA OU PERFILADO - FORNECIMENTO E INSTALAÇÃO. AF_10/2020</t>
  </si>
  <si>
    <t>6.1.9</t>
  </si>
  <si>
    <t>CABO DE COBRE FLEXÍVEL ISOLADO, 35 MM², 0,6/1,0 KV, PARA REDE AÉREA DE DISTRIBUIÇÃO DE ENERGIA ELÉTRICA DE BAIXA TENSÃO - FORNECIMENTO E INSTALAÇÃO. AF_07/2020</t>
  </si>
  <si>
    <t>6.1.10</t>
  </si>
  <si>
    <t>CORDOALHA DE COBRE NU 70 MM², ENTERRADA - FORNECIMENTO E INSTALAÇÃO. AF_08/2023</t>
  </si>
  <si>
    <t>6.1.11</t>
  </si>
  <si>
    <t>JFPB-49905298</t>
  </si>
  <si>
    <t>EMENDA PARA CABO UTILIZANDO LUVA DE EMENDA PARA CABOS DE COBRE 2,5MM2</t>
  </si>
  <si>
    <t>6.1.12</t>
  </si>
  <si>
    <t>JFPB-93825767</t>
  </si>
  <si>
    <t>EMENDA PARA CABO UTILIZANDO LUVA DE EMENDA PARA CABOS DE COBRE 4 MM2</t>
  </si>
  <si>
    <t>6.1.13</t>
  </si>
  <si>
    <t>JFPB-10683074</t>
  </si>
  <si>
    <t>EMENDA PARA CABO UTILIZANDO LUVA DE EMENDA PARA CABOS DE COBRE 6MM2</t>
  </si>
  <si>
    <t>6.1.14</t>
  </si>
  <si>
    <t>JFPB-32739098</t>
  </si>
  <si>
    <t>EMENDA PARA CABO UTILIZANDO LUVA DE EMENDA PARA CABOS DE COBRE 10MM2</t>
  </si>
  <si>
    <t>6.1.15</t>
  </si>
  <si>
    <t>JFPB-22864148</t>
  </si>
  <si>
    <t>EMENDA PARA CABO UTILIZANDO LUVA DE EMENDA PARA CABOS DE COBRE 16MM2</t>
  </si>
  <si>
    <t>6.1.16</t>
  </si>
  <si>
    <t>JFPB-61355944</t>
  </si>
  <si>
    <t>EMENDA PARA CABO UTILIZANDO LUVA DE EMENDA PARA CABOS DE COBRE 25MM2</t>
  </si>
  <si>
    <t>6.1.17</t>
  </si>
  <si>
    <t>JFPB-03296198</t>
  </si>
  <si>
    <t>EMENDA PARA CABO UTILIZANDO LUVA DE EMENDA PARA CABOS DE COBRE 35MM2</t>
  </si>
  <si>
    <t>6.2</t>
  </si>
  <si>
    <t>ELETRODUTOS, LEITOS E CALHAS</t>
  </si>
  <si>
    <t>6.2.1</t>
  </si>
  <si>
    <t>JFPB-84089542</t>
  </si>
  <si>
    <t>ELETRODUTO RÍGIDO, ALUMINIO, 3/4", INSTALAÇÃO APARENTE - FORNECIMENTO E INSTALAÇÃO</t>
  </si>
  <si>
    <t>6.2.2</t>
  </si>
  <si>
    <t>JFPB-28313097</t>
  </si>
  <si>
    <t>ELETRODUTO RÍGIDO, ALUMINIO, 1", INSTALAÇÃO APARENTE - FORNECIMENTO E INSTALAÇÃO</t>
  </si>
  <si>
    <t>6.2.3</t>
  </si>
  <si>
    <t>FIXAÇÃO DE ELETRODUTOS, DIÂMETROS MENORES OU IGUAIS A 40 MM, COM ABRAÇADEIRA METÁLICA RÍGIDA TIPO D COM PARAFUSO DE FIXAÇÃO 1 1/4", FIXADA DIRETAMENTE NA LAJE OU PAREDE. AF_09/2023</t>
  </si>
  <si>
    <t>6.2.4</t>
  </si>
  <si>
    <t>JFPB-33027435</t>
  </si>
  <si>
    <t>LEITO PARA CABOS, 400x100x3000mm - FORNECIMENTO E INSTALAÇÃO</t>
  </si>
  <si>
    <t>6.2.5</t>
  </si>
  <si>
    <t>CONDULETE DE ALUMÍNIO, TIPO X, PARA ELETRODUTO DE AÇO GALVANIZADO DN 25 MM (1''), APARENTE - FORNECIMENTO E INSTALAÇÃO. AF_10/2022</t>
  </si>
  <si>
    <t>6.2.6</t>
  </si>
  <si>
    <t>CONDULETE DE ALUMÍNIO, TIPO T, PARA ELETRODUTO DE AÇO GALVANIZADO DN 25 MM (1''), APARENTE - FORNECIMENTO E INSTALAÇÃO. AF_10/2022</t>
  </si>
  <si>
    <t>6.2.7</t>
  </si>
  <si>
    <t>CONDULETE DE ALUMÍNIO, TIPO LR, PARA ELETRODUTO DE AÇO GALVANIZADO DN 32 MM (1 1/4''), APARENTE - FORNECIMENTO E INSTALAÇÃO. AF_10/2022</t>
  </si>
  <si>
    <t>6.2.8</t>
  </si>
  <si>
    <t>CONDULETE DE ALUMÍNIO, TIPO E, ELETRODUTO DE AÇO GALVANIZADO DN 25 MM (1''), APARENTE - FORNECIMENTO E INSTALAÇÃO. AF_10/2022</t>
  </si>
  <si>
    <t>6.2.9</t>
  </si>
  <si>
    <t>CONDULETE DE ALUMÍNIO, TIPO LB, PARA ELETRODUTO DE AÇO GALVANIZADO DN 25 MM (1''), APARENTE - FORNECIMENTO E INSTALAÇÃO. AF_10/2022</t>
  </si>
  <si>
    <t>6.3</t>
  </si>
  <si>
    <t>COMPONENTES</t>
  </si>
  <si>
    <t>6.3.1</t>
  </si>
  <si>
    <t>JFPB-63311372</t>
  </si>
  <si>
    <t>PLACA DE ADVERTÊNCIA PERIGO DE MORTE - FORNECIMENTO E INSTALAÇÃO</t>
  </si>
  <si>
    <t>6.3.2</t>
  </si>
  <si>
    <t>JFPB-33448248</t>
  </si>
  <si>
    <t>TAPETE DE BORRACHA 100X50CM - HOMOLOGADO E COM CERTIFICADO PARA NR-10 NA ISOLAÇÃO DA SUBESTAÇÃO</t>
  </si>
  <si>
    <t>pç</t>
  </si>
  <si>
    <t>6.3.3</t>
  </si>
  <si>
    <t>JFPB-91506224</t>
  </si>
  <si>
    <t>TAPETE DE BORRACHA 100X100CM - HOMOLOGADO E COM CERTIFICADO PARA NR-10 NA ISOLAÇÃO DA SUBESTAÇÃO - FORNECIMENTO E INSTALAÇÃO</t>
  </si>
  <si>
    <t>6.3.4</t>
  </si>
  <si>
    <t>JFPB-20549891</t>
  </si>
  <si>
    <t>LUMINÁRIA DE EMERGÊNCIA COM DOIS FAROIS, 12 V, 220 V - FORNECIMENTO E INSTALAÇÃO</t>
  </si>
  <si>
    <t>6.3.5</t>
  </si>
  <si>
    <t>LUMINÁRIA DE EMERGÊNCIA, COM 30 LÂMPADAS LED DE 2 W, SEM REATOR - FORNECIMENTO E INSTALAÇÃO. AF_09/2024</t>
  </si>
  <si>
    <t>6.3.6</t>
  </si>
  <si>
    <t>INTERRUPTOR SIMPLES (2 MÓDULOS), 10A/250V, INCLUINDO SUPORTE E PLACA - FORNECIMENTO E INSTALAÇÃO. AF_03/2023</t>
  </si>
  <si>
    <t>6.3.7</t>
  </si>
  <si>
    <t>TOMADA MÉDIA DE EMBUTIR (3 MÓDULOS), 2P+T 20 A, INCLUINDO SUPORTE E PLACA - FORNECIMENTO E INSTALAÇÃO. AF_03/2023</t>
  </si>
  <si>
    <t>6.3.8</t>
  </si>
  <si>
    <t>TOMADA MÉDIA DE EMBUTIR (3 MÓDULOS), 2P+T 10 A, INCLUINDO SUPORTE E PLACA - FORNECIMENTO E INSTALAÇÃO. AF_03/2023</t>
  </si>
  <si>
    <t>6.3.9</t>
  </si>
  <si>
    <t>QUADRO DE DISTRIBUIÇÃO DE ENERGIA EM CHAPA DE AÇO GALVANIZADO, DE SOBREPOR, COM BARRAMENTO TRIFÁSICO, PARA 18 DISJUNTORES DIN 100A - FORNECIMENTO E INSTALAÇÃO. AF_10/2020</t>
  </si>
  <si>
    <t>6.3.10</t>
  </si>
  <si>
    <t>JFPB-16268503</t>
  </si>
  <si>
    <t>TAMPA DOIS MODULOS PARA CONDULETE INTERRUPTOR - FORNECIMENTO E INSTALAÇÃO</t>
  </si>
  <si>
    <t>6.3.11</t>
  </si>
  <si>
    <t>JFPB-13128427</t>
  </si>
  <si>
    <t>TAMPA VERTICAL PARA CONDULETE TOMADA - FORNECIMENTO E INSTALAÇÃO</t>
  </si>
  <si>
    <t>6.3.12</t>
  </si>
  <si>
    <t>EXTINTOR DE INCÊNDIO PORTÁTIL COM CARGA DE PQS DE 6 KG, CLASSE BC - FORNECIMENTO E INSTALAÇÃO. AF_10/2020_PE</t>
  </si>
  <si>
    <t>6.3.13</t>
  </si>
  <si>
    <t>JFPB-04407116</t>
  </si>
  <si>
    <t>GRAMPO HASTE TERRA 5/8" - FORNECIMENTO E INSTALAÇÃO</t>
  </si>
  <si>
    <t>6.3.14</t>
  </si>
  <si>
    <t>HASTE DE ATERRAMENTO, DIÂMETRO 5/8", COM 3 METROS - FORNECIMENTO E INSTALAÇÃO. AF_08/2023</t>
  </si>
  <si>
    <t>6.3.15</t>
  </si>
  <si>
    <t>JFPB-04825421</t>
  </si>
  <si>
    <t>QGBT - PAINEIS DE 180x80x40 cm COM PORTA DIANTEIRA E TAMPA LATERAL REMOVÍVEL, EM CHAPA DE 1,9mmDE ESPESSURA, COM ELEMENTOS DE FIXAÇÃO E PROTEÇÃO INSTALADOS</t>
  </si>
  <si>
    <t>un</t>
  </si>
  <si>
    <t>6.4</t>
  </si>
  <si>
    <t>CANALETA DE PISO</t>
  </si>
  <si>
    <t>6.4.1</t>
  </si>
  <si>
    <t>DEMOLIÇÃO DE PISO DE CONCRETO SIMPLES, DE FORMA MANUAL, SEM REAPROVEITAMENTO. AF_09/2023</t>
  </si>
  <si>
    <t>6.4.2</t>
  </si>
  <si>
    <t>JFPB-54121963</t>
  </si>
  <si>
    <t>CANALETA DE PISO EM CONCRETO, 0,30x0,20M, EM "U", COM TAMPA - FORNECIMENTO E INSTALAÇÃO</t>
  </si>
  <si>
    <t>7</t>
  </si>
  <si>
    <t>FORNECIMENTO DE EQUIPAMENTOS</t>
  </si>
  <si>
    <t>7.1</t>
  </si>
  <si>
    <t>JFPB-07920788</t>
  </si>
  <si>
    <t>FORNECIMENTO DE GRUPO GERADOR DIESEL, COM CARENAGEM, POTENCIA STAND-BY 750 KVA, 380/220 V, FREQUÊNCIA DE 60 HZ - BDI = 15,28</t>
  </si>
  <si>
    <t>7.2</t>
  </si>
  <si>
    <t>JFPB-60332169</t>
  </si>
  <si>
    <t>FORNECIMENTO DE TRANSFORMADOR A SECO, 750 KVA, 13,8 KV / 380-220 V - BDI = 15,28</t>
  </si>
  <si>
    <t>7.3</t>
  </si>
  <si>
    <t>CABO DE COBRE, FLEXIVEL, CLASSE 4 OU 5, ISOLACAO EM PVC/A, ANTICHAMA BWF-B, COBERTURA PVC-ST1, ANTICHAMA BWF-B, 1 CONDUTOR, 0,6/1 KV, SECAO NOMINAL 500 MM2 - BDI = 15,28</t>
  </si>
  <si>
    <t>8</t>
  </si>
  <si>
    <t>MONTAGEM DE EQUIPAMENTOS</t>
  </si>
  <si>
    <t>8.1</t>
  </si>
  <si>
    <t>SERVIÇOS DE INSTALAÇÃO DE GRUPO GERADOR DIESEL, COM CARENAGEM, POTENCIA STAND-BY 750 KVA, 380/220 V, FREQUÊNCIA DE 60 HZ (REINSTALAÇÃO DE GRUPO GERADOR NO LOCAL DEFINITIVO)</t>
  </si>
  <si>
    <t>8.2</t>
  </si>
  <si>
    <t>JFPB-40483864</t>
  </si>
  <si>
    <t>SERVIÇOS DE INSTALAÇÃO DE TRANSFORMADOR A SECO, 750 KVA, 13,8 KV / 380-220 V</t>
  </si>
  <si>
    <t>8.3</t>
  </si>
  <si>
    <t>GUINDAUTO HIDRÁULICO, CAPACIDADE MÁXIMA DE CARGA 6500 KG, MOMENTO MÁXIMO DE CARGA 5,8 TM, ALCANCE MÁXIMO HORIZONTAL 7,60 M, INCLUSIVE CAMINHÃO TOCO PBT 9.700 KG, POTÊNCIA DE 160 CV - CHI DIURNO. AF_08/2015</t>
  </si>
  <si>
    <t>CHI</t>
  </si>
  <si>
    <t>8.4</t>
  </si>
  <si>
    <t>GUINDAUTO HIDRÁULICO, CAPACIDADE MÁXIMA DE CARGA 6500 KG, MOMENTO MÁXIMO DE CARGA 5,8 TM, ALCANCE MÁXIMO HORIZONTAL 7,60 M, INCLUSIVE CAMINHÃO TOCO PBT 9.700 KG, POTÊNCIA DE 160 CV - CHP DIURNO. AF_08/2015</t>
  </si>
  <si>
    <t>CHP</t>
  </si>
  <si>
    <t>9</t>
  </si>
  <si>
    <t>SERVIÇOS FINAIS</t>
  </si>
  <si>
    <t>9.1</t>
  </si>
  <si>
    <t>REMOÇÃO DE TAPUME/ CHAPAS METÁLICAS E DE MADEIRA, DE FORMA MANUAL, SEM REAPROVEITAMENTO. AF_09/2023</t>
  </si>
  <si>
    <t>Mão de Obra com Encargos Complementares</t>
  </si>
  <si>
    <t>UNID</t>
  </si>
  <si>
    <t>COEFICIENTE</t>
  </si>
  <si>
    <t>PREÇO UNITÁRIO</t>
  </si>
  <si>
    <t>TOTAL</t>
  </si>
  <si>
    <t>ENCARREGADO GERAL DE OBRAS COM ENCARGOS COMPLEMENTARES</t>
  </si>
  <si>
    <t>ENGENHEIRO CIVIL DE OBRA PLENO COM ENCARGOS COMPLEMENTARES</t>
  </si>
  <si>
    <t>TÉCNICO EM SEGURANÇA DO TRABALHO COM ENCARGOS COMPLEMENTARES</t>
  </si>
  <si>
    <t>Serviço</t>
  </si>
  <si>
    <t>JFPB-14064900</t>
  </si>
  <si>
    <t>ENGENHEIRO ELETRICISTA DE OBRA PLENO COM ENCARGOS COMPLEMENTARES (CUSTO EQUIV. AO DO ENGO. CIVIL)</t>
  </si>
  <si>
    <t xml:space="preserve">Composições </t>
  </si>
  <si>
    <t>TOTAL Serviço:</t>
  </si>
  <si>
    <t>VALOR:</t>
  </si>
  <si>
    <t>Material</t>
  </si>
  <si>
    <t>INS-01726069</t>
  </si>
  <si>
    <t>Faixa 2: acima de R$ 15.000,00 - 2024</t>
  </si>
  <si>
    <t>TOTAL Material:</t>
  </si>
  <si>
    <t>Equipamento Custo Horário</t>
  </si>
  <si>
    <t>GUINDAUTO HIDRÁULICO, CAPACIDADE MÁXIMA DE CARGA 6200 KG, MOMENTO MÁXIMO DE CARGA 11,7 TM, ALCANCE MÁXIMO HORIZONTAL 9,70 M, INCLUSIVE CAMINHÃO TOCO PBT 16.000 KG, POTÊNCIA DE 189 CV - CHI DIURNO. AF_06/2014</t>
  </si>
  <si>
    <t>GUINDAUTO HIDRÁULICO, CAPACIDADE MÁXIMA DE CARGA 6200 KG, MOMENTO MÁXIMO DE CARGA 11,7 TM, ALCANCE MÁXIMO HORIZONTAL 9,70 M, INCLUSIVE CAMINHÃO TOCO PBT 16.000 KG, POTÊNCIA DE 189 CV - CHP DIURNO. AF_06/2014</t>
  </si>
  <si>
    <t>88239</t>
  </si>
  <si>
    <t>AJUDANTE DE CARPINTEIRO COM ENCARGOS COMPLEMENTARES</t>
  </si>
  <si>
    <t>H</t>
  </si>
  <si>
    <t>88262</t>
  </si>
  <si>
    <t>CARPINTEIRO DE FORMAS COM ENCARGOS COMPLEMENTARES</t>
  </si>
  <si>
    <t>Equipamento</t>
  </si>
  <si>
    <t>TOTAL Equipamento:</t>
  </si>
  <si>
    <t>PLACA DE OBRA (PARA CONSTRUCAO CIVIL) EM CHAPA GALVANIZADA *N. 22*, ADESIVADA, DE *2,4 X 1,2* M (SEM POSTES PARA FIXACAO)</t>
  </si>
  <si>
    <t>PREGO DE ACO POLIDO COM CABECA 10 X 10 (7/8 X 17)</t>
  </si>
  <si>
    <t>PREGO DE ACO POLIDO COM CABECA 17 X 27 (2 1/2 X 11)</t>
  </si>
  <si>
    <t>SARRAFO *2,5 X 10* CM EM PINUS, MISTA OU EQUIVALENTE DA REGIAO - BRUTA</t>
  </si>
  <si>
    <t>88316</t>
  </si>
  <si>
    <t>SERVENTE COM ENCARGOS COMPLEMENTARES</t>
  </si>
  <si>
    <t>PINTURA IMUNIZANTE PARA MADEIRA, 2 DEMÃOS. AF_01/2021</t>
  </si>
  <si>
    <t>SERRA CIRCULAR DE BANCADA COM MOTOR ELÉTRICO POTÊNCIA DE 5HP, COM COIFA PARA DISCO 10" - CHI DIURNO. AF_08/2015</t>
  </si>
  <si>
    <t>SERRA CIRCULAR DE BANCADA COM MOTOR ELÉTRICO POTÊNCIA DE 5HP, COM COIFA PARA DISCO 10" - CHP DIURNO. AF_08/2015</t>
  </si>
  <si>
    <t>00004491</t>
  </si>
  <si>
    <t>PONTALETE *7,5 X 7,5* CM EM PINUS, MISTA OU EQUIVALENTE DA REGIAO - BRUTA</t>
  </si>
  <si>
    <t>PREGO DE ACO POLIDO COM CABECA 18 X 27 (2 1/2 X 10)</t>
  </si>
  <si>
    <t>TABUA *2,5 X 15 CM EM PINUS, MISTA OU EQUIVALENTE DA REGIAO - BRUTA</t>
  </si>
  <si>
    <t>TELHA TRAPEZOIDAL EM ACO ZINCADO, SEM PINTURA, ALTURA DE APROXIMADAMENTE 40 MM, ESPESSURA DE 0,50 MM E LARGURA UTIL DE 980 MM</t>
  </si>
  <si>
    <t>CONCRETO MAGRO PARA LASTRO, TRAÇO 1:4,5:4,5 (EM MASSA SECA DE CIMENTO/ AREIA MÉDIA/ BRITA 1) - PREPARO MANUAL. AF_05/2021</t>
  </si>
  <si>
    <t>88309</t>
  </si>
  <si>
    <t>PEDREIRO COM ENCARGOS COMPLEMENTARES</t>
  </si>
  <si>
    <t>TELHADISTA COM ENCARGOS COMPLEMENTARES</t>
  </si>
  <si>
    <t>CAMINHÃO BASCULANTE 10 M3, TRUCADO CABINE SIMPLES, PESO BRUTO TOTAL 23.000 KG, CARGA ÚTIL MÁXIMA 15.935 KG, DISTÂNCIA ENTRE EIXOS 4,80 M, POTÊNCIA 230 CV INCLUSIVE CAÇAMBA METÁLICA - CHI DIURNO. AF_06/2014</t>
  </si>
  <si>
    <t>CAMINHÃO BASCULANTE 10 M3, TRUCADO CABINE SIMPLES, PESO BRUTO TOTAL 23.000 KG, CARGA ÚTIL MÁXIMA 15.935 KG, DISTÂNCIA ENTRE EIXOS 4,80 M, POTÊNCIA 230 CV INCLUSIVE CAÇAMBA METÁLICA - CHP DIURNO. AF_06/2014</t>
  </si>
  <si>
    <t>ESCAVADEIRA HIDRÁULICA SOBRE ESTEIRAS, CAÇAMBA 0,80 M3, PESO OPERACIONAL 17 T, POTENCIA BRUTA 111 HP - CHI DIURNO. AF_06/2014</t>
  </si>
  <si>
    <t>ESCAVADEIRA HIDRÁULICA SOBRE ESTEIRAS, CAÇAMBA 0,80 M3, PESO OPERACIONAL 17 T, POTENCIA BRUTA 111 HP - CHP DIURNO. AF_06/2014</t>
  </si>
  <si>
    <t>88247</t>
  </si>
  <si>
    <t>AUXILIAR DE ELETRICISTA COM ENCARGOS COMPLEMENTARES</t>
  </si>
  <si>
    <t>88264</t>
  </si>
  <si>
    <t>ELETRICISTA COM ENCARGOS COMPLEMENTARES</t>
  </si>
  <si>
    <t>Observações: Composição criada com base no CPTM 02.03.50.100.13 com uso dos insumos do SINAPI.
Composição criada para o projeto de modernização da subestação do edifício sede da Justiça Federal na Paraíba - Set 24.</t>
  </si>
  <si>
    <t>MONTADOR ELETROMECÃNICO COM ENCARGOS COMPLEMENTARES</t>
  </si>
  <si>
    <t xml:space="preserve">Observações: Composição criada com base no SEINFRA C3668 mantendo-se os coeficientes e utilizando a M.O. do SINAPI.
Composição criada para o projeto de modernização da subestação do edifício sede da Justiça Federal na Paraíba - Set 24.
</t>
  </si>
  <si>
    <t>FITA ISOLANTE ADESIVA ANTICHAMA, USO ATE 750 V, EM ROLO DE 19 MM X 5 M</t>
  </si>
  <si>
    <t>Observações: Composição criada com base no SINAPI 93002 mantendo-se os coeficientes e inserindo o insumo adequado, conforme SINAPI. 
Composição criada para o projeto de modernização da subestação do edifício sede da Justiça Federal na Paraíba.</t>
  </si>
  <si>
    <t>Observações: Composição criada com base no DEINFRA/SC 43933 utilizando-se o coeficiente de M.O. e usando insumos do SINAPI.
Composição criada para o projeto de modernização da subestação do edifício sede da Justiça Federal na Paraíba - Set 24.</t>
  </si>
  <si>
    <t>ADESIVO ACRILICO DE BASE AQUOSA / COLA DE CONTATO</t>
  </si>
  <si>
    <t>00001379</t>
  </si>
  <si>
    <t>CIMENTO PORTLAND COMPOSTO CP II-32</t>
  </si>
  <si>
    <t>Observações: Composição criada com base no ORSE 04920 utilizando-se o coeficiente de M.O. e usando insumos do SINAPI.
Composição criada para o projeto de modernização da subestação do edifício sede da Justiça Federal na Paraíba - Set 24.</t>
  </si>
  <si>
    <t>ACABAMENTO POLIDO PARA PISO DE CONCRETO ARMADO OU LAJE SOBRE SOLO DE ALTA RESISTÊNCIA. AF_09/2021</t>
  </si>
  <si>
    <t>ARMAÇÃO PARA EXECUÇÃO DE RADIER, PISO DE CONCRETO OU LAJE SOBRE SOLO, COM USO DE TELA Q-196. AF_09/2021</t>
  </si>
  <si>
    <t>CAMADA SEPARADORA PARA EXECUÇÃO DE RADIER, PISO DE CONCRETO OU LAJE SOBRE SOLO, EM LONA PLÁSTICA. AF_09/2021</t>
  </si>
  <si>
    <t>COMPACTAÇÃO MECÂNICA DE SOLO PARA EXECUÇÃO DE RADIER, PISO DE CONCRETO OU LAJE SOBRE SOLO, COM COMPACTADOR DE SOLOS A PERCUSSÃO. AF_09/2021</t>
  </si>
  <si>
    <t>CONCRETAGEM DE RADIER, PISO DE CONCRETO OU LAJE SOBRE SOLO, FCK 30 MPA - LANÇAMENTO, ADENSAMENTO E ACABAMENTO. AF_09/2021</t>
  </si>
  <si>
    <t>FABRICAÇÃO, MONTAGEM E DESMONTAGEM DE FORMA PARA RADIER, PISO DE CONCRETO OU LAJE SOBRE SOLO, EM MADEIRA SERRADA, 4 UTILIZAÇÕES. AF_09/2021</t>
  </si>
  <si>
    <t>LASTRO COM MATERIAL GRANULAR (PEDRA BRITADA N.2), APLICADO EM PISOS OU LAJES SOBRE SOLO, ESPESSURA DE *10 CM*. AF_01/2024</t>
  </si>
  <si>
    <t>GUINDASTE HIDRÁULICO AUTOPROPELIDO, COM LANÇA TELESCÓPICA 40 M, CAPACIDADE MÁXIMA 60 T, POTÊNCIA 260 KW - CHI DIURNO. AF_03/2016</t>
  </si>
  <si>
    <t>GUINDASTE HIDRÁULICO AUTOPROPELIDO, COM LANÇA TELESCÓPICA 40 M, CAPACIDADE MÁXIMA 60 T, POTÊNCIA 260 KW - CHP DIURNO. AF_03/2016</t>
  </si>
  <si>
    <t>CHAPA DE ACO GROSSA, ASTM A36, E = 1/2" (12,70 MM) 99,59 KG/M2</t>
  </si>
  <si>
    <t>ELETRODO REVESTIDO AWS - E7018, DIAMETRO IGUAL A 4,00 MM</t>
  </si>
  <si>
    <t>PERFIL "I" OU "W" EM ACO LAMINADO, QUAISQUER DIMENSOES</t>
  </si>
  <si>
    <t>AJUDANTE DE ESTRUTURA METÁLICA COM ENCARGOS COMPLEMENTARES</t>
  </si>
  <si>
    <t>MONTADOR DE ESTRUTURA METÁLICA COM ENCARGOS COMPLEMENTARES</t>
  </si>
  <si>
    <t>SOLDADOR COM ENCARGOS COMPLEMENTARES</t>
  </si>
  <si>
    <t>JATEAMENTO ABRASIVO COM GRANALHA DE AÇO EM PERFIL METÁLICO EM FÁBRICA. AF_01/2020</t>
  </si>
  <si>
    <t>PINTURA COM TINTA ALQUÍDICA DE FUNDO (TIPO ZARCÃO) PULVERIZADA SOBRE PERFIL METÁLICO EXECUTADO EM FÁBRICA (POR DEMÃO). AF_01/2020_PE</t>
  </si>
  <si>
    <t>CHAPA DE ACO GROSSA, ASTM A36, E = 3/8" (9,53 MM) 74,69 KG/M2</t>
  </si>
  <si>
    <t>PARAFUSO DE ACO ZINCADO, TIPO CHUMBADOR PARABOLT, DIAMETRO 1/2", COMPRIMENTO 75 MM</t>
  </si>
  <si>
    <t>Observações: Composição criada para o projeto de modernização da subestação do edifício sede da Justiça Federal na Paraíba - Set 24.</t>
  </si>
  <si>
    <t>CANTONEIRA ACO ABAS IGUAIS (QUALQUER BITOLA), ESPESSURA ENTRE 1/8" E 1/4"</t>
  </si>
  <si>
    <t>GUINCHO ELÉTRICO DE COLUNA, CAPACIDADE 400 KG, COM MOTO FREIO, MOTOR TRIFÁSICO DE 1,25 CV - CHI DIURNO. AF_03/2016</t>
  </si>
  <si>
    <t>GUINCHO ELÉTRICO DE COLUNA, CAPACIDADE 400 KG, COM MOTO FREIO, MOTOR TRIFÁSICO DE 1,25 CV - CHP DIURNO. AF_03/2016</t>
  </si>
  <si>
    <t>PARAFUSO, COMUM, ASTM A307, SEXTAVADO, DIAMETRO 1/2" (12,7 MM), COMPRIMENTO 1" (25,4 MM)</t>
  </si>
  <si>
    <t>CENTO</t>
  </si>
  <si>
    <t>PERFIL "U" ENRIJECIDO, EM CHAPA DOBRADA DE ACO LAMINADO, E = 3,75 MM, H = 200 MM, L = 75 MM (9,94 KG/M)</t>
  </si>
  <si>
    <t>HASTE RETA PARA GANCHO DE FERRO GALVANIZADO, COM ROSCA 1/4" X 30 CM PARA FIXACAO DE TELHA METALICA, INCLUI PORCA E ARRUELAS DE VEDACAO</t>
  </si>
  <si>
    <t>00005318</t>
  </si>
  <si>
    <t>DILUENTE AGUARRAS</t>
  </si>
  <si>
    <t>L</t>
  </si>
  <si>
    <t>00007307</t>
  </si>
  <si>
    <t>FUNDO ANTICORROSIVO PARA METAIS FERROSOS (ZARCAO)</t>
  </si>
  <si>
    <t>88310</t>
  </si>
  <si>
    <t>PINTOR COM ENCARGOS COMPLEMENTARES</t>
  </si>
  <si>
    <t>TINTA ESMALTE SINTETICO PREMIUM ACETINADO</t>
  </si>
  <si>
    <t>CABO DE COBRE, FLEXIVEL, CLASSE 4 OU 5, ISOLACAO EM PVC/A, ANTICHAMA BWF-B, 1 CONDUTOR, 450/750 V, SECAO NOMINAL 2,5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</si>
  <si>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</si>
  <si>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</si>
  <si>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</si>
  <si>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</si>
  <si>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</si>
  <si>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</si>
  <si>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35 MM2</t>
  </si>
  <si>
    <t>CABO DE COBRE NU 70 MM2 MEIO-DURO</t>
  </si>
  <si>
    <t>JFPB-I-28303745</t>
  </si>
  <si>
    <t>LUVA DE EMENDA PARA CABOS DE COBRE 2,5MM²</t>
  </si>
  <si>
    <t xml:space="preserve">Observações: Composição criada com base no SEDOP/PA 171121. Dessa composição utilizamos os coeficientes de M.O. fazendo a substituição pela base do SINAPI e insumos cotados.
Composição criada para o projeto de modernização da subestação do edifício sede da Justiça Federal na Paraíba - Set 24.
</t>
  </si>
  <si>
    <t>JFPB-I-22874635</t>
  </si>
  <si>
    <t>LUVA DE EMENDA PARA CABOS DE COBRE 4 MM²</t>
  </si>
  <si>
    <t xml:space="preserve">Observações: Composição criada com base no SEDOP/PA 171124. Dessa composição utilizamos os coeficientes de M.O. fazendo a substituição pela base do SINAPI e insumos cotados.
Composição criada para o projeto de modernização da subestação do edifício sede da Justiça Federal na Paraíba - Set 24.
</t>
  </si>
  <si>
    <t>JFPB-I-03295314</t>
  </si>
  <si>
    <t>LUVA DE EMENDA PARA CABOS DE COBRE 6MM²</t>
  </si>
  <si>
    <t>JFPB-I-81380688</t>
  </si>
  <si>
    <t>LUVA DE EMENDA PARA CABOS DE COBRE 10MM²</t>
  </si>
  <si>
    <t xml:space="preserve">Observações: Composição criada com base no SEDOP/PA 171119. Dessa composição utilizamos os coeficientes de M.O. fazendo a substituição pela base do SINAPI e insumos cotados.
Composição criada para o projeto de modernização da subestação do edifício sede da Justiça Federal na Paraíba - Set 24.
</t>
  </si>
  <si>
    <t>JFPB-I-67073157</t>
  </si>
  <si>
    <t>LUVA DE EMENDA PARA CABOS DE COBRE 16MM²</t>
  </si>
  <si>
    <t xml:space="preserve">Observações: Composição criada com base no SEDOP/PA 171120. Dessa composição utilizamos os coeficientes de M.O. fazendo a substituição pela base do SINAPI e insumos cotados.
Composição criada para o projeto de modernização da subestação do edifício sede da Justiça Federal na Paraíba - Set 24.
</t>
  </si>
  <si>
    <t>JFPB-I-49665559</t>
  </si>
  <si>
    <t>LUVA DE EMENDA PARA CABOS DE COBRE 25MM²</t>
  </si>
  <si>
    <t xml:space="preserve">Observações: Composição criada com base no SEDOP/PA 171122. Dessa composição utilizamos os coeficientes de M.O. fazendo a substituição pela base do SINAPI e insumos cotados.
Composição criada para o projeto de modernização da subestação do edifício sede da Justiça Federal na Paraíba - Set 24.
</t>
  </si>
  <si>
    <t>JFPB-I-87631813</t>
  </si>
  <si>
    <t>LUVA DE EMENDA PARA CABOS DE COBRE 35MM²</t>
  </si>
  <si>
    <t xml:space="preserve">Observações: Composição criada com base no SEDOP/PA 171123. Dessa composição utilizamos os coeficientes de M.O. fazendo a substituição pela base do SINAPI e insumos cotados.
Composição criada para o projeto de modernização da subestação do edifício sede da Justiça Federal na Paraíba - Set 24.
</t>
  </si>
  <si>
    <t>JFPB-I-89675204</t>
  </si>
  <si>
    <t>ELETRODUTO RÍGIDO, ALUMINIO, 3/4"</t>
  </si>
  <si>
    <t xml:space="preserve">Observações: Composição criada com base no ORSE 09727 mantendo-se os coeficientes e inserindo o insumo adequado, conforme COTAÇÃO
Composição criada para o projeto de modernização da subestação do edifício sede da Justiça Federal na Paraíba - Set 24.
</t>
  </si>
  <si>
    <t>JFPB-I-06413336</t>
  </si>
  <si>
    <t>ELETRODUTO RÍGIDO EM ALUMÍNIO COM BITOLA DE 1"</t>
  </si>
  <si>
    <t>ABRACADEIRA EM ACO PARA AMARRACAO DE ELETRODUTOS, TIPO D, COM 1 1/4" E PARAFUSO DE FIXACAO</t>
  </si>
  <si>
    <t>BUCHA DE NYLON, DIAMETRO DO FURO 8 MM, COMPRIMENTO 40 MM, COM PARAFUSO DE ROSCA SOBERBA, CABECA CHATA, FENDA SIMPLES, 4,8 X 50 MM</t>
  </si>
  <si>
    <t>JFPB-I-24590001</t>
  </si>
  <si>
    <t>LEITO PARA CABOS 400x100x3000mm</t>
  </si>
  <si>
    <t>Observações: Composição criada com base no SP OBRAS 38.12.090 mantendo-se os coeficientes e inserindo o insumo adequado, conforme COTAÇÃO. A mão de obra foi substituída pela do SINAPI
Composição criada para o projeto de modernização da subestação do edifício sede da Justiça Federal na Paraíba - Set 24</t>
  </si>
  <si>
    <t>BUCHA DE NYLON SEM ABA S6, COM PARAFUSO DE 4,20 X 40 MM EM ACO ZINCADO COM ROSCA SOBERBA, CABECA CHATA E FENDA PHILLIPS</t>
  </si>
  <si>
    <t>CONDULETE DE ALUMINIO TIPO X, PARA ELETRODUTO ROSCAVEL DE 1", COM TAMPA CEGA</t>
  </si>
  <si>
    <t>CONDULETE DE ALUMINIO TIPO T, PARA ELETRODUTO ROSCAVEL DE 1", COM TAMPA CEGA</t>
  </si>
  <si>
    <t>CONDULETE DE ALUMINIO TIPO LR, PARA ELETRODUTO ROSCAVEL DE 1 1/4", COM TAMPA CEGA</t>
  </si>
  <si>
    <t>CONDULETE DE ALUMINIO TIPO E, PARA ELETRODUTO ROSCAVEL DE 1", COM TAMPA CEGA</t>
  </si>
  <si>
    <t>CONDULETE DE ALUMINIO TIPO LB, SEM ROSCA, PARA ELETRODUTO DE 1", SEM TAMPA</t>
  </si>
  <si>
    <t>JFPB-I-51595104</t>
  </si>
  <si>
    <t>PLACA DE ADVERTÊNCIA PERIGO DE MORTE</t>
  </si>
  <si>
    <t>Observações: Composição criada com base no ORSE 07860 mantendo-se os coeficientes e inserindo o insumo adequado, conforme COTAÇÃO
Composição criada para o projeto de modernização da subestação do edifício sede da Justiça Federal na Paraíba - Set 24.</t>
  </si>
  <si>
    <t>JFPB-I-17670460</t>
  </si>
  <si>
    <t>TAPETE DE BORRACHA 100X100CM - HOMOLOGADO E COM CERTIFICADO PARA NR-10 NA ISOLAÇÃO DA SUBESTAÇÃO</t>
  </si>
  <si>
    <t>Observações: Composição criada com base no ORSE 12844 mantendo-se os coeficientes e inserindo o insumo adequado, conforme COTAÇÃO
Composição criada para o projeto de modernização da subestação do edifício sede da Justiça Federal na Paraíba - Set 24.</t>
  </si>
  <si>
    <t>JFPB-I-04804016</t>
  </si>
  <si>
    <t>LUMINÁRIA DE EMERGÊNCIA COM DOIS FAROIS, 12 V, 220 V</t>
  </si>
  <si>
    <t>LUMINARIA DE EMERGENCIA 30 LEDS, POTENCIA 2 W, BATERIA DE LITIO, AUTONOMIA DE 6 HORAS</t>
  </si>
  <si>
    <t>INTERRUPTOR SIMPLES (2 MÓDULOS), 10A/250V, SEM SUPORTE E SEM PLACA - FORNECIMENTO E INSTALAÇÃO. AF_03/2023</t>
  </si>
  <si>
    <t>SUPORTE PARAFUSADO COM PLACA DE ENCAIXE 4" X 2" MÉDIO (1,30 M DO PISO) PARA PONTO ELÉTRICO - FORNECIMENTO E INSTALAÇÃO. AF_03/2023</t>
  </si>
  <si>
    <t>TOMADA MÉDIA DE EMBUTIR (3 MÓDULOS), 2P+T 20 A, SEM SUPORTE E SEM PLACA - FORNECIMENTO E INSTALAÇÃO. AF_03/2023</t>
  </si>
  <si>
    <t>TOMADA MÉDIA DE EMBUTIR (3 MÓDULOS), 2P+T 10 A, SEM SUPORTE E SEM PLACA - FORNECIMENTO E INSTALAÇÃO. AF_03/2023</t>
  </si>
  <si>
    <t>QUADRO DE DISTRIBUICAO COM BARRAMENTO TRIFASICO, DE SOBREPOR, EM CHAPA DE ACO GALVANIZADO, PARA 18 DISJUNTORES DIN, 100 A</t>
  </si>
  <si>
    <t>JFPB-I-15243362</t>
  </si>
  <si>
    <t>TAMPA DOIS MODULOS PARA CONDULETE INTERRUPTOR</t>
  </si>
  <si>
    <t>JFPB-I-90438393</t>
  </si>
  <si>
    <t>TAMPA VERTICAL PARA CONDULETE TOMADA</t>
  </si>
  <si>
    <t>EXTINTOR DE INCENDIO PORTATIL COM CARGA DE PO QUIMICO SECO (PQS) DE 6 KG, CLASSE BC</t>
  </si>
  <si>
    <t>AUXILIAR DE ENCANADOR OU BOMBEIRO HIDRÁULICO COM ENCARGOS COMPLEMENTARES</t>
  </si>
  <si>
    <t>ENCANADOR OU BOMBEIRO HIDRÁULICO COM ENCARGOS COMPLEMENTARES</t>
  </si>
  <si>
    <t>JCA-I-68116235</t>
  </si>
  <si>
    <t>GRAMPO HASTE TERRA 5/8</t>
  </si>
  <si>
    <t>HASTE DE ATERRAMENTO EM ACO COM 3,00 M DE COMPRIMENTO E DN = 5/8", REVESTIDA COM BAIXA CAMADA DE COBRE, SEM CONECTOR</t>
  </si>
  <si>
    <t>JFPB-I-97841687</t>
  </si>
  <si>
    <t>QGBT - PAINEIS DE 180x80x40cm COM PORTA DIANTEIRA E TAMPA LATERAL REMOVÍVEL, EM CHAPA DE 1,9mmDE ESPESSURA, COM ELEMENTOS DE FIXAÇÃO E PROTEÇÃO INSTALADOS</t>
  </si>
  <si>
    <t>Observações: Composição criada com base no ORSE 09727 mantendo-se os coeficientes e inserindo o insumo adequado, conforme COTAÇÃO
Composição criada para o projeto de modernização da subestação do edifício sede da Justiça Federal na Paraíba.</t>
  </si>
  <si>
    <t>JFPB-I-46608352</t>
  </si>
  <si>
    <t>CANALETA DE PISO EM CONCRETO, 0,30x0,20M, EM "U", COM TAMPA</t>
  </si>
  <si>
    <t xml:space="preserve">Observações: Composição criada com base no SP Educação 16.05.032, adotando-se critérios de sustentabilidade em relação ao objeto do item para uso dos coeficientes de M.O. e insumo cotado.
Composição criada para o projeto de modernização da subestação do edifício sede da Justiça Federal na Paraíba - Set 24.
</t>
  </si>
  <si>
    <t>JFPB-I-30746790</t>
  </si>
  <si>
    <t>GRUPO GERADOR DIESEL, COM CARENAGEM, POTENCIA STAND-BY 750 KVA, 380/220 V, FREQUÊNCIA DE 60 HZ</t>
  </si>
  <si>
    <t>Observações: Cotação realizada para o projeto de modernização da subestação do edifício sede da Justiça Federal na Paraíba - Set. 2024</t>
  </si>
  <si>
    <t>JFPB-I-18416899</t>
  </si>
  <si>
    <t>TRANSFORMADOR A SECO, 750 kVA, 380/220 V, 60 Hz</t>
  </si>
  <si>
    <t>CABO DE COBRE, FLEXIVEL, CLASSE 4 OU 5, ISOLACAO EM PVC/A, ANTICHAMA BWF-B, COBERTURA PVC-ST1, ANTICHAMA BWF-B, 1 CONDUTOR, 0,6/1 KV, SECAO NOMINAL 500 MM2</t>
  </si>
  <si>
    <t>GUINDAUTO HIDRÁULICO, CAPACIDADE MÁXIMA DE CARGA 3300 KG, MOMENTO MÁXIMO DE CARGA 5,8 TM, ALCANCE MÁXIMO HORIZONTAL 7,60 M, INCLUSIVE CAMINHÃO TOCO PBT 16.000 KG, POTÊNCIA DE 189 CV - CHP DIURNO. AF_03/2016</t>
  </si>
  <si>
    <t xml:space="preserve">Observações:  Composição criada com base no SPOBRAS/CPOS 36.09.360 mantendo-se os coeficientes e utilizando a M.O. do SINAPI.
Composição criada para o projeto de modernização da subestação do edifício sede da Justiça Federal na Paraíba - Set 24.
</t>
  </si>
  <si>
    <t>88286</t>
  </si>
  <si>
    <t>MOTORISTA OPERADOR DE MUNCK COM ENCARGOS COMPLEMENTARES</t>
  </si>
  <si>
    <t>91629</t>
  </si>
  <si>
    <t>GUINDAUTO HIDRÁULICO, CAPACIDADE MÁXIMA DE CARGA 6500 KG, MOMENTO MÁXIMO DE CARGA 5,8 TM, ALCANCE MÁXIMO HORIZONTAL 7,60 M, INCLUSIVE CAMINHÃO TOCO PBT 9.700 KG, POTÊNCIA DE 160 CV - DEPRECIAÇÃO. AF_08/2015</t>
  </si>
  <si>
    <t>91631</t>
  </si>
  <si>
    <t>GUINDAUTO HIDRÁULICO, CAPACIDADE MÁXIMA DE CARGA 6500 KG, MOMENTO MÁXIMO DE CARGA 5,8 TM, ALCANCE MÁXIMO HORIZONTAL 7,60 M, INCLUSIVE CAMINHÃO TOCO PBT 9.700 KG, POTÊNCIA DE 160 CV - IMPOSTOS E SEGUROS. AF_08/2015</t>
  </si>
  <si>
    <t>91630</t>
  </si>
  <si>
    <t>GUINDAUTO HIDRÁULICO, CAPACIDADE MÁXIMA DE CARGA 6500 KG, MOMENTO MÁXIMO DE CARGA 5,8 TM, ALCANCE MÁXIMO HORIZONTAL 7,60 M, INCLUSIVE CAMINHÃO TOCO PBT 9.700 KG, POTÊNCIA DE 160 CV - JUROS. AF_08/2015</t>
  </si>
  <si>
    <t>91632</t>
  </si>
  <si>
    <t>GUINDAUTO HIDRÁULICO, CAPACIDADE MÁXIMA DE CARGA 6500 KG, MOMENTO MÁXIMO DE CARGA 5,8 TM, ALCANCE MÁXIMO HORIZONTAL 7,60 M, INCLUSIVE CAMINHÃO TOCO PBT 9.700 KG, POTÊNCIA DE 160 CV - MANUTENÇÃO. AF_08/2015</t>
  </si>
  <si>
    <t>91633</t>
  </si>
  <si>
    <t>GUINDAUTO HIDRÁULICO, CAPACIDADE MÁXIMA DE CARGA 6500 KG, MOMENTO MÁXIMO DE CARGA 5,8 TM, ALCANCE MÁXIMO HORIZONTAL 7,60 M, INCLUSIVE CAMINHÃO TOCO PBT 9.700 KG, POTÊNCIA DE 160 CV - MATERIAIS NA OPERAÇÃO. AF_08/2015</t>
  </si>
  <si>
    <t>TIPO</t>
  </si>
  <si>
    <t>UNIDADE</t>
  </si>
  <si>
    <t>PREÇO TOTAL</t>
  </si>
  <si>
    <t>%</t>
  </si>
  <si>
    <t>ACUMUL. %</t>
  </si>
  <si>
    <t>CL</t>
  </si>
  <si>
    <t>FORNECIMENTO DE GRUPO GERADOR DIESEL, COM CARENAGEM, POTENCIA STAND-BY 750 KVA, 380/220 V, FREQUÊNCIA DE 60 HZ</t>
  </si>
  <si>
    <t>Composições</t>
  </si>
  <si>
    <t>FORNECIMENTO DE TRANSFORMADOR A SECO, 750 KVA, 13,8 KV / 380-220 V</t>
  </si>
  <si>
    <t>00040813</t>
  </si>
  <si>
    <t>ENGENHEIRO CIVIL DE OBRA PLENO (MENSALISTA)</t>
  </si>
  <si>
    <t>Mão de Obra</t>
  </si>
  <si>
    <t>00040818</t>
  </si>
  <si>
    <t>ENCARREGADO GERAL DE OBRAS (MENSALISTA)</t>
  </si>
  <si>
    <t>00002436</t>
  </si>
  <si>
    <t>ELETRICISTA (HORISTA)</t>
  </si>
  <si>
    <t>00000247</t>
  </si>
  <si>
    <t>AJUDANTE DE ELETRICISTA (HORISTA)</t>
  </si>
  <si>
    <t>00006111</t>
  </si>
  <si>
    <t>SERVENTE DE OBRAS (HORISTA)</t>
  </si>
  <si>
    <t>00040944</t>
  </si>
  <si>
    <t>TECNICO EM SEGURANCA DO TRABALHO (MENSALISTA)</t>
  </si>
  <si>
    <t>00004221</t>
  </si>
  <si>
    <t>OLEO DIESEL COMBUSTIVEL COMUM METROPOLITANO S-10 OU S-500</t>
  </si>
  <si>
    <t>00037372</t>
  </si>
  <si>
    <t>EXAMES - HORISTA (COLETADO CAIXA - ENCARGOS COMPLEMENTARES)</t>
  </si>
  <si>
    <t>Encargos Complementares</t>
  </si>
  <si>
    <t>00002437</t>
  </si>
  <si>
    <t>MONTADOR DE MAQUINAS (HORISTA)</t>
  </si>
  <si>
    <t>00040863</t>
  </si>
  <si>
    <t>EXAMES - MENSALISTA (COLETADO CAIXA - ENCARGOS COMPLEMENTARES)</t>
  </si>
  <si>
    <t>00037370</t>
  </si>
  <si>
    <t>ALIMENTACAO - HORISTA (COLETADO CAIXA - ENCARGOS COMPLEMENTARES)</t>
  </si>
  <si>
    <t>00001525</t>
  </si>
  <si>
    <t>CONCRETO USINADO BOMBEAVEL, CLASSE DE RESISTENCIA C30, BRITA 0 E 1, SLUMP = 100 +/- 20 MM, COM BOMBEAMENTO (DISPONIBILIZACAO DE BOMBA), SEM O LANCAMENTO (NBR 8953)</t>
  </si>
  <si>
    <t>00004750</t>
  </si>
  <si>
    <t>PEDREIRO (HORISTA)</t>
  </si>
  <si>
    <t>00037371</t>
  </si>
  <si>
    <t>TRANSPORTE - HORISTA (COLETADO CAIXA - ENCARGOS COMPLEMENTARES)</t>
  </si>
  <si>
    <t>00043484</t>
  </si>
  <si>
    <t>EPI - FAMILIA ELETRICISTA - HORISTA (ENCARGOS COMPLEMENTARES - COLETADO CAIXA)</t>
  </si>
  <si>
    <t>00044056</t>
  </si>
  <si>
    <t>CAMINHAO TOCO, PESO BRUTO TOTAL 10700 KG, CARGA UTIL MAXIMA 7400 KG, DISTANCIA ENTRE EIXOS 4,00 M, POTENCIA 175 CV (INCLUI CABINE E CHASSI, NAO INCLUI CARROCERIA)</t>
  </si>
  <si>
    <t>00004783</t>
  </si>
  <si>
    <t>PINTOR (HORISTA)</t>
  </si>
  <si>
    <t>00037758</t>
  </si>
  <si>
    <t>CAMINHAO TRUCADO, PESO BRUTO TOTAL 23000 KG, CARGA UTIL MAXIMA 15285 KG, DISTANCIA ENTRE EIXOS 4,80 M, POTENCIA 326 CV (INCLUI CABINE E CHASSI, NAO INCLUI CARROCERIA)</t>
  </si>
  <si>
    <t>00043460</t>
  </si>
  <si>
    <t>FERRAMENTAS - FAMILIA ELETRICISTA - HORISTA (ENCARGOS COMPLEMENTARES - COLETADO CAIXA)</t>
  </si>
  <si>
    <t>00043499</t>
  </si>
  <si>
    <t>EPI - FAMILIA ENCARREGADO GERAL - MENSALISTA (ENCARGOS COMPLEMENTARES - COLETADO CAIXA)</t>
  </si>
  <si>
    <t>00043146</t>
  </si>
  <si>
    <t>ENDURECEDOR MINERAL DE BASE CIMENTICIA PARA PISO DE CONCRETO</t>
  </si>
  <si>
    <t>00001213</t>
  </si>
  <si>
    <t>CARPINTEIRO DE FORMAS PARA CONCRETO (HORISTA)</t>
  </si>
  <si>
    <t>00004096</t>
  </si>
  <si>
    <t>MOTORISTA OPERADOR DE CAMINHAO COM MUNCK (HORISTA)</t>
  </si>
  <si>
    <t>00007156</t>
  </si>
  <si>
    <t>TELA DE ACO SOLDADA NERVURADA, CA-60, Q-196, (3,11 KG/M2), DIAMETRO DO FIO = 5,0 MM, LARGURA = 2,45 M, ESPACAMENTO DA MALHA = 10 X 10 CM</t>
  </si>
  <si>
    <t>00043491</t>
  </si>
  <si>
    <t>EPI - FAMILIA SERVENTE - HORISTA (ENCARGOS COMPLEMENTARES - COLETADO CAIXA)</t>
  </si>
  <si>
    <t>00044474</t>
  </si>
  <si>
    <t>GUINDASTE HIDRAULICO AUTOPROPELIDO, COM LANCA TELESCOPICA 40 M, CAPACIDADE MAXIMA 60 T, POTENCIA 260 KW, TRACAO 6 X 6</t>
  </si>
  <si>
    <t>00043498</t>
  </si>
  <si>
    <t>EPI - FAMILIA ENGENHEIRO CIVIL - MENSALISTA (ENCARGOS COMPLEMENTARES - COLETADO CAIXA)</t>
  </si>
  <si>
    <t>00006117</t>
  </si>
  <si>
    <t>CARPINTEIRO AUXILIAR (HORISTA)</t>
  </si>
  <si>
    <t>00010712</t>
  </si>
  <si>
    <t>GUINDAUTO HIDRAULICO, CAPACIDADE MAXIMA DE CARGA 3300 KG, MOMENTO MAXIMO DE CARGA 5,8 TM, ALCANCE MAXIMO HORIZONTAL 7,60 M, PARA MONTAGEM SOBRE CHASSI DE CAMINHAO PBT MINIMO 8000 KG (INCLUI MONTAGEM, NAO INCLUI CAMINHAO)</t>
  </si>
  <si>
    <t>00020020</t>
  </si>
  <si>
    <t>MOTORISTA DE CAMINHAO-BASCULANTE (HORISTA)</t>
  </si>
  <si>
    <t>00043467</t>
  </si>
  <si>
    <t>FERRAMENTAS - FAMILIA SERVENTE - HORISTA (ENCARGOS COMPLEMENTARES - COLETADO CAIXA)</t>
  </si>
  <si>
    <t>00036785</t>
  </si>
  <si>
    <t>GRANALHA DE ACO, ANGULAR (GRIT), PARA JATEAMENTO, PENEIRA 1,41 A 1,19 MM (SAE G16)</t>
  </si>
  <si>
    <t>SC25KG</t>
  </si>
  <si>
    <t>00004718</t>
  </si>
  <si>
    <t>PEDRA BRITADA N. 2 (19 A 38 MM) POSTO PEDREIRA/FORNECEDOR, SEM FRETE</t>
  </si>
  <si>
    <t>00006160</t>
  </si>
  <si>
    <t>SOLDADOR (HORISTA)</t>
  </si>
  <si>
    <t>00037734</t>
  </si>
  <si>
    <t>CACAMBA METALICA BASCULANTE COM CAPACIDADE DE 10 M3 (INCLUI MONTAGEM, NAO INCLUI CAMINHAO)</t>
  </si>
  <si>
    <t>00044497</t>
  </si>
  <si>
    <t>MONTADOR DE ESTRUTURAS METALICAS HORISTA</t>
  </si>
  <si>
    <t>00043494</t>
  </si>
  <si>
    <t>EPI - FAMILIA ALMOXARIFE - MENSALISTA (ENCARGOS COMPLEMENTARES - COLETADO CAIXA)</t>
  </si>
  <si>
    <t>00010685</t>
  </si>
  <si>
    <t>ESCAVADEIRA HIDRAULICA SOBRE ESTEIRAS, CACAMBA 0,80M3, PESO OPERACIONAL 17T, POTENCIA BRUTA 111HP</t>
  </si>
  <si>
    <t>00037752</t>
  </si>
  <si>
    <t>CAMINHAO TOCO, PESO BRUTO TOTAL 16000 KG, CARGA UTIL MAXIMA 11030 KG, DISTANCIA ENTRE EIXOS 5,41 M, POTENCIA 185 CV (INCLUI CABINE E CHASSI, NAO INCLUI CARROCERIA)</t>
  </si>
  <si>
    <t>00042407</t>
  </si>
  <si>
    <t>TRELICA NERVURADA (ESPACADOR), ALTURA = 120,0 MM, DIAMETRO DOS BANZOS INFERIORES E SUPERIOR = 6,0 MM, DIAMETRO DA DIAGONAL = 4,2 MM</t>
  </si>
  <si>
    <t>00043466</t>
  </si>
  <si>
    <t>FERRAMENTAS - FAMILIA PINTOR - HORISTA (ENCARGOS COMPLEMENTARES - COLETADO CAIXA)</t>
  </si>
  <si>
    <t>00043489</t>
  </si>
  <si>
    <t>EPI - FAMILIA PEDREIRO - HORISTA (ENCARGOS COMPLEMENTARES - COLETADO CAIXA)</t>
  </si>
  <si>
    <t>00043490</t>
  </si>
  <si>
    <t>EPI - FAMILIA PINTOR - HORISTA (ENCARGOS COMPLEMENTARES - COLETADO CAIXA)</t>
  </si>
  <si>
    <t>00043483</t>
  </si>
  <si>
    <t>EPI - FAMILIA CARPINTEIRO DE FORMAS - HORISTA (ENCARGOS COMPLEMENTARES - COLETADO CAIXA)</t>
  </si>
  <si>
    <t>00043475</t>
  </si>
  <si>
    <t>FERRAMENTAS - FAMILIA ENCARREGADO GERAL - MENSALISTA (ENCARGOS COMPLEMENTARES - COLETADO CAIXA)</t>
  </si>
  <si>
    <t>00043465</t>
  </si>
  <si>
    <t>FERRAMENTAS - FAMILIA PEDREIRO - HORISTA (ENCARGOS COMPLEMENTARES - COLETADO CAIXA)</t>
  </si>
  <si>
    <t>00012869</t>
  </si>
  <si>
    <t>TELHADOR / TELHADISTA (HORISTA)</t>
  </si>
  <si>
    <t>00004254</t>
  </si>
  <si>
    <t>OPERADOR DE GUINDASTE (HORISTA)</t>
  </si>
  <si>
    <t>00038102</t>
  </si>
  <si>
    <t>TOMADA 2P+T 20A, 250V (APENAS MODULO)</t>
  </si>
  <si>
    <t>00043488</t>
  </si>
  <si>
    <t>EPI - FAMILIA OPERADOR ESCAVADEIRA - HORISTA (ENCARGOS COMPLEMENTARES - COLETADO CAIXA)</t>
  </si>
  <si>
    <t>00042408</t>
  </si>
  <si>
    <t>LONA PLASTICA EXTRA FORTE PRETA, E = 200 MICRA</t>
  </si>
  <si>
    <t>00006193</t>
  </si>
  <si>
    <t>TABUA NAO APARELHADA *2,5 X 20* CM, EM MACARANDUBA/MASSARANDUBA, ANGELIM OU EQUIVALENTE DA REGIAO - BRUTA</t>
  </si>
  <si>
    <t>00007340</t>
  </si>
  <si>
    <t>IMUNIZANTE PARA MADEIRA, INCOLOR</t>
  </si>
  <si>
    <t>00004234</t>
  </si>
  <si>
    <t>OPERADOR DE ESCAVADEIRA (HORISTA)</t>
  </si>
  <si>
    <t>00043459</t>
  </si>
  <si>
    <t>FERRAMENTAS - FAMILIA CARPINTEIRO DE FORMAS - HORISTA (ENCARGOS COMPLEMENTARES - COLETADO CAIXA)</t>
  </si>
  <si>
    <t>00000378</t>
  </si>
  <si>
    <t>ARMADOR (HORISTA)</t>
  </si>
  <si>
    <t>00000370</t>
  </si>
  <si>
    <t>AREIA MEDIA - POSTO JAZIDA/FORNECEDOR (RETIRADO NA JAZIDA, SEM TRANSPORTE)</t>
  </si>
  <si>
    <t>00004230</t>
  </si>
  <si>
    <t>OPERADOR DE MAQUINAS E TRATORES DIVERSOS - TERRAPLANAGEM (HORISTA)</t>
  </si>
  <si>
    <t>00004251</t>
  </si>
  <si>
    <t>OPERADOR DE JATO ABRASIVO OU JATISTA (HORISTA)</t>
  </si>
  <si>
    <t>00038101</t>
  </si>
  <si>
    <t>TOMADA 2P+T 10A, 250V (APENAS MODULO)</t>
  </si>
  <si>
    <t>00044499</t>
  </si>
  <si>
    <t>AJUDANTE DE ESTRUTURAS METALICAS (HORISTA)</t>
  </si>
  <si>
    <t>00037373</t>
  </si>
  <si>
    <t>SEGURO - HORISTA (COLETADO CAIXA - ENCARGOS COMPLEMENTARES)</t>
  </si>
  <si>
    <t>00003363</t>
  </si>
  <si>
    <t>GUINDAUTO HIDRAULICO, CAPACIDADE MAXIMA DE CARGA 6200 KG, MOMENTO MAXIMO DE CARGA 11,7 TM, ALCANCE MAXIMO HORIZONTAL 9,70 M, PARA MONTAGEM SOBRE CHASSI DE CAMINHAO PBT MINIMO 13000 KG (INCLUI MONTAGEM, NAO INCLUI CAMINHAO)</t>
  </si>
  <si>
    <t>00043132</t>
  </si>
  <si>
    <t>ARAME RECOZIDO 16 BWG, D = 1,65 MM (0,016 KG/M) OU 18 BWG, D = 1,25 MM (0,01 KG/M)</t>
  </si>
  <si>
    <t>00043492</t>
  </si>
  <si>
    <t>EPI - FAMILIA SOLDADOR - HORISTA (ENCARGOS COMPLEMENTARES - COLETADO CAIXA)</t>
  </si>
  <si>
    <t>00004721</t>
  </si>
  <si>
    <t>PEDRA BRITADA N. 1 (9,5 A 19 MM) POSTO PEDREIRA/FORNECEDOR, SEM FRETE</t>
  </si>
  <si>
    <t>00038112</t>
  </si>
  <si>
    <t>INTERRUPTOR SIMPLES 10A, 250V (APENAS MODULO)</t>
  </si>
  <si>
    <t>00002705</t>
  </si>
  <si>
    <t>ENERGIA ELETRICA ATE 2000 KWH INDUSTRIAL, SEM DEMANDA</t>
  </si>
  <si>
    <t>Especiais</t>
  </si>
  <si>
    <t>KWH</t>
  </si>
  <si>
    <t>00043470</t>
  </si>
  <si>
    <t>FERRAMENTAS - FAMILIA ALMOXARIFE - MENSALISTA (ENCARGOS COMPLEMENTARES - COLETADO CAIXA)</t>
  </si>
  <si>
    <t>00043468</t>
  </si>
  <si>
    <t>FERRAMENTAS - FAMILIA SOLDADOR - HORISTA (ENCARGOS COMPLEMENTARES - COLETADO CAIXA)</t>
  </si>
  <si>
    <t>00038094</t>
  </si>
  <si>
    <t>ESPELHO / PLACA DE 3 POSTOS 4" X 2", PARA INSTALACAO DE TOMADAS E INTERRUPTORES</t>
  </si>
  <si>
    <t>00002696</t>
  </si>
  <si>
    <t>ENCANADOR OU BOMBEIRO HIDRAULICO (HORISTA)</t>
  </si>
  <si>
    <t>00006114</t>
  </si>
  <si>
    <t>AJUDANTE DE ARMADOR (HORISTA)</t>
  </si>
  <si>
    <t>00000246</t>
  </si>
  <si>
    <t>AUXILIAR DE ENCANADOR OU BOMBEIRO HIDRAULICO (HORISTA)</t>
  </si>
  <si>
    <t>00004253</t>
  </si>
  <si>
    <t>OPERADOR DE GUINCHO OU GUINCHEIRO (HORISTA)</t>
  </si>
  <si>
    <t>00043474</t>
  </si>
  <si>
    <t>FERRAMENTAS - FAMILIA ENGENHEIRO CIVIL - MENSALISTA (ENCARGOS COMPLEMENTARES - COLETADO CAIXA)</t>
  </si>
  <si>
    <t>00036522</t>
  </si>
  <si>
    <t>COMPRESSOR DE AR REBOCAVEL, VAZAO 189 PCM, PRESSAO EFETIVA DE TRABALHO 102 PSI, MOTOR DIESEL, POTENCIA 63 CV</t>
  </si>
  <si>
    <t>00038099</t>
  </si>
  <si>
    <t>SUPORTE DE FIXACAO PARA ESPELHO / PLACA 4" X 2", PARA 3 MODULOS, PARA INSTALACAO DE TOMADAS E INTERRUPTORES (SOMENTE SUPORTE)</t>
  </si>
  <si>
    <t>00004222</t>
  </si>
  <si>
    <t>GASOLINA COMUM</t>
  </si>
  <si>
    <t>00005068</t>
  </si>
  <si>
    <t>PREGO DE ACO POLIDO COM CABECA 17 X 21 (2 X 11)</t>
  </si>
  <si>
    <t>00004517</t>
  </si>
  <si>
    <t>SARRAFO *2,5 X 7,5* CM EM PINUS, MISTA OU EQUIVALENTE DA REGIAO - BRUTA</t>
  </si>
  <si>
    <t>00039813</t>
  </si>
  <si>
    <t>MAQUINA TIPO VASO/TANQUE/JATO DE PRESSAO PORTATIL P/ JATEAMENTO, CONTROLE AUTOMATICO E REMOTO, CAMARA DE 1 SAIDA, 280 L, DIAM. *670* MM, BICO JATO CURTO VENTURI 5/16", MANGUEIRA 1" DE 10 M, COMPLETA (VALVULAS POP UP E DOSADORA, FUNDO CONICO ETC)</t>
  </si>
  <si>
    <t>00011281</t>
  </si>
  <si>
    <t>COMPACTADOR DE SOLO A PERCUSSAO (SOQUETE), A GASOLINA 4 TEMPOS, PESO 55 A 65 KG, FORCA DE IMPACTO 1.000 A 1.500 KGF, FREQ. 600 A 700 GOLPES P/ MINUTO, VELOCIDADE TRABALHO DE 10 A 15 M/MIN, POT. DE 2,00 A 3,00 HP</t>
  </si>
  <si>
    <t>00043485</t>
  </si>
  <si>
    <t>EPI - FAMILIA ENCANADOR - HORISTA (ENCARGOS COMPLEMENTARES - COLETADO CAIXA)</t>
  </si>
  <si>
    <t>00043464</t>
  </si>
  <si>
    <t>FERRAMENTAS - FAMILIA OPERADOR ESCAVADEIRA - HORISTA (ENCARGOS COMPLEMENTARES - COLETADO CAIXA)</t>
  </si>
  <si>
    <t>00043461</t>
  </si>
  <si>
    <t>FERRAMENTAS - FAMILIA ENCANADOR - HORISTA (ENCARGOS COMPLEMENTARES - COLETADO CAIXA)</t>
  </si>
  <si>
    <t>00002692</t>
  </si>
  <si>
    <t>DESMOLDANTE PROTETOR PARA FORMAS DE MADEIRA, DE BASE OLEOSA EMULSIONADA EM AGUA</t>
  </si>
  <si>
    <t>00036487</t>
  </si>
  <si>
    <t>GUINCHO ELETRICO DE COLUNA, CAPACIDADE 400 KG, COM MOTO FREIO, MOTOR TRIFASICO DE 1,25 CV</t>
  </si>
  <si>
    <t>00013896</t>
  </si>
  <si>
    <t>VIBRADOR DE IMERSAO, DIAMETRO DA PONTEIRA DE *45* MM, COM MOTOR ELETRICO TRIFASICO DE 2 HP (2 CV)</t>
  </si>
  <si>
    <t>00010658</t>
  </si>
  <si>
    <t>ALISADORA DE CONCRETO COM MOTOR A GASOLINA DE 5,5 HP, PESO COM MOTOR DE 78 KG, 4 PAS</t>
  </si>
  <si>
    <t>00014618</t>
  </si>
  <si>
    <t>SERRA CIRCULAR DE BANCADA COM MOTOR ELETRICO, POTENCIA DE *1600* W, PARA DISCO DE DIAMETRO DE 10" (250 MM)</t>
  </si>
  <si>
    <t>00001442</t>
  </si>
  <si>
    <t>COMPACTADOR DE SOLO TIPO PLACA VIBRATORIA REVERSIVEL, A GASOLINA 4 TEMPOS, PESO 125 A 150 KG, FORCA CENTRIF. 2500 A 2800 KGF, LARG. TRABALHO 400 A 450 MM, FREQ. VIBRACAO 4300 A 4500 RPM, VELOC. TRABALHO 15 A 20 M/MIN, POT. 5,5 A 6,0 HP</t>
  </si>
  <si>
    <t>00040864</t>
  </si>
  <si>
    <t>SEGURO - MENSALISTA (COLETADO CAIXA - ENCARGOS COMPLEMENTARES)</t>
  </si>
  <si>
    <t>VALOR (R$)</t>
  </si>
  <si>
    <t>MÊS 1</t>
  </si>
  <si>
    <t>MÊS 2</t>
  </si>
  <si>
    <t>MÊS 3</t>
  </si>
  <si>
    <t>MÊS 4</t>
  </si>
  <si>
    <t>Total parcela</t>
  </si>
  <si>
    <t>COD</t>
  </si>
  <si>
    <t>B</t>
  </si>
  <si>
    <t>BENEFICIO</t>
  </si>
  <si>
    <t>B1</t>
  </si>
  <si>
    <t>Lucro</t>
  </si>
  <si>
    <t>A</t>
  </si>
  <si>
    <t>DESPESAS FINANCEIRAS</t>
  </si>
  <si>
    <t>A1</t>
  </si>
  <si>
    <t xml:space="preserve">Seguro e Garantia </t>
  </si>
  <si>
    <t>A2</t>
  </si>
  <si>
    <t>Riscos e Imprevistos</t>
  </si>
  <si>
    <t>A3</t>
  </si>
  <si>
    <t>Despesas Financeiras</t>
  </si>
  <si>
    <t>A4</t>
  </si>
  <si>
    <t>Administração Central</t>
  </si>
  <si>
    <t>C</t>
  </si>
  <si>
    <t>IMPOSTOS</t>
  </si>
  <si>
    <t>C1</t>
  </si>
  <si>
    <t>PIS / PASEP</t>
  </si>
  <si>
    <t>C2</t>
  </si>
  <si>
    <t>COFINS</t>
  </si>
  <si>
    <t>C3</t>
  </si>
  <si>
    <t>HORISTA %</t>
  </si>
  <si>
    <t>MENSALISTA %</t>
  </si>
  <si>
    <t>GRUPO A</t>
  </si>
  <si>
    <t xml:space="preserve">INSS </t>
  </si>
  <si>
    <t xml:space="preserve">SESI </t>
  </si>
  <si>
    <t xml:space="preserve">SENAI </t>
  </si>
  <si>
    <t xml:space="preserve">INCRA </t>
  </si>
  <si>
    <t>A5</t>
  </si>
  <si>
    <t xml:space="preserve">SEBRAE </t>
  </si>
  <si>
    <t>A6</t>
  </si>
  <si>
    <t xml:space="preserve">Salário Educação </t>
  </si>
  <si>
    <t>A7</t>
  </si>
  <si>
    <t xml:space="preserve">Seguro Contra Acidentes de Trabalho </t>
  </si>
  <si>
    <t>A8</t>
  </si>
  <si>
    <t xml:space="preserve">FGTS </t>
  </si>
  <si>
    <t>A9</t>
  </si>
  <si>
    <t xml:space="preserve">SECONCI </t>
  </si>
  <si>
    <t>GRUPO B</t>
  </si>
  <si>
    <t xml:space="preserve">Repouso Semanal Remunerado </t>
  </si>
  <si>
    <t>B2</t>
  </si>
  <si>
    <t xml:space="preserve">Feriados </t>
  </si>
  <si>
    <t>B3</t>
  </si>
  <si>
    <t xml:space="preserve">Auxílio - Enfermidade </t>
  </si>
  <si>
    <t>B4</t>
  </si>
  <si>
    <t xml:space="preserve">13º Salário </t>
  </si>
  <si>
    <t>B5</t>
  </si>
  <si>
    <t xml:space="preserve">Licença Paternidade </t>
  </si>
  <si>
    <t>B6</t>
  </si>
  <si>
    <t xml:space="preserve">Faltas Justificadas </t>
  </si>
  <si>
    <t>B7</t>
  </si>
  <si>
    <t xml:space="preserve">Dias de Chuvas </t>
  </si>
  <si>
    <t>B8</t>
  </si>
  <si>
    <t xml:space="preserve">Auxílio Acidente de Trabalho </t>
  </si>
  <si>
    <t>B9</t>
  </si>
  <si>
    <t xml:space="preserve">Férias Gozadas </t>
  </si>
  <si>
    <t>B10</t>
  </si>
  <si>
    <t xml:space="preserve">Salário Maternidade </t>
  </si>
  <si>
    <t>GRUPO C</t>
  </si>
  <si>
    <t xml:space="preserve">Aviso Prévio Indenizado </t>
  </si>
  <si>
    <t xml:space="preserve">Aviso Prévio Trabalhado </t>
  </si>
  <si>
    <t xml:space="preserve">Férias Indenizadas </t>
  </si>
  <si>
    <t>C4</t>
  </si>
  <si>
    <t xml:space="preserve">Depósito Rescisão Sem Justa Causa </t>
  </si>
  <si>
    <t>C5</t>
  </si>
  <si>
    <t xml:space="preserve">Indenização Adicional </t>
  </si>
  <si>
    <t>D</t>
  </si>
  <si>
    <t>GRUPO D</t>
  </si>
  <si>
    <t>D1</t>
  </si>
  <si>
    <t xml:space="preserve">Reincidência de Grupo A sobre Grupo B </t>
  </si>
  <si>
    <t>D2</t>
  </si>
  <si>
    <t xml:space="preserve">Reincidência de Grupo A sobre Aviso Prévio Trabalhado e Reincidência do FGTS sobre Aviso Prévio Indenizado </t>
  </si>
  <si>
    <t>A + B + C + D =</t>
  </si>
  <si>
    <t>DADOS</t>
  </si>
  <si>
    <t>EMPRESA 1</t>
  </si>
  <si>
    <t>EMPRESA 2</t>
  </si>
  <si>
    <t>EMPRESA 3</t>
  </si>
  <si>
    <t>ADOTADO</t>
  </si>
  <si>
    <t>FORNECEDOR:</t>
  </si>
  <si>
    <t>Eco Verde Pré-Moldados</t>
  </si>
  <si>
    <t>IRMAOS OLIVEIRA MATERIAIS PARA CONSTRUCAO LTDA</t>
  </si>
  <si>
    <t>CARMEHIL COMERCIAL ELETRICA LTDA</t>
  </si>
  <si>
    <t>CNPJ:</t>
  </si>
  <si>
    <t>13.379.331/0001-26</t>
  </si>
  <si>
    <t>62.603.212/0001-10</t>
  </si>
  <si>
    <t>02.403.486/0001-34</t>
  </si>
  <si>
    <t>DATA:</t>
  </si>
  <si>
    <t>09/09/2024</t>
  </si>
  <si>
    <t>FUNCIONÁRIO:</t>
  </si>
  <si>
    <t>SILVIO</t>
  </si>
  <si>
    <t>-</t>
  </si>
  <si>
    <t>CONTATO:</t>
  </si>
  <si>
    <t>(11) 3132-9462</t>
  </si>
  <si>
    <t>(16) 3627-5511</t>
  </si>
  <si>
    <t>(85)40086666</t>
  </si>
  <si>
    <t>ANDRA S A ELECTRIC SOLUTIONS</t>
  </si>
  <si>
    <t>ELÉTRICA ÁREA</t>
  </si>
  <si>
    <t>TEK DISTRIBUIDOR EIRELI - M</t>
  </si>
  <si>
    <t>47.674.429/0003-90</t>
  </si>
  <si>
    <t xml:space="preserve">51.225.522/0001-22 </t>
  </si>
  <si>
    <t>21.118.267/0001-58</t>
  </si>
  <si>
    <t>26/10/2024</t>
  </si>
  <si>
    <t xml:space="preserve"> NFE@ANDRA.COM.BR </t>
  </si>
  <si>
    <t xml:space="preserve">contato@eletricaarea.com.br </t>
  </si>
  <si>
    <t>contato@tekdistribuidor.com.br</t>
  </si>
  <si>
    <t>(11) 3855-7000</t>
  </si>
  <si>
    <t>0800 264 4022</t>
  </si>
  <si>
    <t>(62) 3771-0334</t>
  </si>
  <si>
    <t>Dimensional Brasil Soluções Ltda.</t>
  </si>
  <si>
    <t>Carrefour Comércio e Indústrias Ltda</t>
  </si>
  <si>
    <t>06.913.480/0015-63</t>
  </si>
  <si>
    <t>45.543.915/0846-95</t>
  </si>
  <si>
    <t>TELE VENDAS</t>
  </si>
  <si>
    <t>atendimento@carrefour.com.br</t>
  </si>
  <si>
    <t>(19) 3446-7400</t>
  </si>
  <si>
    <t>SV Comércio de Material Elétrico LTDA</t>
  </si>
  <si>
    <t>ENPECEL COMERCIAL DE MATERIAL ELETRICO</t>
  </si>
  <si>
    <t>35.088.657/0001-37</t>
  </si>
  <si>
    <t>23.720.808/0001-49</t>
  </si>
  <si>
    <t>06/09/2024</t>
  </si>
  <si>
    <t>(85) 3214-7900</t>
  </si>
  <si>
    <t>(85) 3298-9100</t>
  </si>
  <si>
    <t>DEUTZ DO BRASIL LTDA</t>
  </si>
  <si>
    <t>GERAFORTE GRUPOS GERADORES LTDA</t>
  </si>
  <si>
    <t>GMG - GERADORES DO BRASIL LTDA</t>
  </si>
  <si>
    <t>49.043.631/0001-87</t>
  </si>
  <si>
    <t>10.618.016/0001-16</t>
  </si>
  <si>
    <t>54.633.849/0001-21</t>
  </si>
  <si>
    <t>30/08/2024</t>
  </si>
  <si>
    <t>(11) 3611-0911</t>
  </si>
  <si>
    <t>(31) 3058-7558</t>
  </si>
  <si>
    <t>(21) 99993-9177</t>
  </si>
  <si>
    <t>SEB - SOLUCAO EM ELETROCALHAS DO BRASIL LTDA</t>
  </si>
  <si>
    <t>ABIRUSH AUTOMACAO E SISTEMAS LTDA</t>
  </si>
  <si>
    <t>Elecon Indústria e Comércio Ltda.</t>
  </si>
  <si>
    <t>38.444.785/0001-64</t>
  </si>
  <si>
    <t>07.229.021/0001-22</t>
  </si>
  <si>
    <t>43.486.604/0001-00</t>
  </si>
  <si>
    <t>10/09/2024</t>
  </si>
  <si>
    <t>(41) 3082-2692</t>
  </si>
  <si>
    <t>(48) 3462-3900</t>
  </si>
  <si>
    <t>(11) 2066-4100</t>
  </si>
  <si>
    <t>MULTISEG COMÉRCIO DE EQUIPAMENTOS DE SEGURANÇA EIRELI.</t>
  </si>
  <si>
    <t>LUMILED</t>
  </si>
  <si>
    <t>ELETROTRAFO PRODUTOS ELÉTRICOS LTDA.</t>
  </si>
  <si>
    <t>10.498.304/0001-84</t>
  </si>
  <si>
    <t>60.066.867/0001-71</t>
  </si>
  <si>
    <t>80.224.785/0001-15</t>
  </si>
  <si>
    <t>29/08/2024</t>
  </si>
  <si>
    <t>PATRICK</t>
  </si>
  <si>
    <t>(47) 3426-1212</t>
  </si>
  <si>
    <t>(11) 5641-4297</t>
  </si>
  <si>
    <t>(43) 3520-5000</t>
  </si>
  <si>
    <t>LUVA DE EMENDA CABO 2,5MM²</t>
  </si>
  <si>
    <t>m</t>
  </si>
  <si>
    <t>DIMENSIONAL SONPAR COMPANY</t>
  </si>
  <si>
    <t>Panorama Materiais de Construção</t>
  </si>
  <si>
    <t>Atacado online</t>
  </si>
  <si>
    <t>01.711.005/0001-95</t>
  </si>
  <si>
    <t>41.418.163/0001-76</t>
  </si>
  <si>
    <t>17/09/2024</t>
  </si>
  <si>
    <t>TELEVENDAS</t>
  </si>
  <si>
    <t>(45) 9 8842-1985</t>
  </si>
  <si>
    <t>(16) 3508-5232</t>
  </si>
  <si>
    <t>LUVA DE EMENDA CABO 25MM²</t>
  </si>
  <si>
    <t>ANHANGUERA III FERRAMENTAS</t>
  </si>
  <si>
    <t>00.565.813/0001-29</t>
  </si>
  <si>
    <t>16/09/2024</t>
  </si>
  <si>
    <t>(19) 3516-3000</t>
  </si>
  <si>
    <t>Elétrica Marmota LTDA</t>
  </si>
  <si>
    <t>DIMENSIONAL</t>
  </si>
  <si>
    <t>SIMECOL MATERIAIS ELETRICOS LTDA</t>
  </si>
  <si>
    <t>63.010.185/0001-35</t>
  </si>
  <si>
    <t>78.650.330/0001-10</t>
  </si>
  <si>
    <t>(48) 3462-1024</t>
  </si>
  <si>
    <t>(11) 2076-6666</t>
  </si>
  <si>
    <t>Cetti Comércio de Materiais Elétricos Ltda</t>
  </si>
  <si>
    <t>01.202.491/0001-16</t>
  </si>
  <si>
    <t>TELEVENDA</t>
  </si>
  <si>
    <t>(11) 4527-4500</t>
  </si>
  <si>
    <t>LUVA DE EMENDA PARA CABOS DE COBRE 4MM²</t>
  </si>
  <si>
    <t>RAS COMERCIO DE MATERIAIS ELETRICOS E HIDRAULICOS LTDA</t>
  </si>
  <si>
    <t>J7S SINALIZACAO INDUSTRIA E COMERCIO LTDA</t>
  </si>
  <si>
    <t>MEGA THOR MATERIAIS CONTRA INCENDIO</t>
  </si>
  <si>
    <t>11.853.083/0001-88</t>
  </si>
  <si>
    <t>82.962.127/0001-56</t>
  </si>
  <si>
    <t>40.863.901/0001-21</t>
  </si>
  <si>
    <t>26/08/2024</t>
  </si>
  <si>
    <t>PABLO</t>
  </si>
  <si>
    <t>(49) 3433-5271</t>
  </si>
  <si>
    <t>(47) 3438-4035</t>
  </si>
  <si>
    <t>(55) 99171-6262</t>
  </si>
  <si>
    <t>EUROTECH</t>
  </si>
  <si>
    <t>JL Materiais eletricos</t>
  </si>
  <si>
    <t>34.909.847/0001-05</t>
  </si>
  <si>
    <t>51.685.104/0001-18</t>
  </si>
  <si>
    <t>(85) 2180-7839</t>
  </si>
  <si>
    <t>(51) 3191-8669</t>
  </si>
  <si>
    <t>NOVO HORIZONTE PRODUTOS INDUSTRIAIS E VESTUARIO LTDA</t>
  </si>
  <si>
    <t>CASAS SIMÕES</t>
  </si>
  <si>
    <t>05.673.610/0001-70</t>
  </si>
  <si>
    <t>58.242.645.0001-10</t>
  </si>
  <si>
    <t>(11) 3392-5266</t>
  </si>
  <si>
    <t>(13) 3228-3800</t>
  </si>
  <si>
    <t>AWD ENERGIA</t>
  </si>
  <si>
    <t>NEUTRON TRANSFORMADORES LTDA</t>
  </si>
  <si>
    <t>MULTITRAFO TRANSFORMADORES LTDA</t>
  </si>
  <si>
    <t>17.028.388/0001-31</t>
  </si>
  <si>
    <t>50.711.302/000146</t>
  </si>
  <si>
    <t>31.613.761/0001-42</t>
  </si>
  <si>
    <t>LUIZ</t>
  </si>
  <si>
    <t>ANDERSON</t>
  </si>
  <si>
    <t>(66) 99953-4340</t>
  </si>
  <si>
    <t>11 56378326</t>
  </si>
  <si>
    <t>(11) 91405-0579</t>
  </si>
  <si>
    <t>OBRA:</t>
  </si>
  <si>
    <t>LOCAL:</t>
  </si>
  <si>
    <t>CLIENTE:</t>
  </si>
  <si>
    <t>CREA:</t>
  </si>
  <si>
    <t>MODERNIZAÇÃO DA SUBESTAÇÃO DE ENERGIA ELÉTRICA DA SEDE DA JUSTIÇA FEDERAL NA PARAIBA</t>
  </si>
  <si>
    <t>VERSÃO:</t>
  </si>
  <si>
    <t>RUA JOÃO TEIXEIRA DE CARVALHO, 480, PEDRO GONDIM, JOÃO PESSOA/PB</t>
  </si>
  <si>
    <t>JUSTIÇA FEDERAL NA PARAÍBA</t>
  </si>
  <si>
    <t>MAYRTHON PAULO COSTA JUNIOR</t>
  </si>
  <si>
    <t>ENGENHEIRO ELETRICISTA - CREA 060191712-0</t>
  </si>
  <si>
    <t>RESP. TÉCN.:</t>
  </si>
  <si>
    <t>DATA</t>
  </si>
  <si>
    <t>BDI DIF.</t>
  </si>
  <si>
    <t>ENC. HORA</t>
  </si>
  <si>
    <t>ENC. MÊS</t>
  </si>
  <si>
    <t>ORÇAMENTO - PLANILHA SINTÉTICA</t>
  </si>
  <si>
    <t>FONTES:</t>
  </si>
  <si>
    <t>SICRO</t>
  </si>
  <si>
    <t>ORÇAMENTO - PLANILHA ANALÍTICA</t>
  </si>
  <si>
    <t>ADMINISTRAÇÃO LOCAL DA OBRA - MODERNIZAÇÃO DA SUBESTAÇÃO DE ENERGIA ELÉTRICA DA SEDE DA JUSTIÇA FEDERAL NA PARAÍBA (UN)</t>
  </si>
  <si>
    <t>ANOTAÇÃO DE RESPONSABILIDADE TÉCNICA JUNTO AO CREA - ART PRINCIPAL - FAIXA ACIMA DE R$ 15.000,00 (2024) (UN)</t>
  </si>
  <si>
    <t>INSTALAÇÃO E DESINSTALAÇÃO MECANIZADA DE CONTÊINER OU MÓDULO HABITÁVEL DE USOS DIVERSOS. AF_03/2024 (UN)</t>
  </si>
  <si>
    <t>LOCACAO DE CONTAINER 2,30 X 6,00 M, ALT. 2,50 M, PARA ESCRITORIO, SEM DIVISORIAS INTERNAS E SEM SANITARIO (NAO INCLUI MOBILIZACAO/DESMOBILIZACAO) (MES)</t>
  </si>
  <si>
    <t>LOCACAO DE CONTAINER 2,30 X 6,00 M, ALT. 2,50 M, PARA SANITARIO, COM 4 BACIAS, 8 CHUVEIROS,1 LAVATORIO E 1 MICTORIO (NAO INCLUI MOBILIZACAO/DESMOBILIZACAO) (MES)</t>
  </si>
  <si>
    <t>FORNECIMENTO E INSTALAÇÃO DE PLACA DE OBRA COM CHAPA GALVANIZADA E ESTRUTURA DE MADEIRA. AF_03/2022_PS (M2)</t>
  </si>
  <si>
    <t>TAPUME COM TELHA METÁLICA. AF_03/2024 (M2)</t>
  </si>
  <si>
    <t>REMOÇÃO DE PORTAS, DE FORMA MANUAL, SEM REAPROVEITAMENTO. AF_09/2023 (M2)</t>
  </si>
  <si>
    <t>DEMOLIÇÃO DE ALVENARIA DE BLOCO FURADO, DE FORMA MANUAL, SEM REAPROVEITAMENTO. AF_09/2023 (M3)</t>
  </si>
  <si>
    <t>DEMOLIÇÃO DE LAJES, EM CONCRETO ARMADO, DE FORMA MANUAL, SEM REAPROVEITAMENTO. AF_09/2023 (M3)</t>
  </si>
  <si>
    <t>DEMOLIÇÃO DE PILARES E VIGAS EM CONCRETO ARMADO, DE FORMA MANUAL, SEM REAPROVEITAMENTO. AF_09/2023 (M3)</t>
  </si>
  <si>
    <t>REMOÇÃO DE TELHAS DE FIBROCIMENTO METÁLICA E CERÂMICA, DE FORMA MANUAL, SEM REAPROVEITAMENTO. AF_09/2023 (M2)</t>
  </si>
  <si>
    <t>CARGA, MANOBRA E DESCARGA DE ENTULHO EM CAMINHÃO BASCULANTE 10 M³ - CARGA COM ESCAVADEIRA HIDRÁULICA (CAÇAMBA DE 0,80 M³ / 111 HP) E DESCARGA LIVRE (UNIDADE: M3). AF_07/2020 (M3)</t>
  </si>
  <si>
    <t>TRANSPORTE COM CAMINHÃO BASCULANTE DE 10 M³, EM VIA URBANA PAVIMENTADA, DMT ATÉ 30 KM (UNIDADE: M3XKM). AF_07/2020 (M3XKM)</t>
  </si>
  <si>
    <t>RETIRADA DE TRANSFORMADOR A ÓLEO (CJ)</t>
  </si>
  <si>
    <t>RETIRADA DE GRUPO GERADOR A ÓLEO NÃO CABINADO (CJ)</t>
  </si>
  <si>
    <t>SERVIÇOS DE INSTALAÇÃO DE GRUPO GERADOR DIESEL, COM CARENAGEM, POTENCIA STAND-BY 750 KVA, 380/220 V, FREQUÊNCIA DE 60 HZ (UN)</t>
  </si>
  <si>
    <t>SERVIÇO DE INSTALAÇÃO DE CABO DE COBRE FLEXÍVEL ISOLADO, 500 MM², ANTI-CHAMA 0,6/1,0 KV, PARA REDE DE DISTRIBUIÇÃO DE ENERGIA ELÉTRICA - FORNECIMENTO E INSTALAÇÃO. (M)</t>
  </si>
  <si>
    <t>PREPARAÇÃO DO PISO EM CONCRETO COM LIXAMENTO / APICOAMENTO PARA REMOÇÃO DA CAMADA DE ACABAMENTO (M2)</t>
  </si>
  <si>
    <t>PONTE DE ADERÊNCIA COM ADESIVO BASE ACRÍLICA (M2)</t>
  </si>
  <si>
    <t>EXECUÇÃO DE PISO DE CONCRETO, COM ACABAMENTO SUPERFICIAL, ESPESSURA DE 15 CM, FCK = 30 MPA, COM USO DE FORMAS EM MADEIRA SERRADA. AF_09/2021 (M2)</t>
  </si>
  <si>
    <t>PILAR METÁLICO PERFIL LAMINADO OU SOLDADO EM AÇO ESTRUTURAL, COM CONEXÕES SOLDADAS, INCLUSOS MÃO DE OBRA, TRANSPORTE E IÇAMENTO UTILIZANDO GUINDASTE - FORNECIMENTO E INSTALAÇÃO. AF_01/2020_PA (KG)</t>
  </si>
  <si>
    <t>BASE PARA FIXAÇÃO DE PILAR COM CHAPA DE ACO GROSSA, ASTM A36, E = 3/8" (9,53 MM) 74,69 KG/M2 E PARABOLTS (UN)</t>
  </si>
  <si>
    <t>TRAMA DE AÇO COMPOSTA POR TERÇAS PARA TELHADOS DE ATÉ 2 ÁGUAS PARA TELHA ONDULADA DE FIBROCIMENTO, METÁLICA, PLÁSTICA OU TERMOACÚSTICA, INCLUSO TRANSPORTE VERTICAL. AF_07/2019 (M2)</t>
  </si>
  <si>
    <t>TELHAMENTO COM TELHA DE AÇO/ALUMÍNIO E = 0,5 MM, COM ATÉ 2 ÁGUAS, INCLUSO IÇAMENTO. AF_07/2019 (M2)</t>
  </si>
  <si>
    <t>PINTURA COM TINTA ALQUÍDICA DE FUNDO (TIPO ZARCÃO) APLICADA A ROLO OU PINCEL SOBRE PERFIL METÁLICO EXECUTADO EM FÁBRICA (POR DEMÃO). AF_01/2020 (M2)</t>
  </si>
  <si>
    <t>PINTURA COM TINTA ALQUÍDICA DE ACABAMENTO (ESMALTE SINTÉTICO ACETINADO) APLICADA A ROLO OU PINCEL SOBRE PERFIL METÁLICO EXECUTADO EM FÁBRICA (POR DEMÃO). AF_01/2020 (M2)</t>
  </si>
  <si>
    <t>REMANEJAMENTO DE CABO DE COBRE FLEXÍVEL ISOLADO, 500 MM², ANTI-CHAMA 0,6/1,0 KV, PARA REDE DE DISTRIBUIÇÃO DE ENERGIA ELÉTRICA (INCLUI RETIRADA E REINSTALAÇÃO) (M)</t>
  </si>
  <si>
    <t>CABO DE COBRE FLEXÍVEL ISOLADO, 2,5 MM², ANTI-CHAMA 450/750 V, PARA CIRCUITOS TERMINAIS - FORNECIMENTO E INSTALAÇÃO. AF_03/2023 (M)</t>
  </si>
  <si>
    <t>CABO DE COBRE FLEXÍVEL ISOLADO, 2,5 MM², ANTI-CHAMA 0,6/1,0 KV, PARA CIRCUITOS TERMINAIS - FORNECIMENTO E INSTALAÇÃO. AF_03/2023 (M)</t>
  </si>
  <si>
    <t>CABO DE COBRE FLEXÍVEL ISOLADO, 4 MM², ANTI-CHAMA 0,6/1,0 KV, PARA CIRCUITOS TERMINAIS - FORNECIMENTO E INSTALAÇÃO. AF_03/2023 (M)</t>
  </si>
  <si>
    <t>CABO DE COBRE FLEXÍVEL ISOLADO, 6 MM², ANTI-CHAMA 0,6/1,0 KV, PARA CIRCUITOS TERMINAIS - FORNECIMENTO E INSTALAÇÃO. AF_03/2023 (M)</t>
  </si>
  <si>
    <t>CABO DE COBRE FLEXÍVEL ISOLADO, 10 MM², ANTI-CHAMA 0,6/1,0 KV, PARA CIRCUITOS TERMINAIS - FORNECIMENTO E INSTALAÇÃO. AF_03/2023 (M)</t>
  </si>
  <si>
    <t>CABO DE COBRE ISOLADO, 16 MM², ANTI-CHAMA 0,6/1 KV, INSTALADO EM ELETROCALHA OU PERFILADO - FORNECIMENTO E INSTALAÇÃO. AF_10/2020 (M)</t>
  </si>
  <si>
    <t>CABO DE COBRE ISOLADO, 25 MM², ANTI-CHAMA 0,6/1 KV, INSTALADO EM ELETROCALHA OU PERFILADO - FORNECIMENTO E INSTALAÇÃO. AF_10/2020 (M)</t>
  </si>
  <si>
    <t>CABO DE COBRE FLEXÍVEL ISOLADO, 35 MM², 0,6/1,0 KV, PARA REDE AÉREA DE DISTRIBUIÇÃO DE ENERGIA ELÉTRICA DE BAIXA TENSÃO - FORNECIMENTO E INSTALAÇÃO. AF_07/2020 (M)</t>
  </si>
  <si>
    <t>CORDOALHA DE COBRE NU 70 MM², ENTERRADA - FORNECIMENTO E INSTALAÇÃO. AF_08/2023 (M)</t>
  </si>
  <si>
    <t>EMENDA PARA CABO UTILIZANDO LUVA DE EMENDA PARA CABOS DE COBRE 2,5MM2 (UN)</t>
  </si>
  <si>
    <t>EMENDA PARA CABO UTILIZANDO LUVA DE EMENDA PARA CABOS DE COBRE 4 MM2 (UN)</t>
  </si>
  <si>
    <t>EMENDA PARA CABO UTILIZANDO LUVA DE EMENDA PARA CABOS DE COBRE 6MM2 (UN)</t>
  </si>
  <si>
    <t>EMENDA PARA CABO UTILIZANDO LUVA DE EMENDA PARA CABOS DE COBRE 10MM2 (UN)</t>
  </si>
  <si>
    <t>EMENDA PARA CABO UTILIZANDO LUVA DE EMENDA PARA CABOS DE COBRE 16MM2 (UN)</t>
  </si>
  <si>
    <t>EMENDA PARA CABO UTILIZANDO LUVA DE EMENDA PARA CABOS DE COBRE 25MM2 (UN)</t>
  </si>
  <si>
    <t>EMENDA PARA CABO UTILIZANDO LUVA DE EMENDA PARA CABOS DE COBRE 35MM2 (UN)</t>
  </si>
  <si>
    <t>ELETRODUTO RÍGIDO, ALUMINIO, 3/4", INSTALAÇÃO APARENTE - FORNECIMENTO E INSTALAÇÃO (M)</t>
  </si>
  <si>
    <t>ELETRODUTO RÍGIDO, ALUMINIO, 1", INSTALAÇÃO APARENTE - FORNECIMENTO E INSTALAÇÃO (M)</t>
  </si>
  <si>
    <t>FIXAÇÃO DE ELETRODUTOS, DIÂMETROS MENORES OU IGUAIS A 40 MM, COM ABRAÇADEIRA METÁLICA RÍGIDA TIPO D COM PARAFUSO DE FIXAÇÃO 1 1/4", FIXADA DIRETAMENTE NA LAJE OU PAREDE. AF_09/2023 (M)</t>
  </si>
  <si>
    <t>LEITO PARA CABOS, 400x100x3000mm - FORNECIMENTO E INSTALAÇÃO (UN)</t>
  </si>
  <si>
    <t>CONDULETE DE ALUMÍNIO, TIPO X, PARA ELETRODUTO DE AÇO GALVANIZADO DN 25 MM (1''), APARENTE - FORNECIMENTO E INSTALAÇÃO. AF_10/2022 (UN)</t>
  </si>
  <si>
    <t>CONDULETE DE ALUMÍNIO, TIPO T, PARA ELETRODUTO DE AÇO GALVANIZADO DN 25 MM (1''), APARENTE - FORNECIMENTO E INSTALAÇÃO. AF_10/2022 (UN)</t>
  </si>
  <si>
    <t>CONDULETE DE ALUMÍNIO, TIPO LR, PARA ELETRODUTO DE AÇO GALVANIZADO DN 32 MM (1 1/4''), APARENTE - FORNECIMENTO E INSTALAÇÃO. AF_10/2022 (UN)</t>
  </si>
  <si>
    <t>CONDULETE DE ALUMÍNIO, TIPO E, ELETRODUTO DE AÇO GALVANIZADO DN 25 MM (1''), APARENTE - FORNECIMENTO E INSTALAÇÃO. AF_10/2022 (UN)</t>
  </si>
  <si>
    <t>CONDULETE DE ALUMÍNIO, TIPO LB, PARA ELETRODUTO DE AÇO GALVANIZADO DN 25 MM (1''), APARENTE - FORNECIMENTO E INSTALAÇÃO. AF_10/2022 (UN)</t>
  </si>
  <si>
    <t>PLACA DE ADVERTÊNCIA PERIGO DE MORTE - FORNECIMENTO E INSTALAÇÃO (UN)</t>
  </si>
  <si>
    <t>TAPETE DE BORRACHA 100X50CM - HOMOLOGADO E COM CERTIFICADO PARA NR-10 NA ISOLAÇÃO DA SUBESTAÇÃO (pç)</t>
  </si>
  <si>
    <t>TAPETE DE BORRACHA 100X100CM - HOMOLOGADO E COM CERTIFICADO PARA NR-10 NA ISOLAÇÃO DA SUBESTAÇÃO - FORNECIMENTO E INSTALAÇÃO (UN)</t>
  </si>
  <si>
    <t>LUMINÁRIA DE EMERGÊNCIA COM DOIS FAROIS, 12 V, 220 V - FORNECIMENTO E INSTALAÇÃO (UN)</t>
  </si>
  <si>
    <t>LUMINÁRIA DE EMERGÊNCIA, COM 30 LÂMPADAS LED DE 2 W, SEM REATOR - FORNECIMENTO E INSTALAÇÃO. AF_09/2024 (UN)</t>
  </si>
  <si>
    <t>INTERRUPTOR SIMPLES (2 MÓDULOS), 10A/250V, INCLUINDO SUPORTE E PLACA - FORNECIMENTO E INSTALAÇÃO. AF_03/2023 (UN)</t>
  </si>
  <si>
    <t>TOMADA MÉDIA DE EMBUTIR (3 MÓDULOS), 2P+T 20 A, INCLUINDO SUPORTE E PLACA - FORNECIMENTO E INSTALAÇÃO. AF_03/2023 (UN)</t>
  </si>
  <si>
    <t>TOMADA MÉDIA DE EMBUTIR (3 MÓDULOS), 2P+T 10 A, INCLUINDO SUPORTE E PLACA - FORNECIMENTO E INSTALAÇÃO. AF_03/2023 (UN)</t>
  </si>
  <si>
    <t>QUADRO DE DISTRIBUIÇÃO DE ENERGIA EM CHAPA DE AÇO GALVANIZADO, DE SOBREPOR, COM BARRAMENTO TRIFÁSICO, PARA 18 DISJUNTORES DIN 100A - FORNECIMENTO E INSTALAÇÃO. AF_10/2020 (UN)</t>
  </si>
  <si>
    <t>TAMPA DOIS MODULOS PARA CONDULETE INTERRUPTOR - FORNECIMENTO E INSTALAÇÃO (UN)</t>
  </si>
  <si>
    <t>TAMPA VERTICAL PARA CONDULETE TOMADA - FORNECIMENTO E INSTALAÇÃO (UN)</t>
  </si>
  <si>
    <t>EXTINTOR DE INCÊNDIO PORTÁTIL COM CARGA DE PQS DE 6 KG, CLASSE BC - FORNECIMENTO E INSTALAÇÃO. AF_10/2020_PE (UN)</t>
  </si>
  <si>
    <t>GRAMPO HASTE TERRA 5/8" - FORNECIMENTO E INSTALAÇÃO (UN)</t>
  </si>
  <si>
    <t>HASTE DE ATERRAMENTO, DIÂMETRO 5/8", COM 3 METROS - FORNECIMENTO E INSTALAÇÃO. AF_08/2023 (UN)</t>
  </si>
  <si>
    <t>QGBT - PAINEIS DE 180x80x40 cm COM PORTA DIANTEIRA E TAMPA LATERAL REMOVÍVEL, EM CHAPA DE 1,9mmDE ESPESSURA, COM ELEMENTOS DE FIXAÇÃO E PROTEÇÃO INSTALADOS (un)</t>
  </si>
  <si>
    <t>DEMOLIÇÃO DE PISO DE CONCRETO SIMPLES, DE FORMA MANUAL, SEM REAPROVEITAMENTO. AF_09/2023 (M3)</t>
  </si>
  <si>
    <t>CANALETA DE PISO EM CONCRETO, 0,30x0,20M, EM "U", COM TAMPA - FORNECIMENTO E INSTALAÇÃO (M)</t>
  </si>
  <si>
    <t>FORNECIMENTO DE GRUPO GERADOR DIESEL, COM CARENAGEM, POTENCIA STAND-BY 750 KVA, 380/220 V, FREQUÊNCIA DE 60 HZ (un)</t>
  </si>
  <si>
    <t>FORNECIMENTO DE TRANSFORMADOR A SECO, 750 KVA, 13,8 KV / 380-220 V (un)</t>
  </si>
  <si>
    <t>CABO DE COBRE, FLEXIVEL, CLASSE 4 OU 5, ISOLACAO EM PVC/A, ANTICHAMA BWF-B, COBERTURA PVC-ST1, ANTICHAMA BWF-B, 1 CONDUTOR, 0,6/1 KV, SECAO NOMINAL 500 MM2 (M)</t>
  </si>
  <si>
    <t>SERVIÇOS DE INSTALAÇÃO DE TRANSFORMADOR A SECO, 750 KVA, 13,8 KV / 380-220 V (UN)</t>
  </si>
  <si>
    <t>GUINDAUTO HIDRÁULICO, CAPACIDADE MÁXIMA DE CARGA 6500 KG, MOMENTO MÁXIMO DE CARGA 5,8 TM, ALCANCE MÁXIMO HORIZONTAL 7,60 M, INCLUSIVE CAMINHÃO TOCO PBT 9.700 KG, POTÊNCIA DE 160 CV - CHI DIURNO. AF_08/2015 (CHI)</t>
  </si>
  <si>
    <t>GUINDAUTO HIDRÁULICO, CAPACIDADE MÁXIMA DE CARGA 6500 KG, MOMENTO MÁXIMO DE CARGA 5,8 TM, ALCANCE MÁXIMO HORIZONTAL 7,60 M, INCLUSIVE CAMINHÃO TOCO PBT 9.700 KG, POTÊNCIA DE 160 CV - CHP DIURNO. AF_08/2015 (CHP)</t>
  </si>
  <si>
    <t>REMOÇÃO DE TAPUME/ CHAPAS METÁLICAS E DE MADEIRA, DE FORMA MANUAL, SEM REAPROVEITAMENTO. AF_09/2023 (M2)</t>
  </si>
  <si>
    <t>ORÇAMENTO - MAPA DE COTAÇÃO DE PREÇOS</t>
  </si>
  <si>
    <t>SEM RETORNO</t>
  </si>
  <si>
    <t>CÓD. ITEM</t>
  </si>
  <si>
    <t>ORÇAMENTO - CURVA ABC DE SERVIÇOS</t>
  </si>
  <si>
    <t>95282</t>
  </si>
  <si>
    <t>DESEMPENADEIRA DE CONCRETO, PESO DE 78 KG, 4 PÁS, MOTOR A GASOLINA, POTÊNCIA 5,5 HP - CHP DIURNO. AF_05/2023</t>
  </si>
  <si>
    <t>95308</t>
  </si>
  <si>
    <t>CURSO DE CAPACITAÇÃO PARA AJUDANTE DE ARMADOR (ENCARGOS COMPLEMENTARES) - HORISTA</t>
  </si>
  <si>
    <t>95309</t>
  </si>
  <si>
    <t>CURSO DE CAPACITAÇÃO PARA AJUDANTE DE CARPINTEIRO (ENCARGOS COMPLEMENTARES) - HORISTA</t>
  </si>
  <si>
    <t>95310</t>
  </si>
  <si>
    <t>CURSO DE CAPACITAÇÃO PARA AJUDANTE DE ESTRUTURA METÁLICA (ENCARGOS COMPLEMENTARES) - HORISTA</t>
  </si>
  <si>
    <t>95314</t>
  </si>
  <si>
    <t>CURSO DE CAPACITAÇÃO PARA ARMADOR (ENCARGOS COMPLEMENTARES) - HORISTA</t>
  </si>
  <si>
    <t>88238</t>
  </si>
  <si>
    <t>AJUDANTE DE ARMADOR COM ENCARGOS COMPLEMENTARES</t>
  </si>
  <si>
    <t>88245</t>
  </si>
  <si>
    <t>ARMADOR COM ENCARGOS COMPLEMENTARES</t>
  </si>
  <si>
    <t>95316</t>
  </si>
  <si>
    <t>CURSO DE CAPACITAÇÃO PARA AUXILIAR DE ELETRICISTA (ENCARGOS COMPLEMENTARES) - HORISTA</t>
  </si>
  <si>
    <t>95317</t>
  </si>
  <si>
    <t>CURSO DE CAPACITAÇÃO PARA AUXILIAR DE ENCANADOR OU BOMBEIRO HIDRÁULICO (ENCARGOS COMPLEMENTARES) - HORISTA</t>
  </si>
  <si>
    <t>88281</t>
  </si>
  <si>
    <t>MOTORISTA DE BASCULANTE COM ENCARGOS COMPLEMENTARES</t>
  </si>
  <si>
    <t>91380</t>
  </si>
  <si>
    <t>CAMINHÃO BASCULANTE 10 M3, TRUCADO CABINE SIMPLES, PESO BRUTO TOTAL 23.000 KG, CARGA ÚTIL MÁXIMA 15.935 KG, DISTÂNCIA ENTRE EIXOS 4,80 M, POTÊNCIA 230 CV INCLUSIVE CAÇAMBA METÁLICA - DEPRECIAÇÃO. AF_06/2014</t>
  </si>
  <si>
    <t>91382</t>
  </si>
  <si>
    <t>CAMINHÃO BASCULANTE 10 M3, TRUCADO CABINE SIMPLES, PESO BRUTO TOTAL 23.000 KG, CARGA ÚTIL MÁXIMA 15.935 KG, DISTÂNCIA ENTRE EIXOS 4,80 M, POTÊNCIA 230 CV INCLUSIVE CAÇAMBA METÁLICA - IMPOSTOS E SEGUROS. AF_06/2014</t>
  </si>
  <si>
    <t>91381</t>
  </si>
  <si>
    <t>CAMINHÃO BASCULANTE 10 M3, TRUCADO CABINE SIMPLES, PESO BRUTO TOTAL 23.000 KG, CARGA ÚTIL MÁXIMA 15.935 KG, DISTÂNCIA ENTRE EIXOS 4,80 M, POTÊNCIA 230 CV INCLUSIVE CAÇAMBA METÁLICA - JUROS. AF_06/2014</t>
  </si>
  <si>
    <t>91383</t>
  </si>
  <si>
    <t>CAMINHÃO BASCULANTE 10 M3, TRUCADO CABINE SIMPLES, PESO BRUTO TOTAL 23.000 KG, CARGA ÚTIL MÁXIMA 15.935 KG, DISTÂNCIA ENTRE EIXOS 4,80 M, POTÊNCIA 230 CV INCLUSIVE CAÇAMBA METÁLICA - MANUTENÇÃO. AF_06/2014</t>
  </si>
  <si>
    <t>91384</t>
  </si>
  <si>
    <t>CAMINHÃO BASCULANTE 10 M3, TRUCADO CABINE SIMPLES, PESO BRUTO TOTAL 23.000 KG, CARGA ÚTIL MÁXIMA 15.935 KG, DISTÂNCIA ENTRE EIXOS 4,80 M, POTÊNCIA 230 CV INCLUSIVE CAÇAMBA METÁLICA - MATERIAIS NA OPERAÇÃO. AF_06/2014</t>
  </si>
  <si>
    <t>95330</t>
  </si>
  <si>
    <t>CURSO DE CAPACITAÇÃO PARA CARPINTEIRO DE FÔRMAS (ENCARGOS COMPLEMENTARES) - HORISTA</t>
  </si>
  <si>
    <t>95260</t>
  </si>
  <si>
    <t>COMPACTADOR DE SOLOS DE PERCUSÃO (SOQUETE) COM MOTOR A GASOLINA, POTÊNCIA 3 CV - DEPRECIAÇÃO. AF_09/2016</t>
  </si>
  <si>
    <t>95261</t>
  </si>
  <si>
    <t>COMPACTADOR DE SOLOS DE PERCUSÃO (SOQUETE) COM MOTOR A GASOLINA, POTÊNCIA 3 CV - JUROS. AF_09/2016</t>
  </si>
  <si>
    <t>95262</t>
  </si>
  <si>
    <t>COMPACTADOR DE SOLOS DE PERCUSÃO (SOQUETE) COM MOTOR A GASOLINA, POTÊNCIA 3 CV - MANUTENÇÃO. AF_09/2016</t>
  </si>
  <si>
    <t>95263</t>
  </si>
  <si>
    <t>COMPACTADOR DE SOLOS DE PERCUSÃO (SOQUETE) COM MOTOR A GASOLINA, POTÊNCIA 3 CV - MATERIAIS NA OPERAÇÃO. AF_09/2016</t>
  </si>
  <si>
    <t>95265</t>
  </si>
  <si>
    <t>COMPACTADOR DE SOLOS DE PERCUSÃO (SOQUETE) COM MOTOR A GASOLINA, POTÊNCIA 3 CV - CHI DIURNO. AF_09/2016</t>
  </si>
  <si>
    <t>95264</t>
  </si>
  <si>
    <t>COMPACTADOR DE SOLOS DE PERCUSÃO (SOQUETE) COM MOTOR A GASOLINA, POTÊNCIA 3 CV - CHP DIURNO. AF_09/2016</t>
  </si>
  <si>
    <t>90587</t>
  </si>
  <si>
    <t>VIBRADOR DE IMERSÃO, DIÂMETRO DE PONTEIRA 45MM, MOTOR ELÉTRICO TRIFÁSICO POTÊNCIA DE 2 CV - CHI DIURNO. AF_06/2015</t>
  </si>
  <si>
    <t>90586</t>
  </si>
  <si>
    <t>VIBRADOR DE IMERSÃO, DIÂMETRO DE PONTEIRA 45MM, MOTOR ELÉTRICO TRIFÁSICO POTÊNCIA DE 2 CV - CHP DIURNO. AF_06/2015</t>
  </si>
  <si>
    <t>95278</t>
  </si>
  <si>
    <t>DESEMPENADEIRA DE CONCRETO, PESO DE 78 KG, 4 PÁS, MOTOR A GASOLINA, POTÊNCIA 5,5 HP - DEPRECIAÇÃO. AF_05/2023</t>
  </si>
  <si>
    <t>95279</t>
  </si>
  <si>
    <t>DESEMPENADEIRA DE CONCRETO, PESO DE 78 KG, 4 PÁS, MOTOR A GASOLINA, POTÊNCIA 5,5 HP - JUROS. AF_05/2023</t>
  </si>
  <si>
    <t>95280</t>
  </si>
  <si>
    <t>DESEMPENADEIRA DE CONCRETO, PESO DE 78 KG, 4 PÁS, MOTOR A GASOLINA, POTÊNCIA 5,5 HP - MANUTENÇÃO. AF_05/2023</t>
  </si>
  <si>
    <t>95281</t>
  </si>
  <si>
    <t>DESEMPENADEIRA DE CONCRETO, PESO DE 78 KG, 4 PÁS, MOTOR A GASOLINA, POTÊNCIA 5,5 HP MATERIAIS NA OPERAÇÃO. AF_05/2023</t>
  </si>
  <si>
    <t>95332</t>
  </si>
  <si>
    <t>CURSO DE CAPACITAÇÃO PARA ELETRICISTA (ENCARGOS COMPLEMENTARES) - HORISTA</t>
  </si>
  <si>
    <t>95335</t>
  </si>
  <si>
    <t>CURSO DE CAPACITAÇÃO PARA ENCANADOR OU BOMBEIRO HIDRÁULICO (ENCARGOS COMPLEMENTARES) - HORISTA</t>
  </si>
  <si>
    <t>95422</t>
  </si>
  <si>
    <t>CURSO DE CAPACITAÇÃO PARA ENCARREGADO GERAL DE OBRAS (ENCARGOS COMPLEMENTARES) - MENSALISTA</t>
  </si>
  <si>
    <t>95417</t>
  </si>
  <si>
    <t>CURSO DE CAPACITAÇÃO PARA ENGENHEIRO CIVIL DE OBRA PLENO (ENCARGOS COMPLEMENTARES) - MENSALISTA</t>
  </si>
  <si>
    <t>88294</t>
  </si>
  <si>
    <t>OPERADOR DE ESCAVADEIRA COM ENCARGOS COMPLEMENTARES</t>
  </si>
  <si>
    <t>5627</t>
  </si>
  <si>
    <t>ESCAVADEIRA HIDRÁULICA SOBRE ESTEIRAS, CAÇAMBA 0,80 M3, PESO OPERACIONAL 17 T, POTENCIA BRUTA 111 HP - DEPRECIAÇÃO. AF_06/2014</t>
  </si>
  <si>
    <t>5628</t>
  </si>
  <si>
    <t>ESCAVADEIRA HIDRÁULICA SOBRE ESTEIRAS, CAÇAMBA 0,80 M3, PESO OPERACIONAL 17 T, POTENCIA BRUTA 111 HP - JUROS. AF_06/2014</t>
  </si>
  <si>
    <t>5629</t>
  </si>
  <si>
    <t>ESCAVADEIRA HIDRÁULICA SOBRE ESTEIRAS, CAÇAMBA 0,80 M3, PESO OPERACIONAL 17 T, POTENCIA BRUTA 111 HP - MANUTENÇÃO. AF_06/2014</t>
  </si>
  <si>
    <t>5630</t>
  </si>
  <si>
    <t>ESCAVADEIRA HIDRÁULICA SOBRE ESTEIRAS, CAÇAMBA 0,80 M3, PESO OPERACIONAL 17 T, POTENCIA BRUTA 111 HP - MATERIAIS NA OPERAÇÃO. AF_06/2014</t>
  </si>
  <si>
    <t>88295</t>
  </si>
  <si>
    <t>OPERADOR DE GUINCHO COM ENCARGOS COMPLEMENTARES</t>
  </si>
  <si>
    <t>93277</t>
  </si>
  <si>
    <t>GUINCHO ELÉTRICO DE COLUNA, CAPACIDADE 400 KG, COM MOTO FREIO, MOTOR TRIFÁSICO DE 1,25 CV - DEPRECIAÇÃO. AF_03/2016</t>
  </si>
  <si>
    <t>93278</t>
  </si>
  <si>
    <t>GUINCHO ELÉTRICO DE COLUNA, CAPACIDADE 400 KG, COM MOTO FREIO, MOTOR TRIFÁSICO DE 1,25 CV - JUROS. AF_03/2016</t>
  </si>
  <si>
    <t>93279</t>
  </si>
  <si>
    <t>GUINCHO ELÉTRICO DE COLUNA, CAPACIDADE 400 KG, COM MOTO FREIO, MOTOR TRIFÁSICO DE 1,25 CV - MANUTENÇÃO. AF_03/2016</t>
  </si>
  <si>
    <t>93280</t>
  </si>
  <si>
    <t>GUINCHO ELÉTRICO DE COLUNA, CAPACIDADE 400 KG, COM MOTO FREIO, MOTOR TRIFÁSICO DE 1,25 CV - MATERIAIS NA OPERAÇÃO. AF_03/2016</t>
  </si>
  <si>
    <t>TOTAL Especiais:</t>
  </si>
  <si>
    <t>88296</t>
  </si>
  <si>
    <t>OPERADOR DE GUINDASTE COM ENCARGOS COMPLEMENTARES</t>
  </si>
  <si>
    <t>93283</t>
  </si>
  <si>
    <t>GUINDASTE HIDRÁULICO AUTOPROPELIDO, COM LANÇA TELESCÓPICA 40 M, CAPACIDADE MÁXIMA 60 T, POTÊNCIA 260 KW - DEPRECIAÇÃO. AF_03/2016</t>
  </si>
  <si>
    <t>93296</t>
  </si>
  <si>
    <t>GUINDASTE HIDRÁULICO AUTOPROPELIDO, COM LANÇA TELESCÓPICA 40 M, CAPACIDADE MÁXIMA 60 T, POTÊNCIA 260 KW - IMPOSTOS E SEGUROS. AF_03/2016</t>
  </si>
  <si>
    <t>93284</t>
  </si>
  <si>
    <t>GUINDASTE HIDRÁULICO AUTOPROPELIDO, COM LANÇA TELESCÓPICA 40 M, CAPACIDADE MÁXIMA 60 T, POTÊNCIA 260 KW - JUROS. AF_03/2016</t>
  </si>
  <si>
    <t>93285</t>
  </si>
  <si>
    <t>GUINDASTE HIDRÁULICO AUTOPROPELIDO, COM LANÇA TELESCÓPICA 40 M, CAPACIDADE MÁXIMA 60 T, POTÊNCIA 260 KW - MANUTENÇÃO. AF_03/2016</t>
  </si>
  <si>
    <t>93286</t>
  </si>
  <si>
    <t>GUINDASTE HIDRÁULICO AUTOPROPELIDO, COM LANÇA TELESCÓPICA 40 M, CAPACIDADE MÁXIMA 60 T, POTÊNCIA 260 KW - MATERIAIS NA OPERAÇÃO. AF_03/2016</t>
  </si>
  <si>
    <t>93397</t>
  </si>
  <si>
    <t>GUINDAUTO HIDRÁULICO, CAPACIDADE MÁXIMA DE CARGA 3300 KG, MOMENTO MÁXIMO DE CARGA 5,8 TM, ALCANCE MÁXIMO HORIZONTAL 7,60 M, INCLUSIVE CAMINHÃO TOCO PBT 16.000 KG, POTÊNCIA DE 189 CV - DEPRECIAÇÃO. AF_03/2016</t>
  </si>
  <si>
    <t>93399</t>
  </si>
  <si>
    <t>GUINDAUTO HIDRÁULICO, CAPACIDADE MÁXIMA DE CARGA 3300 KG, MOMENTO MÁXIMO DE CARGA 5,8 TM, ALCANCE MÁXIMO HORIZONTAL 7,60 M, INCLUSIVE CAMINHÃO TOCO PBT 16.000 KG, POTÊNCIA DE 189 CV - IMPOSTOS E SEGUROS. AF_03/2016</t>
  </si>
  <si>
    <t>93398</t>
  </si>
  <si>
    <t>GUINDAUTO HIDRÁULICO, CAPACIDADE MÁXIMA DE CARGA 3300 KG, MOMENTO MÁXIMO DE CARGA 5,8 TM, ALCANCE MÁXIMO HORIZONTAL 7,60 M, INCLUSIVE CAMINHÃO TOCO PBT 16.000 KG, POTÊNCIA DE 189 CV - JUROS. AF_03/2016</t>
  </si>
  <si>
    <t>93400</t>
  </si>
  <si>
    <t>GUINDAUTO HIDRÁULICO, CAPACIDADE MÁXIMA DE CARGA 3300 KG, MOMENTO MÁXIMO DE CARGA 5,8 TM, ALCANCE MÁXIMO HORIZONTAL 7,60 M, INCLUSIVE CAMINHÃO TOCO PBT 16.000 KG, POTÊNCIA DE 189 CV - MANUTENÇÃO. AF_03/2016</t>
  </si>
  <si>
    <t>93401</t>
  </si>
  <si>
    <t>GUINDAUTO HIDRÁULICO, CAPACIDADE MÁXIMA DE CARGA 3300 KG, MOMENTO MÁXIMO DE CARGA 5,8 TM, ALCANCE MÁXIMO HORIZONTAL 7,60 M, INCLUSIVE CAMINHÃO TOCO PBT 16.000 KG, POTÊNCIA DE 189 CV - MATERIAIS NA OPERAÇÃO. AF_03/2016</t>
  </si>
  <si>
    <t>89259</t>
  </si>
  <si>
    <t>GUINDAUTO HIDRÁULICO, CAPACIDADE MÁXIMA DE CARGA 6200 KG, MOMENTO MÁXIMO DE CARGA 11,7 TM, ALCANCE MÁXIMO HORIZONTAL 9,70 M, INCLUSIVE CAMINHÃO TOCO PBT 16.000 KG, POTÊNCIA DE 189 CV - DEPRECIAÇÃO. AF_06/2014</t>
  </si>
  <si>
    <t>91466</t>
  </si>
  <si>
    <t>GUINDAUTO HIDRÁULICO, CAPACIDADE MÁXIMA DE CARGA 6200 KG, MOMENTO MÁXIMO DE CARGA 11,7 TM, ALCANCE MÁXIMO HORIZONTAL 9,70 M, INCLUSIVE CAMINHÃO TOCO PBT 16.000 KG, POTÊNCIA DE 189 CV - IMPOSTOS E SEGUROS. AF_08/2015</t>
  </si>
  <si>
    <t>89260</t>
  </si>
  <si>
    <t>GUINDAUTO HIDRÁULICO, CAPACIDADE MÁXIMA DE CARGA 6200 KG, MOMENTO MÁXIMO DE CARGA 11,7 TM, ALCANCE MÁXIMO HORIZONTAL 9,70 M, INCLUSIVE CAMINHÃO TOCO PBT 16.000 KG, POTÊNCIA DE 189 CV - JUROS. AF_06/2014</t>
  </si>
  <si>
    <t>89262</t>
  </si>
  <si>
    <t>GUINDAUTO HIDRÁULICO, CAPACIDADE MÁXIMA DE CARGA 6200 KG, MOMENTO MÁXIMO DE CARGA 11,7 TM, ALCANCE MÁXIMO HORIZONTAL 9,70 M, INCLUSIVE CAMINHÃO TOCO PBT 16.000 KG, POTÊNCIA DE 189 CV - MANUTENÇÃO. AF_06/2014</t>
  </si>
  <si>
    <t>91467</t>
  </si>
  <si>
    <t>GUINDAUTO HIDRÁULICO, CAPACIDADE MÁXIMA DE CARGA 6200 KG, MOMENTO MÁXIMO DE CARGA 11,7 TM, ALCANCE MÁXIMO HORIZONTAL 9,70 M, INCLUSIVE CAMINHÃO TOCO PBT 16.000 KG, POTÊNCIA DE 189 CV - MATERIAIS NA OPERAÇÃO. AF_08/2015</t>
  </si>
  <si>
    <t>93409</t>
  </si>
  <si>
    <t>MÁQUINA JATO DE PRESSAO PORTÁTIL, CAMARA DE 1 SAIDA, CAPACIDADE 280 L, DIAMETRO 670 MM, BICO DE JATO CURTO VENTURI DE 5/16" , MANGUEIRA DE 1" COM COMPRESSOR DE AR REBOCÁVEL 189 PCM E MOTOR DIESEL 63 CV - CHI DIURNO. AF_05/2023</t>
  </si>
  <si>
    <t>93408</t>
  </si>
  <si>
    <t>MÁQUINA JATO DE PRESSAO PORTÁTIL, CAMARA DE 1 SAIDA, CAPACIDADE 280 L, DIAMETRO 670 MM, BICO DE JATO CURTO VENTURI DE 5/16" , MANGUEIRA DE 1" COM COMPRESSOR DE AR REBOCÁVEL 189 PCM E MOTOR DIESEL 63 CV - CHP DIURNO. AF_05/2023</t>
  </si>
  <si>
    <t>SC25K</t>
  </si>
  <si>
    <t>88306</t>
  </si>
  <si>
    <t>OPERADOR JATO DE AREIA OU JATISTA COM ENCARGOS COMPLEMENTARES</t>
  </si>
  <si>
    <t>91278</t>
  </si>
  <si>
    <t>PLACA VIBRATÓRIA REVERSÍVEL COM MOTOR 4 TEMPOS A GASOLINA, FORÇA CENTRÍFUGA DE 25 KN (2500 KGF), POTÊNCIA 5,5 CV - CHI DIURNO. AF_08/2015</t>
  </si>
  <si>
    <t>91277</t>
  </si>
  <si>
    <t>PLACA VIBRATÓRIA REVERSÍVEL COM MOTOR 4 TEMPOS A GASOLINA, FORÇA CENTRÍFUGA DE 25 KN (2500 KGF), POTÊNCIA 5,5 CV - CHP DIURNO. AF_08/2015</t>
  </si>
  <si>
    <t>95344</t>
  </si>
  <si>
    <t>CURSO DE CAPACITAÇÃO PARA MONTADOR DE ESTRUTURA METÁLICA (ENCARGOS COMPLEMENTARES) - HORISTA</t>
  </si>
  <si>
    <t>95345</t>
  </si>
  <si>
    <t>CURSO DE CAPACITAÇÃO PARA MONTADOR ELETROMECÂNICO (ENCARGOS COMPLEMENTARES) - HORISTA</t>
  </si>
  <si>
    <t>95346</t>
  </si>
  <si>
    <t>CURSO DE CAPACITAÇÃO PARA MOTORISTA DE BASCULANTE (ENCARGOS COMPLEMENTARES) - HORISTA</t>
  </si>
  <si>
    <t>95351</t>
  </si>
  <si>
    <t>CURSO DE CAPACITAÇÃO PARA MOTORISTA OPERADOR DE MUNCK (ENCARGOS COMPLEMENTARES) - HORISTA</t>
  </si>
  <si>
    <t>93404</t>
  </si>
  <si>
    <t>MÁQUINA JATO DE PRESSAO PORTÁTIL, CAMARA DE 1 SAIDA, CAPACIDADE 280 L, DIAMETRO 670 MM, BICO DE JATO CURTO VENTURI DE 5/16" , MANGUEIRA DE 1" COM COMPRESSOR DE AR REBOCÁVEL 189 PCM E MOTOR DIESEL 63 CV - DEPRECIAÇÃO. AF_05/2023</t>
  </si>
  <si>
    <t>93405</t>
  </si>
  <si>
    <t>MÁQUINA JATO DE PRESSAO PORTÁTIL, CAMARA DE 1 SAIDA, CAPACIDADE 280 L, DIAMETRO 670 MM, BICO DE JATO CURTO VENTURI DE 5/16" , MANGUEIRA DE 1" COM COMPRESSOR DE AR REBOCÁVEL 189 PCM E MOTOR DIESEL 63 CV - JUROS. AF_05/2023</t>
  </si>
  <si>
    <t>93406</t>
  </si>
  <si>
    <t>MÁQUINA JATO DE PRESSAO PORTÁTIL, CAMARA DE 1 SAIDA, CAPACIDADE 280 L, DIAMETRO 670 MM, BICO DE JATO CURTO VENTURI DE 5/16" , MANGUEIRA DE 1" COM COMPRESSOR DE AR REBOCÁVEL 189 PCM E MOTOR DIESEL 63 CV - MANUTENÇÃO. AF_05/2023</t>
  </si>
  <si>
    <t>93407</t>
  </si>
  <si>
    <t>MÁQUINA JATO DE PRESSAO PORTÁTIL, CAMARA DE 1 SAIDA, CAPACIDADE 280 L, DIAMETRO 670 MM, BICO DE JATO CURTO VENTURI DE 5/16" , MANGUEIRA DE 1" COM COMPRESSOR DE AR REBOCÁVEL 189 PCM E MOTOR DIESEL 63 CV - MATERIAIS NA OPERAÇÃO. AF_05/2023</t>
  </si>
  <si>
    <t>95357</t>
  </si>
  <si>
    <t>CURSO DE CAPACITAÇÃO PARA OPERADOR DE ESCAVADEIRA (ENCARGOS COMPLEMENTARES) - HORISTA</t>
  </si>
  <si>
    <t>95358</t>
  </si>
  <si>
    <t>CURSO DE CAPACITAÇÃO PARA OPERADOR DE GUINCHO (ENCARGOS COMPLEMENTARES) - HORISTA</t>
  </si>
  <si>
    <t>95359</t>
  </si>
  <si>
    <t>CURSO DE CAPACITAÇÃO PARA OPERADOR DE GUINDASTE (ENCARGOS COMPLEMENTARES) - HORISTA</t>
  </si>
  <si>
    <t>95360</t>
  </si>
  <si>
    <t>CURSO DE CAPACITAÇÃO PARA OPERADOR DE MÁQUINAS E EQUIPAMENTOS (ENCARGOS COMPLEMENTARES) - HORISTA</t>
  </si>
  <si>
    <t>95368</t>
  </si>
  <si>
    <t>CURSO DE CAPACITAÇÃO PARA OPERADOR JATO DE AREIA OU JATISTA (ENCARGOS COMPLEMENTARES) - HORISTA</t>
  </si>
  <si>
    <t>95371</t>
  </si>
  <si>
    <t>CURSO DE CAPACITAÇÃO PARA PEDREIRO (ENCARGOS COMPLEMENTARES) - HORISTA</t>
  </si>
  <si>
    <t>95372</t>
  </si>
  <si>
    <t>CURSO DE CAPACITAÇÃO PARA PINTOR (ENCARGOS COMPLEMENTARES) - HORISTA</t>
  </si>
  <si>
    <t>91273</t>
  </si>
  <si>
    <t>PLACA VIBRATÓRIA REVERSÍVEL COM MOTOR 4 TEMPOS A GASOLINA, FORÇA CENTRÍFUGA DE 25 KN (2500 KGF), POTÊNCIA 5,5 CV - DEPRECIAÇÃO. AF_08/2015</t>
  </si>
  <si>
    <t>91274</t>
  </si>
  <si>
    <t>PLACA VIBRATÓRIA REVERSÍVEL COM MOTOR 4 TEMPOS A GASOLINA, FORÇA CENTRÍFUGA DE 25 KN (2500 KGF), POTÊNCIA 5,5 CV - JUROS. AF_08/2015</t>
  </si>
  <si>
    <t>91275</t>
  </si>
  <si>
    <t>PLACA VIBRATÓRIA REVERSÍVEL COM MOTOR 4 TEMPOS A GASOLINA, FORÇA CENTRÍFUGA DE 25 KN (2500 KGF), POTÊNCIA 5,5 CV - MANUTENÇÃO. AF_08/2015</t>
  </si>
  <si>
    <t>91276</t>
  </si>
  <si>
    <t>PLACA VIBRATÓRIA REVERSÍVEL COM MOTOR 4 TEMPOS A GASOLINA, FORÇA CENTRÍFUGA DE 25 KN (2500 KGF), POTÊNCIA 5,5 CV - MATERIAIS NA OPERAÇÃO. AF_08/2015</t>
  </si>
  <si>
    <t>88297</t>
  </si>
  <si>
    <t>OPERADOR DE MÁQUINAS E EQUIPAMENTOS COM ENCARGOS COMPLEMENTARES</t>
  </si>
  <si>
    <t>91688</t>
  </si>
  <si>
    <t>SERRA CIRCULAR DE BANCADA COM MOTOR ELÉTRICO POTÊNCIA DE 5HP, COM COIFA PARA DISCO 10" - DEPRECIAÇÃO. AF_08/2015</t>
  </si>
  <si>
    <t>91689</t>
  </si>
  <si>
    <t>SERRA CIRCULAR DE BANCADA COM MOTOR ELÉTRICO POTÊNCIA DE 5HP, COM COIFA PARA DISCO 10" - JUROS. AF_08/2015</t>
  </si>
  <si>
    <t>91690</t>
  </si>
  <si>
    <t>SERRA CIRCULAR DE BANCADA COM MOTOR ELÉTRICO POTÊNCIA DE 5HP, COM COIFA PARA DISCO 10" - MANUTENÇÃO. AF_08/2015</t>
  </si>
  <si>
    <t>91691</t>
  </si>
  <si>
    <t>SERRA CIRCULAR DE BANCADA COM MOTOR ELÉTRICO POTÊNCIA DE 5HP, COM COIFA PARA DISCO 10" - MATERIAIS NA OPERAÇÃO. AF_08/2015</t>
  </si>
  <si>
    <t>95378</t>
  </si>
  <si>
    <t>CURSO DE CAPACITAÇÃO PARA SERVENTE (ENCARGOS COMPLEMENTARES) - HORISTA</t>
  </si>
  <si>
    <t>95379</t>
  </si>
  <si>
    <t>CURSO DE CAPACITAÇÃO PARA SOLDADOR (ENCARGOS COMPLEMENTARES) - HORISTA</t>
  </si>
  <si>
    <t>95385</t>
  </si>
  <si>
    <t>CURSO DE CAPACITAÇÃO PARA TELHADISTA (ENCARGOS COMPLEMENTARES) - HORISTA</t>
  </si>
  <si>
    <t>100315</t>
  </si>
  <si>
    <t>CURSO DE CAPACITAÇÃO PARA TÉCNICO EM SEGURANÇA DO TRABALHO (ENCARGOS COMPLEMENTARES) - MENSALISTA</t>
  </si>
  <si>
    <t>90582</t>
  </si>
  <si>
    <t>VIBRADOR DE IMERSÃO, DIÂMETRO DE PONTEIRA 45MM, MOTOR ELÉTRICO TRIFÁSICO POTÊNCIA DE 2 CV - DEPRECIAÇÃO. AF_06/2015</t>
  </si>
  <si>
    <t>90583</t>
  </si>
  <si>
    <t>VIBRADOR DE IMERSÃO, DIÂMETRO DE PONTEIRA 45MM, MOTOR ELÉTRICO TRIFÁSICO POTÊNCIA DE 2 CV - JUROS. AF_06/2015</t>
  </si>
  <si>
    <t>90584</t>
  </si>
  <si>
    <t>VIBRADOR DE IMERSÃO, DIÂMETRO DE PONTEIRA 45MM, MOTOR ELÉTRICO TRIFÁSICO POTÊNCIA DE 2 CV - MANUTENÇÃO. AF_06/2015</t>
  </si>
  <si>
    <t>90585</t>
  </si>
  <si>
    <t>VIBRADOR DE IMERSÃO, DIÂMETRO DE PONTEIRA 45MM, MOTOR ELÉTRICO TRIFÁSICO POTÊNCIA DE 2 CV - MATERIAIS NA OPERAÇÃO. AF_06/2015</t>
  </si>
  <si>
    <t>ORÇAMENTO - PLANILHA ANALÍTICA DE COMPOSIÇÕES AUXILIARES</t>
  </si>
  <si>
    <t>ACABAMENTO POLIDO PARA PISO DE CONCRETO ARMADO OU LAJE SOBRE SOLO DE ALTA RESISTÊNCIA. AF_09/2021 (M2)</t>
  </si>
  <si>
    <t>AJUDANTE DE ARMADOR COM ENCARGOS COMPLEMENTARES (H)</t>
  </si>
  <si>
    <t>AJUDANTE DE CARPINTEIRO COM ENCARGOS COMPLEMENTARES (H)</t>
  </si>
  <si>
    <t>AJUDANTE DE ESTRUTURA METÁLICA COM ENCARGOS COMPLEMENTARES (H)</t>
  </si>
  <si>
    <t>ARMADOR COM ENCARGOS COMPLEMENTARES (H)</t>
  </si>
  <si>
    <t>ARMAÇÃO PARA EXECUÇÃO DE RADIER, PISO DE CONCRETO OU LAJE SOBRE SOLO, COM USO DE TELA Q-196. AF_09/2021 (KG)</t>
  </si>
  <si>
    <t>AUXILIAR DE ELETRICISTA COM ENCARGOS COMPLEMENTARES (H)</t>
  </si>
  <si>
    <t>AUXILIAR DE ENCANADOR OU BOMBEIRO HIDRÁULICO COM ENCARGOS COMPLEMENTARES (H)</t>
  </si>
  <si>
    <t>ENGENHEIRO CIVIL DE OBRA PLENO COM ENCARGOS COMPLEMENTARES (MES)</t>
  </si>
  <si>
    <t>CAMADA SEPARADORA PARA EXECUÇÃO DE RADIER, PISO DE CONCRETO OU LAJE SOBRE SOLO, EM LONA PLÁSTICA. AF_09/2021 (M2)</t>
  </si>
  <si>
    <t>CAMINHÃO BASCULANTE 10 M3, TRUCADO CABINE SIMPLES, PESO BRUTO TOTAL 23.000 KG, CARGA ÚTIL MÁXIMA 15.935 KG, DISTÂNCIA ENTRE EIXOS 4,80 M, POTÊNCIA 230 CV INCLUSIVE CAÇAMBA METÁLICA - CHI DIURNO. AF_06/2014 (CHI)</t>
  </si>
  <si>
    <t>CAMINHÃO BASCULANTE 10 M3, TRUCADO CABINE SIMPLES, PESO BRUTO TOTAL 23.000 KG, CARGA ÚTIL MÁXIMA 15.935 KG, DISTÂNCIA ENTRE EIXOS 4,80 M, POTÊNCIA 230 CV INCLUSIVE CAÇAMBA METÁLICA - CHP DIURNO. AF_06/2014 (CHP)</t>
  </si>
  <si>
    <t>CAMINHÃO BASCULANTE 10 M3, TRUCADO CABINE SIMPLES, PESO BRUTO TOTAL 23.000 KG, CARGA ÚTIL MÁXIMA 15.935 KG, DISTÂNCIA ENTRE EIXOS 4,80 M, POTÊNCIA 230 CV INCLUSIVE CAÇAMBA METÁLICA - DEPRECIAÇÃO. AF_06/2014 (H)</t>
  </si>
  <si>
    <t>CAMINHÃO BASCULANTE 10 M3, TRUCADO CABINE SIMPLES, PESO BRUTO TOTAL 23.000 KG, CARGA ÚTIL MÁXIMA 15.935 KG, DISTÂNCIA ENTRE EIXOS 4,80 M, POTÊNCIA 230 CV INCLUSIVE CAÇAMBA METÁLICA - IMPOSTOS E SEGUROS. AF_06/2014 (H)</t>
  </si>
  <si>
    <t>CAMINHÃO BASCULANTE 10 M3, TRUCADO CABINE SIMPLES, PESO BRUTO TOTAL 23.000 KG, CARGA ÚTIL MÁXIMA 15.935 KG, DISTÂNCIA ENTRE EIXOS 4,80 M, POTÊNCIA 230 CV INCLUSIVE CAÇAMBA METÁLICA - JUROS. AF_06/2014 (H)</t>
  </si>
  <si>
    <t>CAMINHÃO BASCULANTE 10 M3, TRUCADO CABINE SIMPLES, PESO BRUTO TOTAL 23.000 KG, CARGA ÚTIL MÁXIMA 15.935 KG, DISTÂNCIA ENTRE EIXOS 4,80 M, POTÊNCIA 230 CV INCLUSIVE CAÇAMBA METÁLICA - MANUTENÇÃO. AF_06/2014 (H)</t>
  </si>
  <si>
    <t>CAMINHÃO BASCULANTE 10 M3, TRUCADO CABINE SIMPLES, PESO BRUTO TOTAL 23.000 KG, CARGA ÚTIL MÁXIMA 15.935 KG, DISTÂNCIA ENTRE EIXOS 4,80 M, POTÊNCIA 230 CV INCLUSIVE CAÇAMBA METÁLICA - MATERIAIS NA OPERAÇÃO. AF_06/2014 (H)</t>
  </si>
  <si>
    <t>CARPINTEIRO DE FORMAS COM ENCARGOS COMPLEMENTARES (H)</t>
  </si>
  <si>
    <t>COMPACTADOR DE SOLOS DE PERCUSÃO (SOQUETE) COM MOTOR A GASOLINA, POTÊNCIA 3 CV - CHI DIURNO. AF_09/2016 (CHI)</t>
  </si>
  <si>
    <t>COMPACTADOR DE SOLOS DE PERCUSÃO (SOQUETE) COM MOTOR A GASOLINA, POTÊNCIA 3 CV - CHP DIURNO. AF_09/2016 (CHP)</t>
  </si>
  <si>
    <t>COMPACTADOR DE SOLOS DE PERCUSÃO (SOQUETE) COM MOTOR A GASOLINA, POTÊNCIA 3 CV - DEPRECIAÇÃO. AF_09/2016 (H)</t>
  </si>
  <si>
    <t>COMPACTADOR DE SOLOS DE PERCUSÃO (SOQUETE) COM MOTOR A GASOLINA, POTÊNCIA 3 CV - JUROS. AF_09/2016 (H)</t>
  </si>
  <si>
    <t>COMPACTADOR DE SOLOS DE PERCUSÃO (SOQUETE) COM MOTOR A GASOLINA, POTÊNCIA 3 CV - MANUTENÇÃO. AF_09/2016 (H)</t>
  </si>
  <si>
    <t>COMPACTADOR DE SOLOS DE PERCUSÃO (SOQUETE) COM MOTOR A GASOLINA, POTÊNCIA 3 CV - MATERIAIS NA OPERAÇÃO. AF_09/2016 (H)</t>
  </si>
  <si>
    <t>COMPACTAÇÃO MECÂNICA DE SOLO PARA EXECUÇÃO DE RADIER, PISO DE CONCRETO OU LAJE SOBRE SOLO, COM COMPACTADOR DE SOLOS A PERCUSSÃO. AF_09/2021 (M2)</t>
  </si>
  <si>
    <t>CONCRETAGEM DE RADIER, PISO DE CONCRETO OU LAJE SOBRE SOLO, FCK 30 MPA - LANÇAMENTO, ADENSAMENTO E ACABAMENTO. AF_09/2021 (M3)</t>
  </si>
  <si>
    <t>CONCRETO MAGRO PARA LASTRO, TRAÇO 1:4,5:4,5 (EM MASSA SECA DE CIMENTO/ AREIA MÉDIA/ BRITA 1) - PREPARO MANUAL. AF_05/2021 (M3)</t>
  </si>
  <si>
    <t>CURSO DE CAPACITAÇÃO PARA AJUDANTE DE ARMADOR (ENCARGOS COMPLEMENTARES) - HORISTA (H)</t>
  </si>
  <si>
    <t>CURSO DE CAPACITAÇÃO PARA AJUDANTE DE CARPINTEIRO (ENCARGOS COMPLEMENTARES) - HORISTA (H)</t>
  </si>
  <si>
    <t>CURSO DE CAPACITAÇÃO PARA AJUDANTE DE ESTRUTURA METÁLICA (ENCARGOS COMPLEMENTARES) - HORISTA (H)</t>
  </si>
  <si>
    <t>CURSO DE CAPACITAÇÃO PARA ARMADOR (ENCARGOS COMPLEMENTARES) - HORISTA (H)</t>
  </si>
  <si>
    <t>CURSO DE CAPACITAÇÃO PARA AUXILIAR DE ELETRICISTA (ENCARGOS COMPLEMENTARES) - HORISTA (H)</t>
  </si>
  <si>
    <t>CURSO DE CAPACITAÇÃO PARA AUXILIAR DE ENCANADOR OU BOMBEIRO HIDRÁULICO (ENCARGOS COMPLEMENTARES) - HORISTA (H)</t>
  </si>
  <si>
    <t>CURSO DE CAPACITAÇÃO PARA CARPINTEIRO DE FÔRMAS (ENCARGOS COMPLEMENTARES) - HORISTA (H)</t>
  </si>
  <si>
    <t>CURSO DE CAPACITAÇÃO PARA ELETRICISTA (ENCARGOS COMPLEMENTARES) - HORISTA (H)</t>
  </si>
  <si>
    <t>CURSO DE CAPACITAÇÃO PARA ENCANADOR OU BOMBEIRO HIDRÁULICO (ENCARGOS COMPLEMENTARES) - HORISTA (H)</t>
  </si>
  <si>
    <t>CURSO DE CAPACITAÇÃO PARA ENCARREGADO GERAL DE OBRAS (ENCARGOS COMPLEMENTARES) - MENSALISTA (MES)</t>
  </si>
  <si>
    <t>CURSO DE CAPACITAÇÃO PARA ENGENHEIRO CIVIL DE OBRA PLENO (ENCARGOS COMPLEMENTARES) - MENSALISTA (MES)</t>
  </si>
  <si>
    <t>CURSO DE CAPACITAÇÃO PARA MONTADOR DE ESTRUTURA METÁLICA (ENCARGOS COMPLEMENTARES) - HORISTA (H)</t>
  </si>
  <si>
    <t>CURSO DE CAPACITAÇÃO PARA MONTADOR ELETROMECÂNICO (ENCARGOS COMPLEMENTARES) - HORISTA (H)</t>
  </si>
  <si>
    <t>CURSO DE CAPACITAÇÃO PARA MOTORISTA DE BASCULANTE (ENCARGOS COMPLEMENTARES) - HORISTA (H)</t>
  </si>
  <si>
    <t>CURSO DE CAPACITAÇÃO PARA MOTORISTA OPERADOR DE MUNCK (ENCARGOS COMPLEMENTARES) - HORISTA (H)</t>
  </si>
  <si>
    <t>CURSO DE CAPACITAÇÃO PARA OPERADOR DE ESCAVADEIRA (ENCARGOS COMPLEMENTARES) - HORISTA (H)</t>
  </si>
  <si>
    <t>CURSO DE CAPACITAÇÃO PARA OPERADOR DE GUINCHO (ENCARGOS COMPLEMENTARES) - HORISTA (H)</t>
  </si>
  <si>
    <t>CURSO DE CAPACITAÇÃO PARA OPERADOR DE GUINDASTE (ENCARGOS COMPLEMENTARES) - HORISTA (H)</t>
  </si>
  <si>
    <t>CURSO DE CAPACITAÇÃO PARA OPERADOR DE MÁQUINAS E EQUIPAMENTOS (ENCARGOS COMPLEMENTARES) - HORISTA (H)</t>
  </si>
  <si>
    <t>CURSO DE CAPACITAÇÃO PARA OPERADOR JATO DE AREIA OU JATISTA (ENCARGOS COMPLEMENTARES) - HORISTA (H)</t>
  </si>
  <si>
    <t>CURSO DE CAPACITAÇÃO PARA PEDREIRO (ENCARGOS COMPLEMENTARES) - HORISTA (H)</t>
  </si>
  <si>
    <t>CURSO DE CAPACITAÇÃO PARA PINTOR (ENCARGOS COMPLEMENTARES) - HORISTA (H)</t>
  </si>
  <si>
    <t>CURSO DE CAPACITAÇÃO PARA SERVENTE (ENCARGOS COMPLEMENTARES) - HORISTA (H)</t>
  </si>
  <si>
    <t>CURSO DE CAPACITAÇÃO PARA SOLDADOR (ENCARGOS COMPLEMENTARES) - HORISTA (H)</t>
  </si>
  <si>
    <t>CURSO DE CAPACITAÇÃO PARA TELHADISTA (ENCARGOS COMPLEMENTARES) - HORISTA (H)</t>
  </si>
  <si>
    <t xml:space="preserve"> CURSO DE CAPACITAÇÃO PARA TÉCNICO EM SEGURANÇA DO TRABALHO (ENCARGOS COMPLEMENTARES) - MENSALISTA (MES)</t>
  </si>
  <si>
    <t>DESEMPENADEIRA DE CONCRETO, PESO DE 78 KG, 4 PÁS, MOTOR A GASOLINA, POTÊNCIA 5,5 HP - CHP DIURNO. AF_05/2023 (CHP)</t>
  </si>
  <si>
    <t>DESEMPENADEIRA DE CONCRETO, PESO DE 78 KG, 4 PÁS, MOTOR A GASOLINA, POTÊNCIA 5,5 HP - DEPRECIAÇÃO. AF_05/2023 (H)</t>
  </si>
  <si>
    <t>DESEMPENADEIRA DE CONCRETO, PESO DE 78 KG, 4 PÁS, MOTOR A GASOLINA, POTÊNCIA 5,5 HP - JUROS. AF_05/2023 (H)</t>
  </si>
  <si>
    <t>DESEMPENADEIRA DE CONCRETO, PESO DE 78 KG, 4 PÁS, MOTOR A GASOLINA, POTÊNCIA 5,5 HP - MANUTENÇÃO. AF_05/2023 (H)</t>
  </si>
  <si>
    <t>DESEMPENADEIRA DE CONCRETO, PESO DE 78 KG, 4 PÁS, MOTOR A GASOLINA, POTÊNCIA 5,5 HP MATERIAIS NA OPERAÇÃO. AF_05/2023 (H)</t>
  </si>
  <si>
    <t>ELETRICISTA COM ENCARGOS COMPLEMENTARES (H)</t>
  </si>
  <si>
    <t>ENCANADOR OU BOMBEIRO HIDRÁULICO COM ENCARGOS COMPLEMENTARES (H)</t>
  </si>
  <si>
    <t>ENCARREGADO GERAL DE OBRAS COM ENCARGOS COMPLEMENTARES (MES)</t>
  </si>
  <si>
    <t>ENGENHEIRO ELETRICISTA DE OBRA PLENO COM ENCARGOS COMPLEMENTARES (CUSTO EQUIV. AO DO ENGO. CIVIL) (MES)</t>
  </si>
  <si>
    <t>ESCAVADEIRA HIDRÁULICA SOBRE ESTEIRAS, CAÇAMBA 0,80 M3, PESO OPERACIONAL 17 T, POTENCIA BRUTA 111 HP - CHI DIURNO. AF_06/2014 (CHI)</t>
  </si>
  <si>
    <t>ESCAVADEIRA HIDRÁULICA SOBRE ESTEIRAS, CAÇAMBA 0,80 M3, PESO OPERACIONAL 17 T, POTENCIA BRUTA 111 HP - CHP DIURNO. AF_06/2014 (CHP)</t>
  </si>
  <si>
    <t>ESCAVADEIRA HIDRÁULICA SOBRE ESTEIRAS, CAÇAMBA 0,80 M3, PESO OPERACIONAL 17 T, POTENCIA BRUTA 111 HP - DEPRECIAÇÃO. AF_06/2014 (H)</t>
  </si>
  <si>
    <t>ESCAVADEIRA HIDRÁULICA SOBRE ESTEIRAS, CAÇAMBA 0,80 M3, PESO OPERACIONAL 17 T, POTENCIA BRUTA 111 HP - JUROS. AF_06/2014 (H)</t>
  </si>
  <si>
    <t>ESCAVADEIRA HIDRÁULICA SOBRE ESTEIRAS, CAÇAMBA 0,80 M3, PESO OPERACIONAL 17 T, POTENCIA BRUTA 111 HP - MANUTENÇÃO. AF_06/2014 (H)</t>
  </si>
  <si>
    <t>ESCAVADEIRA HIDRÁULICA SOBRE ESTEIRAS, CAÇAMBA 0,80 M3, PESO OPERACIONAL 17 T, POTENCIA BRUTA 111 HP - MATERIAIS NA OPERAÇÃO. AF_06/2014 (H)</t>
  </si>
  <si>
    <t>FABRICAÇÃO, MONTAGEM E DESMONTAGEM DE FORMA PARA RADIER, PISO DE CONCRETO OU LAJE SOBRE SOLO, EM MADEIRA SERRADA, 4 UTILIZAÇÕES. AF_09/2021 (M2)</t>
  </si>
  <si>
    <t>GUINCHO ELÉTRICO DE COLUNA, CAPACIDADE 400 KG, COM MOTO FREIO, MOTOR TRIFÁSICO DE 1,25 CV - CHI DIURNO. AF_03/2016 (CHI)</t>
  </si>
  <si>
    <t>GUINCHO ELÉTRICO DE COLUNA, CAPACIDADE 400 KG, COM MOTO FREIO, MOTOR TRIFÁSICO DE 1,25 CV - CHP DIURNO. AF_03/2016 (CHP)</t>
  </si>
  <si>
    <t>GUINCHO ELÉTRICO DE COLUNA, CAPACIDADE 400 KG, COM MOTO FREIO, MOTOR TRIFÁSICO DE 1,25 CV - DEPRECIAÇÃO. AF_03/2016 (H)</t>
  </si>
  <si>
    <t>GUINCHO ELÉTRICO DE COLUNA, CAPACIDADE 400 KG, COM MOTO FREIO, MOTOR TRIFÁSICO DE 1,25 CV - JUROS. AF_03/2016 (H)</t>
  </si>
  <si>
    <t>GUINCHO ELÉTRICO DE COLUNA, CAPACIDADE 400 KG, COM MOTO FREIO, MOTOR TRIFÁSICO DE 1,25 CV - MANUTENÇÃO. AF_03/2016 (H)</t>
  </si>
  <si>
    <t>GUINCHO ELÉTRICO DE COLUNA, CAPACIDADE 400 KG, COM MOTO FREIO, MOTOR TRIFÁSICO DE 1,25 CV - MATERIAIS NA OPERAÇÃO. AF_03/2016 (H)</t>
  </si>
  <si>
    <t>GUINDASTE HIDRÁULICO AUTOPROPELIDO, COM LANÇA TELESCÓPICA 40 M, CAPACIDADE MÁXIMA 60 T, POTÊNCIA 260 KW - CHI DIURNO. AF_03/2016 (CHI)</t>
  </si>
  <si>
    <t>GUINDASTE HIDRÁULICO AUTOPROPELIDO, COM LANÇA TELESCÓPICA 40 M, CAPACIDADE MÁXIMA 60 T, POTÊNCIA 260 KW - CHP DIURNO. AF_03/2016 (CHP)</t>
  </si>
  <si>
    <t>GUINDASTE HIDRÁULICO AUTOPROPELIDO, COM LANÇA TELESCÓPICA 40 M, CAPACIDADE MÁXIMA 60 T, POTÊNCIA 260 KW - DEPRECIAÇÃO. AF_03/2016 (H)</t>
  </si>
  <si>
    <t>GUINDASTE HIDRÁULICO AUTOPROPELIDO, COM LANÇA TELESCÓPICA 40 M, CAPACIDADE MÁXIMA 60 T, POTÊNCIA 260 KW - IMPOSTOS E SEGUROS. AF_03/2016 (H)</t>
  </si>
  <si>
    <t>GUINDASTE HIDRÁULICO AUTOPROPELIDO, COM LANÇA TELESCÓPICA 40 M, CAPACIDADE MÁXIMA 60 T, POTÊNCIA 260 KW - JUROS. AF_03/2016 (H)</t>
  </si>
  <si>
    <t>GUINDASTE HIDRÁULICO AUTOPROPELIDO, COM LANÇA TELESCÓPICA 40 M, CAPACIDADE MÁXIMA 60 T, POTÊNCIA 260 KW - MANUTENÇÃO. AF_03/2016 (H)</t>
  </si>
  <si>
    <t>GUINDASTE HIDRÁULICO AUTOPROPELIDO, COM LANÇA TELESCÓPICA 40 M, CAPACIDADE MÁXIMA 60 T, POTÊNCIA 260 KW - MATERIAIS NA OPERAÇÃO. AF_03/2016 (H)</t>
  </si>
  <si>
    <t>GUINDAUTO HIDRÁULICO, CAPACIDADE MÁXIMA DE CARGA 3300 KG, MOMENTO MÁXIMO DE CARGA 5,8 TM, ALCANCE MÁXIMO HORIZONTAL 7,60 M, INCLUSIVE CAMINHÃO TOCO PBT 16.000 KG, POTÊNCIA DE 189 CV - CHP DIURNO. AF_03/2016 (CHP)</t>
  </si>
  <si>
    <t>GUINDAUTO HIDRÁULICO, CAPACIDADE MÁXIMA DE CARGA 3300 KG, MOMENTO MÁXIMO DE CARGA 5,8 TM, ALCANCE MÁXIMO HORIZONTAL 7,60 M, INCLUSIVE CAMINHÃO TOCO PBT 16.000 KG, POTÊNCIA DE 189 CV - DEPRECIAÇÃO. AF_03/2016 (H)</t>
  </si>
  <si>
    <t>GUINDAUTO HIDRÁULICO, CAPACIDADE MÁXIMA DE CARGA 3300 KG, MOMENTO MÁXIMO DE CARGA 5,8 TM, ALCANCE MÁXIMO HORIZONTAL 7,60 M, INCLUSIVE CAMINHÃO TOCO PBT 16.000 KG, POTÊNCIA DE 189 CV - IMPOSTOS E SEGUROS. AF_03/2016 (H)</t>
  </si>
  <si>
    <t>GUINDAUTO HIDRÁULICO, CAPACIDADE MÁXIMA DE CARGA 3300 KG, MOMENTO MÁXIMO DE CARGA 5,8 TM, ALCANCE MÁXIMO HORIZONTAL 7,60 M, INCLUSIVE CAMINHÃO TOCO PBT 16.000 KG, POTÊNCIA DE 189 CV - JUROS. AF_03/2016 (H)</t>
  </si>
  <si>
    <t>GUINDAUTO HIDRÁULICO, CAPACIDADE MÁXIMA DE CARGA 3300 KG, MOMENTO MÁXIMO DE CARGA 5,8 TM, ALCANCE MÁXIMO HORIZONTAL 7,60 M, INCLUSIVE CAMINHÃO TOCO PBT 16.000 KG, POTÊNCIA DE 189 CV - MANUTENÇÃO. AF_03/2016 (H)</t>
  </si>
  <si>
    <t>GUINDAUTO HIDRÁULICO, CAPACIDADE MÁXIMA DE CARGA 3300 KG, MOMENTO MÁXIMO DE CARGA 5,8 TM, ALCANCE MÁXIMO HORIZONTAL 7,60 M, INCLUSIVE CAMINHÃO TOCO PBT 16.000 KG, POTÊNCIA DE 189 CV - MATERIAIS NA OPERAÇÃO. AF_03/2016 (H)</t>
  </si>
  <si>
    <t>GUINDAUTO HIDRÁULICO, CAPACIDADE MÁXIMA DE CARGA 6200 KG, MOMENTO MÁXIMO DE CARGA 11,7 TM, ALCANCE MÁXIMO HORIZONTAL 9,70 M, INCLUSIVE CAMINHÃO TOCO PBT 16.000 KG, POTÊNCIA DE 189 CV - CHI DIURNO. AF_06/2014 (CHI)</t>
  </si>
  <si>
    <t>GUINDAUTO HIDRÁULICO, CAPACIDADE MÁXIMA DE CARGA 6200 KG, MOMENTO MÁXIMO DE CARGA 11,7 TM, ALCANCE MÁXIMO HORIZONTAL 9,70 M, INCLUSIVE CAMINHÃO TOCO PBT 16.000 KG, POTÊNCIA DE 189 CV - CHP DIURNO. AF_06/2014 (CHP)</t>
  </si>
  <si>
    <t>GUINDAUTO HIDRÁULICO, CAPACIDADE MÁXIMA DE CARGA 6200 KG, MOMENTO MÁXIMO DE CARGA 11,7 TM, ALCANCE MÁXIMO HORIZONTAL 9,70 M, INCLUSIVE CAMINHÃO TOCO PBT 16.000 KG, POTÊNCIA DE 189 CV - DEPRECIAÇÃO. AF_06/2014 (H)</t>
  </si>
  <si>
    <t>GUINDAUTO HIDRÁULICO, CAPACIDADE MÁXIMA DE CARGA 6200 KG, MOMENTO MÁXIMO DE CARGA 11,7 TM, ALCANCE MÁXIMO HORIZONTAL 9,70 M, INCLUSIVE CAMINHÃO TOCO PBT 16.000 KG, POTÊNCIA DE 189 CV - IMPOSTOS E SEGUROS. AF_08/2015 (H)</t>
  </si>
  <si>
    <t>GUINDAUTO HIDRÁULICO, CAPACIDADE MÁXIMA DE CARGA 6200 KG, MOMENTO MÁXIMO DE CARGA 11,7 TM, ALCANCE MÁXIMO HORIZONTAL 9,70 M, INCLUSIVE CAMINHÃO TOCO PBT 16.000 KG, POTÊNCIA DE 189 CV - JUROS. AF_06/2014 (H)</t>
  </si>
  <si>
    <t xml:space="preserve"> GUINDAUTO HIDRÁULICO, CAPACIDADE MÁXIMA DE CARGA 6200 KG, MOMENTO MÁXIMO DE CARGA 11,7 TM, ALCANCE MÁXIMO HORIZONTAL 9,70 M, INCLUSIVE CAMINHÃO TOCO PBT 16.000 KG, POTÊNCIA DE 189 CV - MANUTENÇÃO. AF_06/2014 (H)</t>
  </si>
  <si>
    <t>GUINDAUTO HIDRÁULICO, CAPACIDADE MÁXIMA DE CARGA 6200 KG, MOMENTO MÁXIMO DE CARGA 11,7 TM, ALCANCE MÁXIMO HORIZONTAL 9,70 M, INCLUSIVE CAMINHÃO TOCO PBT 16.000 KG, POTÊNCIA DE 189 CV - MATERIAIS NA OPERAÇÃO. AF_08/2015 (H)</t>
  </si>
  <si>
    <t>GUINDAUTO HIDRÁULICO, CAPACIDADE MÁXIMA DE CARGA 6500 KG, MOMENTO MÁXIMO DE CARGA 5,8 TM, ALCANCE MÁXIMO HORIZONTAL 7,60 M, INCLUSIVE CAMINHÃO TOCO PBT 9.700 KG, POTÊNCIA DE 160 CV - DEPRECIAÇÃO. AF_08/2015 (H)</t>
  </si>
  <si>
    <t>GUINDAUTO HIDRÁULICO, CAPACIDADE MÁXIMA DE CARGA 6500 KG, MOMENTO MÁXIMO DE CARGA 5,8 TM, ALCANCE MÁXIMO HORIZONTAL 7,60 M, INCLUSIVE CAMINHÃO TOCO PBT 9.700 KG, POTÊNCIA DE 160 CV - IMPOSTOS E SEGUROS. AF_08/2015 (H)</t>
  </si>
  <si>
    <t>GUINDAUTO HIDRÁULICO, CAPACIDADE MÁXIMA DE CARGA 6500 KG, MOMENTO MÁXIMO DE CARGA 5,8 TM, ALCANCE MÁXIMO HORIZONTAL 7,60 M, INCLUSIVE CAMINHÃO TOCO PBT 9.700 KG, POTÊNCIA DE 160 CV - JUROS. AF_08/2015 (H)</t>
  </si>
  <si>
    <t>GUINDAUTO HIDRÁULICO, CAPACIDADE MÁXIMA DE CARGA 6500 KG, MOMENTO MÁXIMO DE CARGA 5,8 TM, ALCANCE MÁXIMO HORIZONTAL 7,60 M, INCLUSIVE CAMINHÃO TOCO PBT 9.700 KG, POTÊNCIA DE 160 CV - MANUTENÇÃO. AF_08/2015 (H)</t>
  </si>
  <si>
    <t>GUINDAUTO HIDRÁULICO, CAPACIDADE MÁXIMA DE CARGA 6500 KG, MOMENTO MÁXIMO DE CARGA 5,8 TM, ALCANCE MÁXIMO HORIZONTAL 7,60 M, INCLUSIVE CAMINHÃO TOCO PBT 9.700 KG, POTÊNCIA DE 160 CV - MATERIAIS NA OPERAÇÃO. AF_08/2015 (H)</t>
  </si>
  <si>
    <t>INTERRUPTOR SIMPLES (2 MÓDULOS), 10A/250V, SEM SUPORTE E SEM PLACA - FORNECIMENTO E INSTALAÇÃO. AF_03/2023 (UN)</t>
  </si>
  <si>
    <t>JATEAMENTO ABRASIVO COM GRANALHA DE AÇO EM PERFIL METÁLICO EM FÁBRICA. AF_01/2020 (M2)</t>
  </si>
  <si>
    <t>LASTRO COM MATERIAL GRANULAR (PEDRA BRITADA N.2), APLICADO EM PISOS OU LAJES SOBRE SOLO, ESPESSURA DE *10 CM*. AF_01/2024 (M3)</t>
  </si>
  <si>
    <t>MONTADOR DE ESTRUTURA METÁLICA COM ENCARGOS COMPLEMENTARES (H)</t>
  </si>
  <si>
    <t>MONTADOR ELETROMECÃNICO COM ENCARGOS COMPLEMENTARES (H)</t>
  </si>
  <si>
    <t>MOTORISTA DE BASCULANTE COM ENCARGOS COMPLEMENTARES (H)</t>
  </si>
  <si>
    <t>MOTORISTA OPERADOR DE MUNCK COM ENCARGOS COMPLEMENTARES (H)</t>
  </si>
  <si>
    <t>MÁQUINA JATO DE PRESSAO PORTÁTIL, CAMARA DE 1 SAIDA, CAPACIDADE 280 L, DIAMETRO 670 MM, BICO DE JATO CURTO VENTURI DE 5/16" , MANGUEIRA DE 1" COM COMPRESSOR DE AR REBOCÁVEL 189 PCM E MOTOR DIESEL 63 CV - CHI DIURNO. AF_05/2023 (CHI)</t>
  </si>
  <si>
    <t>MÁQUINA JATO DE PRESSAO PORTÁTIL, CAMARA DE 1 SAIDA, CAPACIDADE 280 L, DIAMETRO 670 MM, BICO DE JATO CURTO VENTURI DE 5/16" , MANGUEIRA DE 1" COM COMPRESSOR DE AR REBOCÁVEL 189 PCM E MOTOR DIESEL 63 CV - CHP DIURNO. AF_05/2023 (CHP)</t>
  </si>
  <si>
    <t>MÁQUINA JATO DE PRESSAO PORTÁTIL, CAMARA DE 1 SAIDA, CAPACIDADE 280 L, DIAMETRO 670 MM, BICO DE JATO CURTO VENTURI DE 5/16" , MANGUEIRA DE 1" COM COMPRESSOR DE AR REBOCÁVEL 189 PCM E MOTOR DIESEL 63 CV - DEPRECIAÇÃO. AF_05/2023 (H)</t>
  </si>
  <si>
    <t>MÁQUINA JATO DE PRESSAO PORTÁTIL, CAMARA DE 1 SAIDA, CAPACIDADE 280 L, DIAMETRO 670 MM, BICO DE JATO CURTO VENTURI DE 5/16" , MANGUEIRA DE 1" COM COMPRESSOR DE AR REBOCÁVEL 189 PCM E MOTOR DIESEL 63 CV - JUROS. AF_05/2023 (H)</t>
  </si>
  <si>
    <t>MÁQUINA JATO DE PRESSAO PORTÁTIL, CAMARA DE 1 SAIDA, CAPACIDADE 280 L, DIAMETRO 670 MM, BICO DE JATO CURTO VENTURI DE 5/16" , MANGUEIRA DE 1" COM COMPRESSOR DE AR REBOCÁVEL 189 PCM E MOTOR DIESEL 63 CV - MANUTENÇÃO. AF_05/2023 (H)</t>
  </si>
  <si>
    <t>MÁQUINA JATO DE PRESSAO PORTÁTIL, CAMARA DE 1 SAIDA, CAPACIDADE 280 L, DIAMETRO 670 MM, BICO DE JATO CURTO VENTURI DE 5/16" , MANGUEIRA DE 1" COM COMPRESSOR DE AR REBOCÁVEL 189 PCM E MOTOR DIESEL 63 CV - MATERIAIS NA OPERAÇÃO. AF_05/2023 (H)</t>
  </si>
  <si>
    <t>OPERADOR DE ESCAVADEIRA COM ENCARGOS COMPLEMENTARES (H)</t>
  </si>
  <si>
    <t>OPERADOR DE GUINCHO COM ENCARGOS COMPLEMENTARES (H)</t>
  </si>
  <si>
    <t>OPERADOR DE GUINDASTE COM ENCARGOS COMPLEMENTARES (H)</t>
  </si>
  <si>
    <t>OPERADOR DE MÁQUINAS E EQUIPAMENTOS COM ENCARGOS COMPLEMENTARES (H)</t>
  </si>
  <si>
    <t>OPERADOR JATO DE AREIA OU JATISTA COM ENCARGOS COMPLEMENTARES (H)</t>
  </si>
  <si>
    <t>PEDREIRO COM ENCARGOS COMPLEMENTARES (H)</t>
  </si>
  <si>
    <t>PINTOR COM ENCARGOS COMPLEMENTARES (H)</t>
  </si>
  <si>
    <t>PINTURA COM TINTA ALQUÍDICA DE FUNDO (TIPO ZARCÃO) PULVERIZADA SOBRE PERFIL METÁLICO EXECUTADO EM FÁBRICA (POR DEMÃO). AF_01/2020_PE (M2)</t>
  </si>
  <si>
    <t>PINTURA IMUNIZANTE PARA MADEIRA, 2 DEMÃOS. AF_01/2021 (M2)</t>
  </si>
  <si>
    <t>PLACA VIBRATÓRIA REVERSÍVEL COM MOTOR 4 TEMPOS A GASOLINA, FORÇA CENTRÍFUGA DE 25 KN (2500 KGF), POTÊNCIA 5,5 CV - CHI DIURNO. AF_08/2015 (CHI)</t>
  </si>
  <si>
    <t>PLACA VIBRATÓRIA REVERSÍVEL COM MOTOR 4 TEMPOS A GASOLINA, FORÇA CENTRÍFUGA DE 25 KN (2500 KGF), POTÊNCIA 5,5 CV - CHP DIURNO. AF_08/2015 (CHP)</t>
  </si>
  <si>
    <t>PLACA VIBRATÓRIA REVERSÍVEL COM MOTOR 4 TEMPOS A GASOLINA, FORÇA CENTRÍFUGA DE 25 KN (2500 KGF), POTÊNCIA 5,5 CV - DEPRECIAÇÃO. AF_08/2015 (H)</t>
  </si>
  <si>
    <t>PLACA VIBRATÓRIA REVERSÍVEL COM MOTOR 4 TEMPOS A GASOLINA, FORÇA CENTRÍFUGA DE 25 KN (2500 KGF), POTÊNCIA 5,5 CV - JUROS. AF_08/2015 (H)</t>
  </si>
  <si>
    <t>PLACA VIBRATÓRIA REVERSÍVEL COM MOTOR 4 TEMPOS A GASOLINA, FORÇA CENTRÍFUGA DE 25 KN (2500 KGF), POTÊNCIA 5,5 CV - MANUTENÇÃO. AF_08/2015 (H)</t>
  </si>
  <si>
    <t>PLACA VIBRATÓRIA REVERSÍVEL COM MOTOR 4 TEMPOS A GASOLINA, FORÇA CENTRÍFUGA DE 25 KN (2500 KGF), POTÊNCIA 5,5 CV - MATERIAIS NA OPERAÇÃO. AF_08/2015 (H)</t>
  </si>
  <si>
    <t>SERRA CIRCULAR DE BANCADA COM MOTOR ELÉTRICO POTÊNCIA DE 5HP, COM COIFA PARA DISCO 10" - CHI DIURNO. AF_08/2015 (CHI)</t>
  </si>
  <si>
    <t>SERRA CIRCULAR DE BANCADA COM MOTOR ELÉTRICO POTÊNCIA DE 5HP, COM COIFA PARA DISCO 10" - CHP DIURNO. AF_08/2015 (CHP)</t>
  </si>
  <si>
    <t>SERRA CIRCULAR DE BANCADA COM MOTOR ELÉTRICO POTÊNCIA DE 5HP, COM COIFA PARA DISCO 10" - DEPRECIAÇÃO. AF_08/2015 (H)</t>
  </si>
  <si>
    <t>SERRA CIRCULAR DE BANCADA COM MOTOR ELÉTRICO POTÊNCIA DE 5HP, COM COIFA PARA DISCO 10" - JUROS. AF_08/2015 (H)</t>
  </si>
  <si>
    <t>SERRA CIRCULAR DE BANCADA COM MOTOR ELÉTRICO POTÊNCIA DE 5HP, COM COIFA PARA DISCO 10" - MANUTENÇÃO. AF_08/2015 (H)</t>
  </si>
  <si>
    <t>SERRA CIRCULAR DE BANCADA COM MOTOR ELÉTRICO POTÊNCIA DE 5HP, COM COIFA PARA DISCO 10" - MATERIAIS NA OPERAÇÃO. AF_08/2015 (H)</t>
  </si>
  <si>
    <t>SERVENTE COM ENCARGOS COMPLEMENTARES (H)</t>
  </si>
  <si>
    <t>SOLDADOR COM ENCARGOS COMPLEMENTARES (H)</t>
  </si>
  <si>
    <t>SUPORTE PARAFUSADO COM PLACA DE ENCAIXE 4" X 2" MÉDIO (1,30 M DO PISO) PARA PONTO ELÉTRICO - FORNECIMENTO E INSTALAÇÃO. AF_03/2023 (UN)</t>
  </si>
  <si>
    <t>TELHADISTA COM ENCARGOS COMPLEMENTARES (H)</t>
  </si>
  <si>
    <t>TOMADA MÉDIA DE EMBUTIR (3 MÓDULOS), 2P+T 10 A, SEM SUPORTE E SEM PLACA - FORNECIMENTO E INSTALAÇÃO. AF_03/2023 (UN)</t>
  </si>
  <si>
    <t>TOMADA MÉDIA DE EMBUTIR (3 MÓDULOS), 2P+T 20 A, SEM SUPORTE E SEM PLACA - FORNECIMENTO E INSTALAÇÃO. AF_03/2023 (UN)</t>
  </si>
  <si>
    <t>TÉCNICO EM SEGURANÇA DO TRABALHO COM ENCARGOS COMPLEMENTARES (MES)</t>
  </si>
  <si>
    <t>VIBRADOR DE IMERSÃO, DIÂMETRO DE PONTEIRA 45MM, MOTOR ELÉTRICO TRIFÁSICO POTÊNCIA DE 2 CV - CHI DIURNO. AF_06/2015 (CHI)</t>
  </si>
  <si>
    <t>VIBRADOR DE IMERSÃO, DIÂMETRO DE PONTEIRA 45MM, MOTOR ELÉTRICO TRIFÁSICO POTÊNCIA DE 2 CV - CHP DIURNO. AF_06/2015 (CHP)</t>
  </si>
  <si>
    <t>VIBRADOR DE IMERSÃO, DIÂMETRO DE PONTEIRA 45MM, MOTOR ELÉTRICO TRIFÁSICO POTÊNCIA DE 2 CV - DEPRECIAÇÃO. AF_06/2015 (H)</t>
  </si>
  <si>
    <t xml:space="preserve"> VIBRADOR DE IMERSÃO, DIÂMETRO DE PONTEIRA 45MM, MOTOR ELÉTRICO TRIFÁSICO POTÊNCIA DE 2 CV - JUROS. AF_06/2015 (H)</t>
  </si>
  <si>
    <t>VIBRADOR DE IMERSÃO, DIÂMETRO DE PONTEIRA 45MM, MOTOR ELÉTRICO TRIFÁSICO POTÊNCIA DE 2 CV - MANUTENÇÃO. AF_06/2015 (H)</t>
  </si>
  <si>
    <t>VIBRADOR DE IMERSÃO, DIÂMETRO DE PONTEIRA 45MM, MOTOR ELÉTRICO TRIFÁSICO POTÊNCIA DE 2 CV - MATERIAIS NA OPERAÇÃO. AF_06/2015 (H)</t>
  </si>
  <si>
    <t>Total Eqp.</t>
  </si>
  <si>
    <t>Total M.O.</t>
  </si>
  <si>
    <t>Total Eqp.:</t>
  </si>
  <si>
    <t>Total Serv.:</t>
  </si>
  <si>
    <t>Tot. Enc. Comp.:</t>
  </si>
  <si>
    <t>Total M.O.:</t>
  </si>
  <si>
    <t>VIGA METÁLICA EM PERFIL LAMINADO OU SOLDADO EM AÇO ESTRUTURAL, COM CONEXÕES SOLDADAS, INCLUSOS MÃO DE OBRA, TRANSPORTE E IÇAMENTO UTILIZANDO GUINDASTE - FORNECIMENTO E INSTALAÇÃO. AF_01/2020_PA (KG)</t>
  </si>
  <si>
    <t>Total Mat.:</t>
  </si>
  <si>
    <t>TIPO BDI</t>
  </si>
  <si>
    <t>VALOR UNIT. COM BDI</t>
  </si>
  <si>
    <t>BDI GERAL</t>
  </si>
  <si>
    <t>GERAL</t>
  </si>
  <si>
    <t>DIFERENCIADO</t>
  </si>
  <si>
    <t>Valor Total:</t>
  </si>
  <si>
    <t>PESO (%)</t>
  </si>
  <si>
    <t>REFERENCIAL TCU</t>
  </si>
  <si>
    <t>1o QUARTIL</t>
  </si>
  <si>
    <t>3o QUARTIL</t>
  </si>
  <si>
    <t>ISS (João Pessoa/PB-LEI Nº 53/2008)</t>
  </si>
  <si>
    <t>MÉDIO</t>
  </si>
  <si>
    <t xml:space="preserve">Sendo: </t>
  </si>
  <si>
    <t>BDI DIFERENCIADO</t>
  </si>
  <si>
    <t>ENCARGOS SOCIAIS</t>
  </si>
  <si>
    <t>ORÇAMENTO - RESUMO</t>
  </si>
  <si>
    <t>ORÇAMENTO - PLANILHA DE QUANTITATIVOS</t>
  </si>
  <si>
    <t>QUANT.</t>
  </si>
  <si>
    <t>Quantidade aferida para a duração total da obra</t>
  </si>
  <si>
    <t>Corresponde ao valor da ART a ser emitida para a obra. Em se tratado de obra de subestação não será aceito RRT visto que o arquiteto não possui essa atribuição.</t>
  </si>
  <si>
    <t>Container para canteiro de obra. Uma instalação/desistalação para cada coneainer</t>
  </si>
  <si>
    <t>Placa de obra no padrão da Justiça Federal</t>
  </si>
  <si>
    <t>Largura</t>
  </si>
  <si>
    <t>altura</t>
  </si>
  <si>
    <t>Área</t>
  </si>
  <si>
    <t>Comp.</t>
  </si>
  <si>
    <t>(ver prancha 001/004)</t>
  </si>
  <si>
    <t>Grupo gerador</t>
  </si>
  <si>
    <t>comp.</t>
  </si>
  <si>
    <t>Parede 1</t>
  </si>
  <si>
    <t>Parede 2</t>
  </si>
  <si>
    <t>Parede 3</t>
  </si>
  <si>
    <t>Parede 4 (com desconto da esquadria)</t>
  </si>
  <si>
    <t>comp</t>
  </si>
  <si>
    <t>Pilar 2</t>
  </si>
  <si>
    <t>Pilar 1</t>
  </si>
  <si>
    <t>Pilar 3</t>
  </si>
  <si>
    <t>Pilar 4</t>
  </si>
  <si>
    <t>Viga 1</t>
  </si>
  <si>
    <t>Viga 2</t>
  </si>
  <si>
    <t>Viga 3</t>
  </si>
  <si>
    <t>Viga 4</t>
  </si>
  <si>
    <t>área</t>
  </si>
  <si>
    <t>volume</t>
  </si>
  <si>
    <t>Volume carregado</t>
  </si>
  <si>
    <t>DMT (central de resíduos João Pessoa)</t>
  </si>
  <si>
    <t>m3</t>
  </si>
  <si>
    <t>m3 x km</t>
  </si>
  <si>
    <t>Volume portas</t>
  </si>
  <si>
    <t>Volume de telhas</t>
  </si>
  <si>
    <t>Volume de alvenarias</t>
  </si>
  <si>
    <t>Volume de lajes</t>
  </si>
  <si>
    <t>Volume pilares e vigas</t>
  </si>
  <si>
    <t>m2</t>
  </si>
  <si>
    <t>→</t>
  </si>
  <si>
    <t>Empolamento</t>
  </si>
  <si>
    <t>(aplicado no total)</t>
  </si>
  <si>
    <t>Transformador existente</t>
  </si>
  <si>
    <t>Gerador existente</t>
  </si>
  <si>
    <t>Instalação de gerador em local provisório</t>
  </si>
  <si>
    <t>Instalação dos cabos para ligação entre gerador (provisório) e subestação.</t>
  </si>
  <si>
    <t>A quantidade de cabos foi aferida no projeto considerando a localização do gerador provisõrio conforme a prancha 001</t>
  </si>
  <si>
    <t>Quantitativo considera todas as pernas de cabo necessárias (F+N+R)</t>
  </si>
  <si>
    <t>Piso</t>
  </si>
  <si>
    <t>compr.</t>
  </si>
  <si>
    <t>peso</t>
  </si>
  <si>
    <t>kg/m</t>
  </si>
  <si>
    <t>Peso total</t>
  </si>
  <si>
    <t>Kg</t>
  </si>
  <si>
    <t>Pilar em perfil 200x75</t>
  </si>
  <si>
    <t>Viga em perfil 200x75</t>
  </si>
  <si>
    <t>Viga em perfil 200x76</t>
  </si>
  <si>
    <t>Viga em perfil 200x77</t>
  </si>
  <si>
    <t>Viga em perfil 200x78</t>
  </si>
  <si>
    <t>Pilares</t>
  </si>
  <si>
    <t>Vigas</t>
  </si>
  <si>
    <t>perimetro</t>
  </si>
  <si>
    <t>Igual a pintura</t>
  </si>
  <si>
    <t>Quantitativos de instalações elétricas aferidos dentro dos arquivos de projeto.</t>
  </si>
  <si>
    <t>Corresponde aos custos de remanejamento dos cabos utilizados nas instalaçoes provisórias</t>
  </si>
  <si>
    <t>Uma chapa por pilar</t>
  </si>
  <si>
    <t>CUSTO DE INSUMOS</t>
  </si>
  <si>
    <t>Valor total</t>
  </si>
  <si>
    <t>2025/02</t>
  </si>
  <si>
    <t>2025/01</t>
  </si>
  <si>
    <t>R3</t>
  </si>
  <si>
    <t>R3 - 15/04/2025</t>
  </si>
  <si>
    <t>CUSTO
UNITÁRIO R$</t>
  </si>
  <si>
    <t>BDI</t>
  </si>
  <si>
    <t>Correção pela variação do INCC-DI no período de 15/11/2024 a 15/04/2025, c/ índice:</t>
  </si>
  <si>
    <t>km</t>
  </si>
  <si>
    <t>MÊS 5</t>
  </si>
  <si>
    <t>MÊS 6</t>
  </si>
  <si>
    <t>CRONOGRAMA</t>
  </si>
  <si>
    <t>ETAPA</t>
  </si>
  <si>
    <t>GRUPO</t>
  </si>
  <si>
    <t>% RELATIVO AO GRUPO</t>
  </si>
  <si>
    <t>SUBTOTAIS</t>
  </si>
  <si>
    <t>VALOR ETAPA (R$)</t>
  </si>
  <si>
    <t>MEDIÇÃO 1</t>
  </si>
  <si>
    <t>MEDIÇÃO 2</t>
  </si>
  <si>
    <t>MEDIÇÃO 3</t>
  </si>
  <si>
    <t>MEDIÇÃO 4</t>
  </si>
  <si>
    <t>MEDIÇÃO 5</t>
  </si>
  <si>
    <t>MEDIÇÃO 6</t>
  </si>
  <si>
    <t>Fornecimento do grupo gerador - Parcela 1/2</t>
  </si>
  <si>
    <t>Fornecimento de cabos elétricos de 500mm - Parcela 1/2</t>
  </si>
  <si>
    <t>Fornecimento do grupo gerador - Parcela 2/2</t>
  </si>
  <si>
    <t>Fornecimento de cabos elétricos de 500mm - Parcela 2/2</t>
  </si>
  <si>
    <t>Fornecimento do transformador - Parcela 1/2</t>
  </si>
  <si>
    <t>Fornecimento do transformador - Parcela 2/2</t>
  </si>
  <si>
    <t>Administração de obra</t>
  </si>
  <si>
    <t>Serviços Iniciais - Emissão de ART</t>
  </si>
  <si>
    <t>Serviços Iniciais - Montagem de canteiro de obras</t>
  </si>
  <si>
    <t>Demolições e retiradas</t>
  </si>
  <si>
    <t>Montagem do gerador provisório</t>
  </si>
  <si>
    <t>Obras civis</t>
  </si>
  <si>
    <t>Obras de instalações elétricas</t>
  </si>
  <si>
    <t>Montagem dos equipamentos</t>
  </si>
  <si>
    <t>Fornecimento do grupo gerador - Parcela após montagem do material fornecido</t>
  </si>
  <si>
    <t>Fornecimento do transformador -  Parcela após montagem do material fornecido</t>
  </si>
  <si>
    <t>Fornecimento de cabos elétricos de 500mm -  Parcela após montagem do material fornecido</t>
  </si>
  <si>
    <t>Serviços finais (limpeza e desmontagem do canteiro)</t>
  </si>
  <si>
    <t>EVENTOGRAMA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</si>
</sst>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R$&quot;\ * #,##0.00_-;\-&quot;R$&quot;\ * #,##0.00_-;_-&quot;R$&quot;\ * &quot;-&quot;??_-;_-@_-"/>
    <numFmt numFmtId="43" formatCode="_-* #,##0.00_-;\-* #,##0.00_-;_-* &quot;-&quot;??_-;_-@_-"/>
    <numFmt numFmtId="164" formatCode="###,###,##0.00"/>
    <numFmt numFmtId="165" formatCode="#,##0.00000000"/>
    <numFmt numFmtId="166" formatCode="#,##0.00%"/>
    <numFmt numFmtId="167" formatCode="&quot;R$ &quot;#,##0.00"/>
    <numFmt numFmtId="168" formatCode="00000000"/>
    <numFmt numFmtId="169" formatCode="#,##0_ ;\-#,##0\ "/>
    <numFmt numFmtId="170" formatCode="_-* #,##0.000000000000_-;\-* #,##0.000000000000_-;_-* &quot;-&quot;??_-;_-@_-"/>
    <numFmt numFmtId="171" formatCode="0.00000000"/>
    <numFmt numFmtId="172" formatCode="#,##0.00000"/>
    <numFmt numFmtId="173" formatCode="#,##0.0000"/>
    <numFmt numFmtId="174" formatCode="#,##0.000000"/>
    <numFmt numFmtId="175" formatCode="#,##0.0000000"/>
    <numFmt numFmtId="176" formatCode="#,##0.000"/>
    <numFmt numFmtId="177" formatCode="_-* #,##0.0000_-;\-* #,##0.0000_-;_-* &quot;-&quot;??_-;_-@_-"/>
  </numFmts>
  <fonts count="31">
    <font>
      <sz val="11"/>
      <color theme="1"/>
      <name val="Aptos Narrow"/>
      <family val="2"/>
      <scheme val="minor"/>
    </font>
    <font>
      <sz val="11"/>
      <color theme="1"/>
      <name val="Arial"/>
      <family val="2"/>
    </font>
    <font>
      <sz val="11"/>
      <color theme="1"/>
      <name val="Arial"/>
      <family val="2"/>
    </font>
    <font>
      <b/>
      <sz val="7"/>
      <color rgb="FF000000"/>
      <name val="Arial"/>
      <family val="2"/>
    </font>
    <font>
      <b/>
      <sz val="6"/>
      <color rgb="FF000000"/>
      <name val="Arial"/>
      <family val="2"/>
    </font>
    <font>
      <b/>
      <sz val="5"/>
      <color rgb="FF000000"/>
      <name val="Arial"/>
      <family val="2"/>
    </font>
    <font>
      <sz val="11"/>
      <color theme="1"/>
      <name val="Aptos Narrow"/>
      <family val="2"/>
      <scheme val="minor"/>
    </font>
    <font>
      <sz val="12"/>
      <name val="Arial"/>
      <family val="2"/>
    </font>
    <font>
      <sz val="11"/>
      <color rgb="FF9C6500"/>
      <name val="Calibri"/>
      <family val="2"/>
      <charset val="1"/>
    </font>
    <font>
      <u/>
      <sz val="11"/>
      <color theme="10"/>
      <name val="Arial"/>
      <family val="1"/>
    </font>
    <font>
      <sz val="10"/>
      <name val="Arial"/>
      <family val="2"/>
    </font>
    <font>
      <sz val="8"/>
      <name val="Aptos Narrow"/>
      <family val="2"/>
      <scheme val="minor"/>
    </font>
    <font>
      <sz val="11"/>
      <color rgb="FFFF0000"/>
      <name val="Arial"/>
      <family val="2"/>
    </font>
    <font>
      <b/>
      <sz val="12"/>
      <color theme="1"/>
      <name val="Arial"/>
      <family val="2"/>
    </font>
    <font>
      <sz val="8"/>
      <color theme="1"/>
      <name val="Arial"/>
      <family val="2"/>
    </font>
    <font>
      <sz val="7"/>
      <color theme="1"/>
      <name val="Arial"/>
      <family val="2"/>
    </font>
    <font>
      <b/>
      <sz val="8"/>
      <color rgb="FF000000"/>
      <name val="Arial"/>
      <family val="2"/>
    </font>
    <font>
      <sz val="8"/>
      <color rgb="FF000000"/>
      <name val="Arial"/>
      <family val="2"/>
    </font>
    <font>
      <b/>
      <sz val="8"/>
      <color theme="1"/>
      <name val="Arial"/>
      <family val="2"/>
    </font>
    <font>
      <b/>
      <sz val="10"/>
      <color theme="1"/>
      <name val="Arial"/>
      <family val="2"/>
    </font>
    <font>
      <sz val="8"/>
      <color theme="4"/>
      <name val="Arial"/>
      <family val="2"/>
    </font>
    <font>
      <sz val="11"/>
      <color theme="4"/>
      <name val="Arial"/>
      <family val="2"/>
    </font>
    <font>
      <sz val="9"/>
      <color theme="1"/>
      <name val="Arial"/>
      <family val="2"/>
    </font>
    <font>
      <b/>
      <sz val="9"/>
      <color rgb="FF000000"/>
      <name val="Arial"/>
      <family val="2"/>
    </font>
    <font>
      <b/>
      <sz val="8"/>
      <name val="Arial"/>
      <family val="2"/>
    </font>
    <font>
      <sz val="8"/>
      <name val="Arial"/>
      <family val="2"/>
    </font>
    <font>
      <b/>
      <sz val="8"/>
      <color rgb="FFFF0000"/>
      <name val="Arial"/>
      <family val="2"/>
    </font>
    <font>
      <u/>
      <sz val="8"/>
      <color theme="10"/>
      <name val="Arial"/>
      <family val="2"/>
    </font>
    <font>
      <sz val="7"/>
      <name val="Arial"/>
      <family val="2"/>
    </font>
    <font>
      <sz val="9"/>
      <color rgb="FF000000"/>
      <name val="Arial"/>
      <family val="2"/>
    </font>
    <font>
      <sz val="8"/>
      <color theme="0"/>
      <name val="Arial"/>
      <family val="2"/>
    </font>
  </fonts>
  <fills count="66">
    <fill>
      <patternFill patternType="none"/>
    </fill>
    <fill>
      <patternFill patternType="gray125"/>
    </fill>
    <fill>
      <patternFill patternType="none"/>
    </fill>
    <fill>
      <patternFill patternType="none"/>
    </fill>
    <fill>
      <patternFill patternType="none"/>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CCCCCC"/>
      </patternFill>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C0C0C0"/>
      </patternFill>
    </fill>
    <fill>
      <patternFill patternType="solid">
        <fgColor rgb="FFC0C0C0"/>
      </patternFill>
    </fill>
    <fill>
      <patternFill patternType="solid">
        <fgColor rgb="FFDFDFDF"/>
      </patternFill>
    </fill>
    <fill>
      <patternFill patternType="solid">
        <fgColor rgb="FFDFDFDF"/>
      </patternFill>
    </fill>
    <fill>
      <patternFill patternType="none"/>
    </fill>
    <fill>
      <patternFill patternType="none"/>
    </fill>
    <fill>
      <patternFill patternType="none"/>
    </fill>
    <fill>
      <patternFill patternType="none"/>
    </fill>
    <fill>
      <patternFill patternType="solid">
        <fgColor rgb="FFDFDFDF"/>
      </patternFill>
    </fill>
    <fill>
      <patternFill patternType="none"/>
    </fill>
    <fill>
      <patternFill patternType="solid">
        <fgColor rgb="FFDFDFDF"/>
      </patternFill>
    </fill>
    <fill>
      <patternFill patternType="solid">
        <fgColor rgb="FFDFDFDF"/>
      </patternFill>
    </fill>
    <fill>
      <patternFill patternType="solid">
        <fgColor rgb="FFDFDFDF"/>
      </patternFill>
    </fill>
    <fill>
      <patternFill patternType="solid">
        <fgColor rgb="FFDFDFDF"/>
      </patternFill>
    </fill>
    <fill>
      <patternFill patternType="solid">
        <fgColor rgb="FFDFDFDF"/>
      </patternFill>
    </fill>
    <fill>
      <patternFill patternType="solid">
        <fgColor rgb="FFDFDFDF"/>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FFEB9C"/>
        <b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49992370372631"/>
        <bgColor indexed="64"/>
      </patternFill>
    </fill>
  </fills>
  <borders count="4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s>
  <cellStyleXfs count="8">
    <xf numFmtId="0" fontId="0" fillId="0" borderId="0"/>
    <xf numFmtId="43" fontId="6" fillId="0" borderId="0" applyFont="0" applyFill="0" applyBorder="0" applyAlignment="0" applyProtection="0"/>
    <xf numFmtId="9" fontId="6" fillId="0" borderId="0" applyFont="0" applyFill="0" applyBorder="0" applyAlignment="0" applyProtection="0"/>
    <xf numFmtId="0" fontId="6" fillId="54" borderId="1"/>
    <xf numFmtId="0" fontId="8" fillId="55" borderId="1" applyBorder="0" applyProtection="0"/>
    <xf numFmtId="0" fontId="9" fillId="54" borderId="1" applyNumberFormat="0" applyFill="0" applyBorder="0" applyAlignment="0" applyProtection="0"/>
    <xf numFmtId="0" fontId="6" fillId="54" borderId="1"/>
    <xf numFmtId="0" fontId="10" fillId="54" borderId="1"/>
  </cellStyleXfs>
  <cellXfs count="461">
    <xf numFmtId="0" fontId="0" fillId="0" borderId="0" xfId="0"/>
    <xf numFmtId="0" fontId="3" fillId="4" borderId="1" xfId="0" applyFont="1" applyFill="1" applyBorder="1" applyAlignment="1">
      <alignment horizontal="right" vertical="center" wrapText="1"/>
    </xf>
    <xf numFmtId="0" fontId="5" fillId="13" borderId="1" xfId="0" applyFont="1" applyFill="1" applyBorder="1" applyAlignment="1">
      <alignment horizontal="right" vertical="center" wrapText="1"/>
    </xf>
    <xf numFmtId="0" fontId="7" fillId="54" borderId="1" xfId="3" applyFont="1" applyAlignment="1">
      <alignment vertical="center" wrapText="1"/>
    </xf>
    <xf numFmtId="2" fontId="7" fillId="54" borderId="1" xfId="3" applyNumberFormat="1" applyFont="1" applyAlignment="1">
      <alignment horizontal="center" vertical="center" wrapText="1"/>
    </xf>
    <xf numFmtId="4" fontId="7" fillId="54" borderId="1" xfId="3" applyNumberFormat="1" applyFont="1" applyAlignment="1">
      <alignment vertical="center" wrapText="1"/>
    </xf>
    <xf numFmtId="4" fontId="4" fillId="7" borderId="1" xfId="0" applyNumberFormat="1" applyFont="1" applyFill="1" applyBorder="1" applyAlignment="1">
      <alignment horizontal="right" vertical="center" wrapText="1"/>
    </xf>
    <xf numFmtId="0" fontId="2" fillId="0" borderId="0" xfId="0" applyFont="1"/>
    <xf numFmtId="0" fontId="13" fillId="56" borderId="0" xfId="0" applyFont="1" applyFill="1" applyAlignment="1">
      <alignment horizontal="centerContinuous" vertical="center"/>
    </xf>
    <xf numFmtId="0" fontId="2" fillId="56" borderId="0" xfId="0" applyFont="1" applyFill="1" applyAlignment="1">
      <alignment horizontal="centerContinuous" vertical="center"/>
    </xf>
    <xf numFmtId="0" fontId="2" fillId="56" borderId="1" xfId="0" applyFont="1" applyFill="1" applyBorder="1" applyAlignment="1">
      <alignment horizontal="centerContinuous" vertical="center"/>
    </xf>
    <xf numFmtId="0" fontId="14"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15" fillId="0" borderId="10" xfId="0" applyFont="1" applyBorder="1" applyAlignment="1">
      <alignment vertical="center"/>
    </xf>
    <xf numFmtId="0" fontId="14" fillId="0" borderId="33" xfId="0" applyFont="1" applyBorder="1" applyAlignment="1">
      <alignment vertical="center"/>
    </xf>
    <xf numFmtId="0" fontId="2" fillId="0" borderId="33" xfId="0" applyFont="1" applyBorder="1" applyAlignment="1">
      <alignment vertical="center"/>
    </xf>
    <xf numFmtId="0" fontId="15" fillId="0" borderId="26" xfId="0" applyFont="1" applyBorder="1" applyAlignment="1">
      <alignment vertical="center"/>
    </xf>
    <xf numFmtId="0" fontId="14" fillId="0" borderId="28" xfId="0" applyFont="1" applyBorder="1" applyAlignment="1">
      <alignment vertical="center"/>
    </xf>
    <xf numFmtId="0" fontId="14" fillId="0" borderId="28" xfId="0" applyFont="1" applyBorder="1" applyAlignment="1">
      <alignment horizontal="center" vertical="center"/>
    </xf>
    <xf numFmtId="14" fontId="14" fillId="0" borderId="28" xfId="0" applyNumberFormat="1" applyFont="1" applyBorder="1" applyAlignment="1">
      <alignment horizontal="center" vertical="center"/>
    </xf>
    <xf numFmtId="0" fontId="15" fillId="0" borderId="18" xfId="0" applyFont="1" applyBorder="1" applyAlignment="1">
      <alignment vertical="center"/>
    </xf>
    <xf numFmtId="0" fontId="14" fillId="0" borderId="29" xfId="0" applyFont="1" applyBorder="1" applyAlignment="1">
      <alignment vertical="center"/>
    </xf>
    <xf numFmtId="10" fontId="14" fillId="0" borderId="18" xfId="2" applyNumberFormat="1" applyFont="1" applyBorder="1" applyAlignment="1">
      <alignment vertical="center"/>
    </xf>
    <xf numFmtId="10" fontId="14" fillId="0" borderId="29" xfId="2" applyNumberFormat="1" applyFont="1" applyBorder="1" applyAlignment="1">
      <alignment horizontal="center" vertical="center"/>
    </xf>
    <xf numFmtId="0" fontId="15" fillId="0" borderId="30" xfId="0" applyFont="1" applyBorder="1" applyAlignment="1">
      <alignment vertical="center"/>
    </xf>
    <xf numFmtId="0" fontId="14" fillId="0" borderId="32" xfId="0" applyFont="1" applyBorder="1" applyAlignment="1">
      <alignment vertical="center"/>
    </xf>
    <xf numFmtId="10" fontId="14" fillId="0" borderId="32" xfId="2" applyNumberFormat="1" applyFont="1" applyBorder="1" applyAlignment="1">
      <alignment horizontal="center" vertical="center"/>
    </xf>
    <xf numFmtId="0" fontId="2" fillId="2" borderId="1" xfId="0" applyFont="1" applyFill="1" applyBorder="1" applyAlignment="1" applyProtection="1">
      <alignment vertical="center" wrapText="1"/>
      <protection locked="0"/>
    </xf>
    <xf numFmtId="0" fontId="16" fillId="42" borderId="2" xfId="0" applyFont="1" applyFill="1" applyBorder="1" applyAlignment="1">
      <alignment horizontal="center" vertical="center" wrapText="1"/>
    </xf>
    <xf numFmtId="0" fontId="16" fillId="42" borderId="37" xfId="0" applyFont="1" applyFill="1" applyBorder="1" applyAlignment="1">
      <alignment horizontal="center" vertical="center" wrapText="1"/>
    </xf>
    <xf numFmtId="0" fontId="14" fillId="0" borderId="0" xfId="0" applyFont="1"/>
    <xf numFmtId="0" fontId="14" fillId="3" borderId="0" xfId="0" applyFont="1" applyFill="1" applyAlignment="1" applyProtection="1">
      <alignment wrapText="1"/>
      <protection locked="0"/>
    </xf>
    <xf numFmtId="0" fontId="16" fillId="4" borderId="1" xfId="0" applyFont="1" applyFill="1" applyBorder="1" applyAlignment="1">
      <alignment vertical="center" wrapText="1"/>
    </xf>
    <xf numFmtId="0" fontId="14" fillId="0" borderId="1" xfId="0" applyFont="1" applyBorder="1"/>
    <xf numFmtId="0" fontId="14" fillId="3" borderId="1" xfId="0" applyFont="1" applyFill="1" applyBorder="1" applyAlignment="1" applyProtection="1">
      <alignment wrapText="1"/>
      <protection locked="0"/>
    </xf>
    <xf numFmtId="0" fontId="16" fillId="43" borderId="37" xfId="0" applyFont="1" applyFill="1" applyBorder="1" applyAlignment="1">
      <alignment horizontal="center" vertical="top" wrapText="1"/>
    </xf>
    <xf numFmtId="0" fontId="17" fillId="45" borderId="2" xfId="0" applyFont="1" applyFill="1" applyBorder="1" applyAlignment="1">
      <alignment horizontal="center" vertical="top" wrapText="1"/>
    </xf>
    <xf numFmtId="0" fontId="17" fillId="45" borderId="3" xfId="0" applyFont="1" applyFill="1" applyBorder="1" applyAlignment="1">
      <alignment horizontal="center" vertical="top" wrapText="1"/>
    </xf>
    <xf numFmtId="0" fontId="14" fillId="3" borderId="9" xfId="0" applyFont="1" applyFill="1" applyBorder="1" applyAlignment="1" applyProtection="1">
      <alignment wrapText="1"/>
      <protection locked="0"/>
    </xf>
    <xf numFmtId="0" fontId="16" fillId="48" borderId="38" xfId="0" applyFont="1" applyFill="1" applyBorder="1" applyAlignment="1">
      <alignment horizontal="right" vertical="center" wrapText="1"/>
    </xf>
    <xf numFmtId="0" fontId="14" fillId="0" borderId="27" xfId="0" applyFont="1" applyBorder="1" applyAlignment="1">
      <alignment vertical="center"/>
    </xf>
    <xf numFmtId="0" fontId="2" fillId="0" borderId="28" xfId="0" applyFont="1" applyBorder="1" applyAlignment="1">
      <alignment vertical="center"/>
    </xf>
    <xf numFmtId="0" fontId="15" fillId="0" borderId="1" xfId="0" applyFont="1" applyBorder="1" applyAlignment="1">
      <alignment vertical="center"/>
    </xf>
    <xf numFmtId="0" fontId="14" fillId="0" borderId="1" xfId="0" applyFont="1" applyBorder="1" applyAlignment="1">
      <alignment vertical="center"/>
    </xf>
    <xf numFmtId="0" fontId="2" fillId="0" borderId="29" xfId="0" applyFont="1" applyBorder="1" applyAlignment="1">
      <alignment vertical="center"/>
    </xf>
    <xf numFmtId="10" fontId="14" fillId="0" borderId="1" xfId="2" applyNumberFormat="1" applyFont="1" applyBorder="1" applyAlignment="1">
      <alignment vertical="center"/>
    </xf>
    <xf numFmtId="0" fontId="14" fillId="0" borderId="31" xfId="0" applyFont="1" applyBorder="1" applyAlignment="1">
      <alignment vertical="center"/>
    </xf>
    <xf numFmtId="0" fontId="2" fillId="0" borderId="32" xfId="0" applyFont="1" applyBorder="1" applyAlignment="1">
      <alignment vertical="center"/>
    </xf>
    <xf numFmtId="0" fontId="15" fillId="0" borderId="31" xfId="0" applyFont="1" applyBorder="1" applyAlignment="1">
      <alignment vertical="center"/>
    </xf>
    <xf numFmtId="0" fontId="18" fillId="2" borderId="1" xfId="0" applyFont="1" applyFill="1" applyBorder="1" applyAlignment="1" applyProtection="1">
      <alignment vertical="center" wrapText="1"/>
      <protection locked="0"/>
    </xf>
    <xf numFmtId="0" fontId="14" fillId="2" borderId="1" xfId="0" applyFont="1" applyFill="1" applyBorder="1" applyAlignment="1" applyProtection="1">
      <alignment vertical="center" wrapText="1"/>
      <protection locked="0"/>
    </xf>
    <xf numFmtId="0" fontId="14" fillId="3" borderId="0" xfId="0" applyFont="1" applyFill="1" applyAlignment="1" applyProtection="1">
      <alignment vertical="center" wrapText="1"/>
      <protection locked="0"/>
    </xf>
    <xf numFmtId="0" fontId="16" fillId="42"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3" borderId="9" xfId="0" applyFont="1" applyFill="1" applyBorder="1" applyAlignment="1">
      <alignment horizontal="center" vertical="center" wrapText="1"/>
    </xf>
    <xf numFmtId="0" fontId="16" fillId="44" borderId="9" xfId="0" applyFont="1" applyFill="1" applyBorder="1" applyAlignment="1">
      <alignment horizontal="center" vertical="center" wrapText="1"/>
    </xf>
    <xf numFmtId="0" fontId="16" fillId="44" borderId="1" xfId="0" applyFont="1" applyFill="1" applyBorder="1" applyAlignment="1">
      <alignment horizontal="center" vertical="center" wrapText="1"/>
    </xf>
    <xf numFmtId="0" fontId="16" fillId="44" borderId="1" xfId="0" applyFont="1" applyFill="1" applyBorder="1" applyAlignment="1">
      <alignment horizontal="left" vertical="center" wrapText="1"/>
    </xf>
    <xf numFmtId="0" fontId="17" fillId="45" borderId="9" xfId="0" applyFont="1" applyFill="1" applyBorder="1" applyAlignment="1">
      <alignment horizontal="center" vertical="center" wrapText="1"/>
    </xf>
    <xf numFmtId="10" fontId="17" fillId="47" borderId="9" xfId="2" applyNumberFormat="1" applyFont="1" applyFill="1" applyBorder="1" applyAlignment="1">
      <alignment horizontal="right" vertical="center" wrapText="1"/>
    </xf>
    <xf numFmtId="10" fontId="17" fillId="47" borderId="1" xfId="0" applyNumberFormat="1" applyFont="1" applyFill="1" applyBorder="1" applyAlignment="1">
      <alignment horizontal="right" vertical="center" wrapText="1"/>
    </xf>
    <xf numFmtId="10" fontId="17" fillId="47" borderId="10" xfId="2" applyNumberFormat="1" applyFont="1" applyFill="1" applyBorder="1" applyAlignment="1">
      <alignment horizontal="center" vertical="center" wrapText="1"/>
    </xf>
    <xf numFmtId="10" fontId="17" fillId="47" borderId="9" xfId="2" applyNumberFormat="1" applyFont="1" applyFill="1" applyBorder="1" applyAlignment="1">
      <alignment horizontal="center" vertical="center" wrapText="1"/>
    </xf>
    <xf numFmtId="0" fontId="17" fillId="46" borderId="1" xfId="0" applyFont="1" applyFill="1" applyBorder="1" applyAlignment="1">
      <alignment horizontal="left" vertical="center" wrapText="1"/>
    </xf>
    <xf numFmtId="10" fontId="16" fillId="49" borderId="9" xfId="2" applyNumberFormat="1" applyFont="1" applyFill="1" applyBorder="1" applyAlignment="1">
      <alignment horizontal="right" vertical="center" wrapText="1"/>
    </xf>
    <xf numFmtId="10" fontId="16" fillId="49" borderId="1" xfId="0" applyNumberFormat="1" applyFont="1" applyFill="1" applyBorder="1" applyAlignment="1">
      <alignment horizontal="right" vertical="center" wrapText="1"/>
    </xf>
    <xf numFmtId="10" fontId="17" fillId="47" borderId="1" xfId="0" applyNumberFormat="1" applyFont="1" applyFill="1" applyBorder="1" applyAlignment="1">
      <alignment horizontal="center" vertical="center" wrapText="1"/>
    </xf>
    <xf numFmtId="0" fontId="16" fillId="48" borderId="1" xfId="0" applyFont="1" applyFill="1" applyBorder="1" applyAlignment="1">
      <alignment horizontal="right" vertical="center" wrapText="1"/>
    </xf>
    <xf numFmtId="9" fontId="16" fillId="4" borderId="1" xfId="2" applyFont="1" applyFill="1" applyBorder="1" applyAlignment="1">
      <alignment vertical="center" wrapText="1"/>
    </xf>
    <xf numFmtId="4" fontId="17" fillId="47" borderId="1" xfId="0" applyNumberFormat="1" applyFont="1" applyFill="1" applyBorder="1" applyAlignment="1">
      <alignment horizontal="center" vertical="center" wrapText="1"/>
    </xf>
    <xf numFmtId="9" fontId="14" fillId="3" borderId="9" xfId="2" applyFont="1" applyFill="1" applyBorder="1" applyAlignment="1" applyProtection="1">
      <alignment vertical="center" wrapText="1"/>
      <protection locked="0"/>
    </xf>
    <xf numFmtId="0" fontId="14" fillId="3" borderId="1" xfId="0" applyFont="1" applyFill="1" applyBorder="1" applyAlignment="1" applyProtection="1">
      <alignment vertical="center" wrapText="1"/>
      <protection locked="0"/>
    </xf>
    <xf numFmtId="10" fontId="16" fillId="48" borderId="1" xfId="0" applyNumberFormat="1" applyFont="1" applyFill="1" applyBorder="1" applyAlignment="1">
      <alignment horizontal="right" vertical="center" wrapText="1"/>
    </xf>
    <xf numFmtId="10" fontId="2" fillId="0" borderId="1" xfId="0" applyNumberFormat="1" applyFont="1" applyBorder="1" applyAlignment="1">
      <alignment vertical="center"/>
    </xf>
    <xf numFmtId="0" fontId="16" fillId="50" borderId="1" xfId="0" applyFont="1" applyFill="1" applyBorder="1" applyAlignment="1">
      <alignment horizontal="left" vertical="center" wrapText="1"/>
    </xf>
    <xf numFmtId="10" fontId="19" fillId="2" borderId="36" xfId="2" applyNumberFormat="1" applyFont="1" applyFill="1" applyBorder="1" applyAlignment="1" applyProtection="1">
      <alignment horizontal="center" vertical="center" wrapText="1"/>
      <protection locked="0"/>
    </xf>
    <xf numFmtId="10" fontId="19" fillId="2" borderId="1" xfId="2"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vertical="center"/>
      <protection locked="0"/>
    </xf>
    <xf numFmtId="10" fontId="2" fillId="0" borderId="0" xfId="0" applyNumberFormat="1" applyFont="1" applyAlignment="1">
      <alignment vertical="center"/>
    </xf>
    <xf numFmtId="10" fontId="2" fillId="56" borderId="0" xfId="0" applyNumberFormat="1" applyFont="1" applyFill="1" applyAlignment="1">
      <alignment horizontal="centerContinuous" vertical="center"/>
    </xf>
    <xf numFmtId="10" fontId="14" fillId="0" borderId="34" xfId="0" applyNumberFormat="1" applyFont="1" applyBorder="1" applyAlignment="1">
      <alignment vertical="center"/>
    </xf>
    <xf numFmtId="0" fontId="2" fillId="3" borderId="0" xfId="0" applyFont="1" applyFill="1" applyAlignment="1" applyProtection="1">
      <alignment vertical="center" wrapText="1"/>
      <protection locked="0"/>
    </xf>
    <xf numFmtId="0" fontId="16" fillId="5" borderId="2" xfId="0" applyFont="1" applyFill="1" applyBorder="1" applyAlignment="1">
      <alignment horizontal="center" vertical="center" wrapText="1"/>
    </xf>
    <xf numFmtId="10" fontId="16" fillId="5" borderId="3" xfId="0" applyNumberFormat="1" applyFont="1" applyFill="1" applyBorder="1" applyAlignment="1">
      <alignment horizontal="center" vertical="center" wrapText="1"/>
    </xf>
    <xf numFmtId="0" fontId="16" fillId="6" borderId="2" xfId="0" applyFont="1" applyFill="1" applyBorder="1" applyAlignment="1">
      <alignment horizontal="left" vertical="center" wrapText="1"/>
    </xf>
    <xf numFmtId="0" fontId="16" fillId="6" borderId="2" xfId="0" applyFont="1" applyFill="1" applyBorder="1" applyAlignment="1">
      <alignment horizontal="left" vertical="center"/>
    </xf>
    <xf numFmtId="4" fontId="16" fillId="7" borderId="37" xfId="0" applyNumberFormat="1" applyFont="1" applyFill="1" applyBorder="1" applyAlignment="1">
      <alignment horizontal="right" vertical="center" wrapText="1"/>
    </xf>
    <xf numFmtId="10" fontId="14" fillId="0" borderId="9" xfId="2" applyNumberFormat="1" applyFont="1" applyBorder="1" applyAlignment="1">
      <alignment vertical="center"/>
    </xf>
    <xf numFmtId="0" fontId="17" fillId="8" borderId="2" xfId="0" applyFont="1" applyFill="1" applyBorder="1" applyAlignment="1">
      <alignment horizontal="left" vertical="center" wrapText="1"/>
    </xf>
    <xf numFmtId="0" fontId="17" fillId="9" borderId="2" xfId="0" applyFont="1" applyFill="1" applyBorder="1" applyAlignment="1">
      <alignment horizontal="center" vertical="center" wrapText="1"/>
    </xf>
    <xf numFmtId="0" fontId="17" fillId="10" borderId="2" xfId="0" applyFont="1" applyFill="1" applyBorder="1" applyAlignment="1">
      <alignment horizontal="justify" vertical="center" wrapText="1"/>
    </xf>
    <xf numFmtId="4" fontId="17" fillId="58" borderId="2" xfId="0" applyNumberFormat="1" applyFont="1" applyFill="1" applyBorder="1" applyAlignment="1">
      <alignment horizontal="right" vertical="center" wrapText="1"/>
    </xf>
    <xf numFmtId="4" fontId="17" fillId="11" borderId="2" xfId="0" applyNumberFormat="1" applyFont="1" applyFill="1" applyBorder="1" applyAlignment="1">
      <alignment horizontal="right" vertical="center" wrapText="1"/>
    </xf>
    <xf numFmtId="164" fontId="17" fillId="12" borderId="37" xfId="0" applyNumberFormat="1" applyFont="1" applyFill="1" applyBorder="1" applyAlignment="1">
      <alignment horizontal="right" vertical="center" wrapText="1"/>
    </xf>
    <xf numFmtId="4" fontId="2" fillId="0" borderId="0" xfId="0" applyNumberFormat="1" applyFont="1" applyAlignment="1">
      <alignment vertical="center"/>
    </xf>
    <xf numFmtId="0" fontId="20" fillId="8" borderId="2" xfId="0" applyFont="1" applyFill="1" applyBorder="1" applyAlignment="1">
      <alignment horizontal="left" vertical="center" wrapText="1"/>
    </xf>
    <xf numFmtId="0" fontId="20" fillId="9" borderId="2" xfId="0" applyFont="1" applyFill="1" applyBorder="1" applyAlignment="1">
      <alignment horizontal="left" vertical="center" wrapText="1"/>
    </xf>
    <xf numFmtId="0" fontId="20" fillId="10" borderId="2" xfId="0" applyFont="1" applyFill="1" applyBorder="1" applyAlignment="1">
      <alignment horizontal="left" vertical="center" wrapText="1"/>
    </xf>
    <xf numFmtId="4" fontId="20" fillId="11" borderId="2" xfId="0" applyNumberFormat="1" applyFont="1" applyFill="1" applyBorder="1" applyAlignment="1">
      <alignment horizontal="left" vertical="center" wrapText="1"/>
    </xf>
    <xf numFmtId="164" fontId="20" fillId="12" borderId="37" xfId="0" applyNumberFormat="1" applyFont="1" applyFill="1" applyBorder="1" applyAlignment="1">
      <alignment horizontal="left" vertical="center" wrapText="1"/>
    </xf>
    <xf numFmtId="10" fontId="20" fillId="0" borderId="9" xfId="2" applyNumberFormat="1" applyFont="1" applyBorder="1" applyAlignment="1">
      <alignment horizontal="left" vertical="center"/>
    </xf>
    <xf numFmtId="4" fontId="21" fillId="0" borderId="0" xfId="0" applyNumberFormat="1" applyFont="1" applyAlignment="1">
      <alignment horizontal="left" vertical="center"/>
    </xf>
    <xf numFmtId="0" fontId="21" fillId="0" borderId="0" xfId="0" applyFont="1" applyAlignment="1">
      <alignment horizontal="left" vertical="center"/>
    </xf>
    <xf numFmtId="0" fontId="17" fillId="9" borderId="2" xfId="0" applyFont="1" applyFill="1" applyBorder="1" applyAlignment="1">
      <alignment horizontal="left" vertical="center" wrapText="1"/>
    </xf>
    <xf numFmtId="0" fontId="17" fillId="10" borderId="2" xfId="0" applyFont="1" applyFill="1" applyBorder="1" applyAlignment="1">
      <alignment horizontal="left" vertical="center" wrapText="1"/>
    </xf>
    <xf numFmtId="4" fontId="17" fillId="11" borderId="2" xfId="0" applyNumberFormat="1" applyFont="1" applyFill="1" applyBorder="1" applyAlignment="1">
      <alignment horizontal="left" vertical="center" wrapText="1"/>
    </xf>
    <xf numFmtId="164" fontId="17" fillId="12" borderId="37" xfId="0" applyNumberFormat="1" applyFont="1" applyFill="1" applyBorder="1" applyAlignment="1">
      <alignment horizontal="left" vertical="center" wrapText="1"/>
    </xf>
    <xf numFmtId="10" fontId="14" fillId="0" borderId="9" xfId="2" applyNumberFormat="1" applyFont="1" applyBorder="1" applyAlignment="1">
      <alignment horizontal="left" vertical="center"/>
    </xf>
    <xf numFmtId="4" fontId="2" fillId="0" borderId="0" xfId="0" applyNumberFormat="1" applyFont="1" applyAlignment="1">
      <alignment horizontal="left" vertical="center"/>
    </xf>
    <xf numFmtId="0" fontId="2" fillId="0" borderId="0" xfId="0" applyFont="1" applyAlignment="1">
      <alignment horizontal="left" vertical="center"/>
    </xf>
    <xf numFmtId="0" fontId="20" fillId="8" borderId="2" xfId="0" applyFont="1" applyFill="1" applyBorder="1" applyAlignment="1">
      <alignment vertical="center" wrapText="1"/>
    </xf>
    <xf numFmtId="0" fontId="20" fillId="9" borderId="2" xfId="0" applyFont="1" applyFill="1" applyBorder="1" applyAlignment="1">
      <alignment vertical="center" wrapText="1"/>
    </xf>
    <xf numFmtId="0" fontId="20" fillId="10" borderId="2" xfId="0" applyFont="1" applyFill="1" applyBorder="1" applyAlignment="1">
      <alignment vertical="center" wrapText="1"/>
    </xf>
    <xf numFmtId="43" fontId="20" fillId="9" borderId="2" xfId="1" applyFont="1" applyFill="1" applyBorder="1" applyAlignment="1">
      <alignment vertical="center" wrapText="1"/>
    </xf>
    <xf numFmtId="4" fontId="20" fillId="11" borderId="2" xfId="0" applyNumberFormat="1" applyFont="1" applyFill="1" applyBorder="1" applyAlignment="1">
      <alignment vertical="center" wrapText="1"/>
    </xf>
    <xf numFmtId="164" fontId="20" fillId="12" borderId="37" xfId="0" applyNumberFormat="1" applyFont="1" applyFill="1" applyBorder="1" applyAlignment="1">
      <alignment vertical="center" wrapText="1"/>
    </xf>
    <xf numFmtId="10" fontId="20" fillId="0" borderId="9" xfId="2" applyNumberFormat="1" applyFont="1" applyBorder="1" applyAlignment="1">
      <alignment vertical="center"/>
    </xf>
    <xf numFmtId="0" fontId="21" fillId="0" borderId="0" xfId="0" applyFont="1" applyAlignment="1">
      <alignment vertical="center"/>
    </xf>
    <xf numFmtId="0" fontId="20" fillId="10" borderId="2" xfId="0" applyFont="1" applyFill="1" applyBorder="1" applyAlignment="1">
      <alignment horizontal="justify" vertical="center" wrapText="1"/>
    </xf>
    <xf numFmtId="43" fontId="20" fillId="8" borderId="2" xfId="1" applyFont="1" applyFill="1" applyBorder="1" applyAlignment="1">
      <alignment horizontal="left" vertical="center" wrapText="1"/>
    </xf>
    <xf numFmtId="43" fontId="20" fillId="9" borderId="2" xfId="1" applyFont="1" applyFill="1" applyBorder="1" applyAlignment="1">
      <alignment horizontal="center" vertical="center" wrapText="1"/>
    </xf>
    <xf numFmtId="43" fontId="20" fillId="10" borderId="2" xfId="1" applyFont="1" applyFill="1" applyBorder="1" applyAlignment="1">
      <alignment horizontal="right" vertical="center" wrapText="1"/>
    </xf>
    <xf numFmtId="43" fontId="20" fillId="12" borderId="37" xfId="1" applyFont="1" applyFill="1" applyBorder="1" applyAlignment="1">
      <alignment horizontal="right" vertical="center" wrapText="1"/>
    </xf>
    <xf numFmtId="43" fontId="20" fillId="0" borderId="9" xfId="1" applyFont="1" applyBorder="1" applyAlignment="1">
      <alignment vertical="center"/>
    </xf>
    <xf numFmtId="43" fontId="21" fillId="0" borderId="0" xfId="1" applyFont="1" applyAlignment="1">
      <alignment vertical="center"/>
    </xf>
    <xf numFmtId="43" fontId="20" fillId="10" borderId="2" xfId="1" applyFont="1" applyFill="1" applyBorder="1" applyAlignment="1">
      <alignment horizontal="justify" vertical="center" wrapText="1"/>
    </xf>
    <xf numFmtId="43" fontId="20" fillId="11" borderId="2" xfId="1" applyFont="1" applyFill="1" applyBorder="1" applyAlignment="1">
      <alignment horizontal="right" vertical="center" wrapText="1"/>
    </xf>
    <xf numFmtId="43" fontId="20" fillId="9" borderId="2" xfId="1" applyFont="1" applyFill="1" applyBorder="1" applyAlignment="1">
      <alignment horizontal="left" vertical="center" wrapText="1"/>
    </xf>
    <xf numFmtId="43" fontId="20" fillId="11" borderId="2" xfId="1" applyFont="1" applyFill="1" applyBorder="1" applyAlignment="1">
      <alignment horizontal="left" vertical="center" wrapText="1"/>
    </xf>
    <xf numFmtId="43" fontId="20" fillId="12" borderId="37" xfId="1" applyFont="1" applyFill="1" applyBorder="1" applyAlignment="1">
      <alignment horizontal="left" vertical="center" wrapText="1"/>
    </xf>
    <xf numFmtId="43" fontId="20" fillId="0" borderId="9" xfId="1" applyFont="1" applyBorder="1" applyAlignment="1">
      <alignment horizontal="left" vertical="center"/>
    </xf>
    <xf numFmtId="43" fontId="20" fillId="9" borderId="2" xfId="1" applyFont="1" applyFill="1" applyBorder="1" applyAlignment="1">
      <alignment horizontal="left" vertical="center"/>
    </xf>
    <xf numFmtId="0" fontId="20" fillId="8" borderId="2" xfId="0" applyFont="1" applyFill="1" applyBorder="1" applyAlignment="1">
      <alignment horizontal="left" vertical="center"/>
    </xf>
    <xf numFmtId="0" fontId="20" fillId="9" borderId="2" xfId="0" applyFont="1" applyFill="1" applyBorder="1" applyAlignment="1">
      <alignment horizontal="center" vertical="center"/>
    </xf>
    <xf numFmtId="0" fontId="20" fillId="10" borderId="2" xfId="0" applyFont="1" applyFill="1" applyBorder="1" applyAlignment="1">
      <alignment horizontal="justify" vertical="center"/>
    </xf>
    <xf numFmtId="4" fontId="20" fillId="11" borderId="2" xfId="0" applyNumberFormat="1" applyFont="1" applyFill="1" applyBorder="1" applyAlignment="1">
      <alignment horizontal="right" vertical="center"/>
    </xf>
    <xf numFmtId="164" fontId="20" fillId="12" borderId="37" xfId="0" applyNumberFormat="1" applyFont="1" applyFill="1" applyBorder="1" applyAlignment="1">
      <alignment horizontal="right" vertical="center"/>
    </xf>
    <xf numFmtId="0" fontId="20" fillId="9" borderId="2" xfId="0" applyFont="1" applyFill="1" applyBorder="1" applyAlignment="1">
      <alignment horizontal="center" vertical="center" wrapText="1"/>
    </xf>
    <xf numFmtId="164" fontId="20" fillId="12" borderId="37" xfId="0" applyNumberFormat="1" applyFont="1" applyFill="1" applyBorder="1" applyAlignment="1">
      <alignment horizontal="right" vertical="center" wrapText="1"/>
    </xf>
    <xf numFmtId="4" fontId="20" fillId="11" borderId="2" xfId="0" applyNumberFormat="1" applyFont="1" applyFill="1" applyBorder="1" applyAlignment="1">
      <alignment horizontal="right" vertical="center" wrapText="1"/>
    </xf>
    <xf numFmtId="0" fontId="20" fillId="10" borderId="2" xfId="0" applyFont="1" applyFill="1" applyBorder="1" applyAlignment="1">
      <alignment horizontal="right" vertical="center" wrapText="1"/>
    </xf>
    <xf numFmtId="43" fontId="20" fillId="9" borderId="2" xfId="0" applyNumberFormat="1" applyFont="1" applyFill="1" applyBorder="1" applyAlignment="1">
      <alignment horizontal="center" vertical="center" wrapText="1"/>
    </xf>
    <xf numFmtId="0" fontId="20" fillId="6" borderId="2" xfId="0" applyFont="1" applyFill="1" applyBorder="1" applyAlignment="1">
      <alignment horizontal="left" vertical="center"/>
    </xf>
    <xf numFmtId="0" fontId="20" fillId="8" borderId="2" xfId="0" applyFont="1" applyFill="1" applyBorder="1" applyAlignment="1">
      <alignment vertical="center"/>
    </xf>
    <xf numFmtId="0" fontId="20" fillId="9" borderId="2" xfId="0" applyFont="1" applyFill="1" applyBorder="1" applyAlignment="1">
      <alignment vertical="center"/>
    </xf>
    <xf numFmtId="0" fontId="20" fillId="10" borderId="2" xfId="0" applyFont="1" applyFill="1" applyBorder="1" applyAlignment="1">
      <alignment vertical="center"/>
    </xf>
    <xf numFmtId="4" fontId="20" fillId="11" borderId="2" xfId="0" applyNumberFormat="1" applyFont="1" applyFill="1" applyBorder="1" applyAlignment="1">
      <alignment vertical="center"/>
    </xf>
    <xf numFmtId="164" fontId="20" fillId="12" borderId="37" xfId="0" applyNumberFormat="1" applyFont="1" applyFill="1" applyBorder="1" applyAlignment="1">
      <alignment vertical="center"/>
    </xf>
    <xf numFmtId="0" fontId="16" fillId="58" borderId="2" xfId="0" applyFont="1" applyFill="1" applyBorder="1" applyAlignment="1">
      <alignment horizontal="left" vertical="center" wrapText="1"/>
    </xf>
    <xf numFmtId="0" fontId="16" fillId="6" borderId="3" xfId="0" applyFont="1" applyFill="1" applyBorder="1" applyAlignment="1">
      <alignment horizontal="left" vertical="center"/>
    </xf>
    <xf numFmtId="0" fontId="16" fillId="6" borderId="3" xfId="0" applyFont="1" applyFill="1" applyBorder="1" applyAlignment="1">
      <alignment horizontal="left" vertical="center" wrapText="1"/>
    </xf>
    <xf numFmtId="4" fontId="17" fillId="11" borderId="3" xfId="0" applyNumberFormat="1" applyFont="1" applyFill="1" applyBorder="1" applyAlignment="1">
      <alignment horizontal="right" vertical="center" wrapText="1"/>
    </xf>
    <xf numFmtId="4" fontId="16" fillId="7" borderId="4" xfId="0" applyNumberFormat="1" applyFont="1" applyFill="1" applyBorder="1" applyAlignment="1">
      <alignment horizontal="right" vertical="center" wrapText="1"/>
    </xf>
    <xf numFmtId="0" fontId="17" fillId="9" borderId="37" xfId="0" applyFont="1" applyFill="1" applyBorder="1" applyAlignment="1">
      <alignment horizontal="center" vertical="center" wrapText="1"/>
    </xf>
    <xf numFmtId="0" fontId="17" fillId="9" borderId="9" xfId="0" applyFont="1" applyFill="1" applyBorder="1" applyAlignment="1">
      <alignment horizontal="center" vertical="center" wrapText="1"/>
    </xf>
    <xf numFmtId="4" fontId="17" fillId="58" borderId="9" xfId="0" applyNumberFormat="1" applyFont="1" applyFill="1" applyBorder="1" applyAlignment="1">
      <alignment horizontal="right" vertical="center" wrapText="1"/>
    </xf>
    <xf numFmtId="4" fontId="17" fillId="11" borderId="9" xfId="0" applyNumberFormat="1" applyFont="1" applyFill="1" applyBorder="1" applyAlignment="1">
      <alignment horizontal="right" vertical="center" wrapText="1"/>
    </xf>
    <xf numFmtId="164" fontId="16" fillId="12" borderId="10" xfId="0" applyNumberFormat="1" applyFont="1" applyFill="1" applyBorder="1" applyAlignment="1">
      <alignment horizontal="right" vertical="center" wrapText="1"/>
    </xf>
    <xf numFmtId="0" fontId="14" fillId="3" borderId="10" xfId="0" applyFont="1" applyFill="1" applyBorder="1" applyAlignment="1" applyProtection="1">
      <alignment vertical="center" wrapText="1"/>
      <protection locked="0"/>
    </xf>
    <xf numFmtId="0" fontId="14" fillId="3" borderId="33" xfId="0" applyFont="1" applyFill="1" applyBorder="1" applyAlignment="1" applyProtection="1">
      <alignment vertical="center" wrapText="1"/>
      <protection locked="0"/>
    </xf>
    <xf numFmtId="0" fontId="22" fillId="3" borderId="33" xfId="0" applyFont="1" applyFill="1" applyBorder="1" applyAlignment="1" applyProtection="1">
      <alignment vertical="center" wrapText="1"/>
      <protection locked="0"/>
    </xf>
    <xf numFmtId="0" fontId="23" fillId="13" borderId="33" xfId="0" applyFont="1" applyFill="1" applyBorder="1" applyAlignment="1">
      <alignment horizontal="right" vertical="center" wrapText="1"/>
    </xf>
    <xf numFmtId="0" fontId="23" fillId="13" borderId="34" xfId="0" applyFont="1" applyFill="1" applyBorder="1" applyAlignment="1">
      <alignment horizontal="right" vertical="center" wrapText="1"/>
    </xf>
    <xf numFmtId="4" fontId="23" fillId="7" borderId="9" xfId="0" applyNumberFormat="1" applyFont="1" applyFill="1" applyBorder="1" applyAlignment="1">
      <alignment horizontal="right" vertical="center" wrapText="1"/>
    </xf>
    <xf numFmtId="43" fontId="12" fillId="0" borderId="0" xfId="1" applyFont="1" applyAlignment="1">
      <alignment vertical="center"/>
    </xf>
    <xf numFmtId="0" fontId="2" fillId="3" borderId="1" xfId="0" applyFont="1" applyFill="1" applyBorder="1" applyAlignment="1" applyProtection="1">
      <alignment vertical="center" wrapText="1"/>
      <protection locked="0"/>
    </xf>
    <xf numFmtId="0" fontId="2" fillId="56" borderId="0" xfId="0" applyFont="1" applyFill="1"/>
    <xf numFmtId="0" fontId="2" fillId="0" borderId="34" xfId="0" applyFont="1" applyBorder="1"/>
    <xf numFmtId="0" fontId="2" fillId="0" borderId="28" xfId="0" applyFont="1" applyBorder="1"/>
    <xf numFmtId="0" fontId="2" fillId="0" borderId="29" xfId="0" applyFont="1" applyBorder="1"/>
    <xf numFmtId="0" fontId="2" fillId="0" borderId="32" xfId="0" applyFont="1" applyBorder="1"/>
    <xf numFmtId="0" fontId="17" fillId="28" borderId="2" xfId="0" applyFont="1" applyFill="1" applyBorder="1" applyAlignment="1">
      <alignment horizontal="center" vertical="center" wrapText="1"/>
    </xf>
    <xf numFmtId="0" fontId="17" fillId="29" borderId="2" xfId="0" applyFont="1" applyFill="1" applyBorder="1" applyAlignment="1">
      <alignment horizontal="center" vertical="center" wrapText="1"/>
    </xf>
    <xf numFmtId="10" fontId="17" fillId="0" borderId="3" xfId="2" applyNumberFormat="1" applyFont="1" applyFill="1" applyBorder="1" applyAlignment="1">
      <alignment horizontal="right" vertical="center" wrapText="1"/>
    </xf>
    <xf numFmtId="166" fontId="16" fillId="33" borderId="3" xfId="0" applyNumberFormat="1" applyFont="1" applyFill="1" applyBorder="1" applyAlignment="1">
      <alignment horizontal="right" vertical="center" wrapText="1"/>
    </xf>
    <xf numFmtId="4" fontId="17" fillId="0" borderId="2" xfId="0" applyNumberFormat="1" applyFont="1" applyBorder="1" applyAlignment="1">
      <alignment horizontal="right" vertical="center" wrapText="1"/>
    </xf>
    <xf numFmtId="4" fontId="16" fillId="35" borderId="2" xfId="0" applyNumberFormat="1" applyFont="1" applyFill="1" applyBorder="1" applyAlignment="1">
      <alignment horizontal="right" vertical="center" wrapText="1"/>
    </xf>
    <xf numFmtId="9" fontId="17" fillId="0" borderId="3" xfId="2" applyFont="1" applyFill="1" applyBorder="1" applyAlignment="1">
      <alignment horizontal="right" vertical="center" wrapText="1"/>
    </xf>
    <xf numFmtId="0" fontId="14" fillId="36" borderId="4" xfId="0" applyFont="1" applyFill="1" applyBorder="1" applyAlignment="1" applyProtection="1">
      <alignment wrapText="1"/>
      <protection locked="0"/>
    </xf>
    <xf numFmtId="0" fontId="14" fillId="37" borderId="6" xfId="0" applyFont="1" applyFill="1" applyBorder="1" applyAlignment="1" applyProtection="1">
      <alignment wrapText="1"/>
      <protection locked="0"/>
    </xf>
    <xf numFmtId="4" fontId="17" fillId="39" borderId="3" xfId="0" applyNumberFormat="1" applyFont="1" applyFill="1" applyBorder="1" applyAlignment="1">
      <alignment horizontal="right" vertical="center" wrapText="1"/>
    </xf>
    <xf numFmtId="0" fontId="14" fillId="40" borderId="5" xfId="0" applyFont="1" applyFill="1" applyBorder="1" applyAlignment="1" applyProtection="1">
      <alignment wrapText="1"/>
      <protection locked="0"/>
    </xf>
    <xf numFmtId="0" fontId="14" fillId="41" borderId="8" xfId="0" applyFont="1" applyFill="1" applyBorder="1" applyAlignment="1" applyProtection="1">
      <alignment wrapText="1"/>
      <protection locked="0"/>
    </xf>
    <xf numFmtId="4" fontId="17" fillId="34" borderId="2" xfId="0" applyNumberFormat="1" applyFont="1" applyFill="1" applyBorder="1" applyAlignment="1">
      <alignment horizontal="right" vertical="center" wrapText="1"/>
    </xf>
    <xf numFmtId="4" fontId="2" fillId="0" borderId="0" xfId="0" applyNumberFormat="1" applyFont="1"/>
    <xf numFmtId="10" fontId="2" fillId="0" borderId="0" xfId="2" applyNumberFormat="1" applyFont="1"/>
    <xf numFmtId="0" fontId="14" fillId="0" borderId="9" xfId="0" applyFont="1" applyBorder="1" applyAlignment="1">
      <alignment vertical="center"/>
    </xf>
    <xf numFmtId="0" fontId="24" fillId="54" borderId="9" xfId="4" applyFont="1" applyFill="1" applyBorder="1" applyAlignment="1">
      <alignment horizontal="center" vertical="center" wrapText="1"/>
    </xf>
    <xf numFmtId="0" fontId="24" fillId="54" borderId="9" xfId="4" applyFont="1" applyFill="1" applyBorder="1" applyAlignment="1">
      <alignment horizontal="center" vertical="center"/>
    </xf>
    <xf numFmtId="49" fontId="24" fillId="54" borderId="10" xfId="4" applyNumberFormat="1" applyFont="1" applyFill="1" applyBorder="1" applyAlignment="1">
      <alignment horizontal="center" vertical="center"/>
    </xf>
    <xf numFmtId="0" fontId="24" fillId="54" borderId="9" xfId="4" applyFont="1" applyFill="1" applyBorder="1" applyAlignment="1" applyProtection="1">
      <alignment horizontal="center" vertical="center"/>
    </xf>
    <xf numFmtId="4" fontId="24" fillId="54" borderId="9" xfId="4" applyNumberFormat="1" applyFont="1" applyFill="1" applyBorder="1" applyAlignment="1">
      <alignment horizontal="center" vertical="center"/>
    </xf>
    <xf numFmtId="4" fontId="24" fillId="54" borderId="9" xfId="4" applyNumberFormat="1" applyFont="1" applyFill="1" applyBorder="1" applyAlignment="1" applyProtection="1">
      <alignment horizontal="center" vertical="center"/>
    </xf>
    <xf numFmtId="0" fontId="25" fillId="54" borderId="1" xfId="3" applyFont="1" applyAlignment="1">
      <alignment horizontal="center" vertical="center"/>
    </xf>
    <xf numFmtId="0" fontId="25" fillId="54" borderId="1" xfId="4" applyFont="1" applyFill="1" applyBorder="1" applyAlignment="1">
      <alignment horizontal="center" vertical="center" wrapText="1"/>
    </xf>
    <xf numFmtId="4" fontId="25" fillId="54" borderId="1" xfId="4" applyNumberFormat="1" applyFont="1" applyFill="1" applyBorder="1" applyAlignment="1">
      <alignment vertical="center" wrapText="1"/>
    </xf>
    <xf numFmtId="49" fontId="25" fillId="54" borderId="1" xfId="4" applyNumberFormat="1" applyFont="1" applyFill="1" applyBorder="1" applyAlignment="1">
      <alignment horizontal="center" vertical="center" wrapText="1"/>
    </xf>
    <xf numFmtId="167" fontId="25" fillId="54" borderId="1" xfId="4" applyNumberFormat="1" applyFont="1" applyFill="1" applyBorder="1" applyAlignment="1" applyProtection="1">
      <alignment horizontal="center" vertical="center" wrapText="1"/>
    </xf>
    <xf numFmtId="0" fontId="25" fillId="54" borderId="11" xfId="4" applyFont="1" applyFill="1" applyBorder="1" applyAlignment="1">
      <alignment horizontal="center" vertical="center" wrapText="1"/>
    </xf>
    <xf numFmtId="0" fontId="25" fillId="54" borderId="12" xfId="4" applyFont="1" applyFill="1" applyBorder="1" applyAlignment="1">
      <alignment horizontal="center" vertical="center" wrapText="1"/>
    </xf>
    <xf numFmtId="4" fontId="25" fillId="54" borderId="12" xfId="4" applyNumberFormat="1" applyFont="1" applyFill="1" applyBorder="1" applyAlignment="1">
      <alignment vertical="center" wrapText="1"/>
    </xf>
    <xf numFmtId="0" fontId="25" fillId="54" borderId="13" xfId="4" applyFont="1" applyFill="1" applyBorder="1" applyAlignment="1">
      <alignment horizontal="center" vertical="center" wrapText="1"/>
    </xf>
    <xf numFmtId="0" fontId="25" fillId="54" borderId="14" xfId="4" applyFont="1" applyFill="1" applyBorder="1" applyAlignment="1">
      <alignment vertical="center" wrapText="1"/>
    </xf>
    <xf numFmtId="0" fontId="24" fillId="54" borderId="14" xfId="4" applyFont="1" applyFill="1" applyBorder="1" applyAlignment="1" applyProtection="1">
      <alignment horizontal="center" vertical="center" wrapText="1"/>
    </xf>
    <xf numFmtId="0" fontId="24" fillId="54" borderId="24" xfId="4" applyFont="1" applyFill="1" applyBorder="1" applyAlignment="1" applyProtection="1">
      <alignment horizontal="center" vertical="center" wrapText="1"/>
    </xf>
    <xf numFmtId="167" fontId="25" fillId="54" borderId="15" xfId="4" applyNumberFormat="1" applyFont="1" applyFill="1" applyBorder="1" applyAlignment="1" applyProtection="1">
      <alignment horizontal="center" vertical="center" wrapText="1"/>
    </xf>
    <xf numFmtId="0" fontId="25" fillId="54" borderId="1" xfId="3" applyFont="1" applyAlignment="1">
      <alignment vertical="center"/>
    </xf>
    <xf numFmtId="0" fontId="25" fillId="54" borderId="16" xfId="4" applyFont="1" applyFill="1" applyBorder="1" applyAlignment="1">
      <alignment horizontal="center" vertical="center" wrapText="1"/>
    </xf>
    <xf numFmtId="0" fontId="25" fillId="54" borderId="17" xfId="4" applyFont="1" applyFill="1" applyBorder="1" applyAlignment="1">
      <alignment horizontal="center" vertical="center" wrapText="1"/>
    </xf>
    <xf numFmtId="4" fontId="25" fillId="54" borderId="17" xfId="4" applyNumberFormat="1" applyFont="1" applyFill="1" applyBorder="1" applyAlignment="1">
      <alignment vertical="center" wrapText="1"/>
    </xf>
    <xf numFmtId="0" fontId="25" fillId="54" borderId="18" xfId="4" applyFont="1" applyFill="1" applyBorder="1" applyAlignment="1">
      <alignment horizontal="center" vertical="center" wrapText="1"/>
    </xf>
    <xf numFmtId="0" fontId="25" fillId="54" borderId="9" xfId="4" applyFont="1" applyFill="1" applyBorder="1" applyAlignment="1">
      <alignment vertical="center" wrapText="1"/>
    </xf>
    <xf numFmtId="0" fontId="25" fillId="54" borderId="9" xfId="4" applyFont="1" applyFill="1" applyBorder="1" applyAlignment="1" applyProtection="1">
      <alignment horizontal="center" vertical="center" wrapText="1"/>
    </xf>
    <xf numFmtId="0" fontId="25" fillId="54" borderId="10" xfId="4" applyFont="1" applyFill="1" applyBorder="1" applyAlignment="1" applyProtection="1">
      <alignment horizontal="center" vertical="center" wrapText="1"/>
    </xf>
    <xf numFmtId="49" fontId="25" fillId="54" borderId="9" xfId="4" applyNumberFormat="1" applyFont="1" applyFill="1" applyBorder="1" applyAlignment="1" applyProtection="1">
      <alignment horizontal="center" vertical="center" wrapText="1"/>
    </xf>
    <xf numFmtId="49" fontId="25" fillId="54" borderId="10" xfId="4" applyNumberFormat="1" applyFont="1" applyFill="1" applyBorder="1" applyAlignment="1" applyProtection="1">
      <alignment horizontal="center" vertical="center" wrapText="1"/>
    </xf>
    <xf numFmtId="0" fontId="25" fillId="54" borderId="20" xfId="4" applyFont="1" applyFill="1" applyBorder="1" applyAlignment="1">
      <alignment horizontal="center" vertical="center" wrapText="1"/>
    </xf>
    <xf numFmtId="0" fontId="25" fillId="54" borderId="21" xfId="4" applyFont="1" applyFill="1" applyBorder="1" applyAlignment="1">
      <alignment horizontal="center" vertical="center" wrapText="1"/>
    </xf>
    <xf numFmtId="4" fontId="25" fillId="54" borderId="21" xfId="4" applyNumberFormat="1" applyFont="1" applyFill="1" applyBorder="1" applyAlignment="1">
      <alignment vertical="center" wrapText="1"/>
    </xf>
    <xf numFmtId="0" fontId="25" fillId="54" borderId="22" xfId="4" applyFont="1" applyFill="1" applyBorder="1" applyAlignment="1">
      <alignment horizontal="center" vertical="center" wrapText="1"/>
    </xf>
    <xf numFmtId="0" fontId="25" fillId="54" borderId="23" xfId="4" applyFont="1" applyFill="1" applyBorder="1" applyAlignment="1">
      <alignment horizontal="left" vertical="center" wrapText="1"/>
    </xf>
    <xf numFmtId="167" fontId="24" fillId="54" borderId="23" xfId="4" applyNumberFormat="1" applyFont="1" applyFill="1" applyBorder="1" applyAlignment="1" applyProtection="1">
      <alignment horizontal="center" vertical="center" wrapText="1"/>
    </xf>
    <xf numFmtId="167" fontId="26" fillId="54" borderId="25" xfId="4" applyNumberFormat="1" applyFont="1" applyFill="1" applyBorder="1" applyAlignment="1" applyProtection="1">
      <alignment horizontal="center" vertical="center" wrapText="1"/>
    </xf>
    <xf numFmtId="167" fontId="24" fillId="54" borderId="15" xfId="4" applyNumberFormat="1" applyFont="1" applyFill="1" applyBorder="1" applyAlignment="1" applyProtection="1">
      <alignment horizontal="center" vertical="center" wrapText="1"/>
    </xf>
    <xf numFmtId="49" fontId="27" fillId="54" borderId="10" xfId="5" applyNumberFormat="1" applyFont="1" applyFill="1" applyBorder="1" applyAlignment="1" applyProtection="1">
      <alignment horizontal="center" vertical="center" wrapText="1"/>
    </xf>
    <xf numFmtId="167" fontId="24" fillId="54" borderId="25" xfId="4" applyNumberFormat="1" applyFont="1" applyFill="1" applyBorder="1" applyAlignment="1" applyProtection="1">
      <alignment horizontal="center" vertical="center" wrapText="1"/>
    </xf>
    <xf numFmtId="14" fontId="25" fillId="54" borderId="10" xfId="4" applyNumberFormat="1" applyFont="1" applyFill="1" applyBorder="1" applyAlignment="1" applyProtection="1">
      <alignment horizontal="center" vertical="center" wrapText="1"/>
    </xf>
    <xf numFmtId="0" fontId="25" fillId="54" borderId="1" xfId="3" applyFont="1" applyAlignment="1">
      <alignment vertical="center" wrapText="1"/>
    </xf>
    <xf numFmtId="2" fontId="25" fillId="54" borderId="1" xfId="3" applyNumberFormat="1" applyFont="1" applyAlignment="1">
      <alignment horizontal="center" vertical="center" wrapText="1"/>
    </xf>
    <xf numFmtId="4" fontId="25" fillId="54" borderId="1" xfId="3" applyNumberFormat="1" applyFont="1" applyAlignment="1">
      <alignment vertical="center" wrapText="1"/>
    </xf>
    <xf numFmtId="171" fontId="25" fillId="54" borderId="19" xfId="3" applyNumberFormat="1" applyFont="1" applyBorder="1" applyAlignment="1">
      <alignment horizontal="center" vertical="center" wrapText="1"/>
    </xf>
    <xf numFmtId="44" fontId="24" fillId="58" borderId="39" xfId="4" applyNumberFormat="1" applyFont="1" applyFill="1" applyBorder="1" applyAlignment="1" applyProtection="1">
      <alignment horizontal="center" vertical="center" wrapText="1"/>
    </xf>
    <xf numFmtId="170" fontId="14" fillId="0" borderId="0" xfId="1" applyNumberFormat="1" applyFont="1" applyAlignment="1">
      <alignment vertical="center"/>
    </xf>
    <xf numFmtId="170" fontId="13" fillId="56" borderId="0" xfId="1" applyNumberFormat="1" applyFont="1" applyFill="1" applyAlignment="1">
      <alignment horizontal="centerContinuous" vertical="center"/>
    </xf>
    <xf numFmtId="170" fontId="14" fillId="0" borderId="1" xfId="1" applyNumberFormat="1" applyFont="1" applyBorder="1" applyAlignment="1">
      <alignment vertical="center"/>
    </xf>
    <xf numFmtId="170" fontId="14" fillId="0" borderId="33" xfId="1" applyNumberFormat="1" applyFont="1" applyBorder="1" applyAlignment="1">
      <alignment vertical="center"/>
    </xf>
    <xf numFmtId="170" fontId="14" fillId="0" borderId="31" xfId="1" applyNumberFormat="1" applyFont="1" applyBorder="1" applyAlignment="1">
      <alignment vertical="center"/>
    </xf>
    <xf numFmtId="0" fontId="16" fillId="4" borderId="1" xfId="0" applyFont="1" applyFill="1" applyBorder="1" applyAlignment="1">
      <alignment horizontal="right" vertical="center" wrapText="1"/>
    </xf>
    <xf numFmtId="170" fontId="14" fillId="3" borderId="0" xfId="1" applyNumberFormat="1" applyFont="1" applyFill="1" applyAlignment="1" applyProtection="1">
      <alignment vertical="center" wrapText="1"/>
      <protection locked="0"/>
    </xf>
    <xf numFmtId="0" fontId="16" fillId="26" borderId="2" xfId="0" applyFont="1" applyFill="1" applyBorder="1" applyAlignment="1">
      <alignment horizontal="center" vertical="center" wrapText="1"/>
    </xf>
    <xf numFmtId="0" fontId="16" fillId="27" borderId="2" xfId="0" applyFont="1" applyFill="1" applyBorder="1" applyAlignment="1">
      <alignment horizontal="left" vertical="center" wrapText="1"/>
    </xf>
    <xf numFmtId="170" fontId="16" fillId="26" borderId="2"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170" fontId="17" fillId="0" borderId="1" xfId="1" applyNumberFormat="1" applyFont="1" applyFill="1" applyBorder="1" applyAlignment="1">
      <alignment horizontal="right" vertical="center" wrapText="1"/>
    </xf>
    <xf numFmtId="4" fontId="17" fillId="0" borderId="1" xfId="0" applyNumberFormat="1" applyFont="1" applyBorder="1" applyAlignment="1">
      <alignment horizontal="right" vertical="center" wrapText="1"/>
    </xf>
    <xf numFmtId="4" fontId="14" fillId="0" borderId="0" xfId="0" applyNumberFormat="1" applyFont="1" applyAlignment="1">
      <alignment vertical="center"/>
    </xf>
    <xf numFmtId="0" fontId="2" fillId="54" borderId="1" xfId="6" applyFont="1"/>
    <xf numFmtId="0" fontId="14" fillId="0" borderId="34" xfId="0" applyFont="1" applyBorder="1" applyAlignment="1">
      <alignment vertical="center"/>
    </xf>
    <xf numFmtId="0" fontId="2" fillId="3" borderId="0" xfId="0" applyFont="1" applyFill="1" applyProtection="1">
      <protection locked="0"/>
    </xf>
    <xf numFmtId="0" fontId="2" fillId="3" borderId="0" xfId="0" applyFont="1" applyFill="1" applyAlignment="1" applyProtection="1">
      <alignment wrapText="1"/>
      <protection locked="0"/>
    </xf>
    <xf numFmtId="0" fontId="29" fillId="14" borderId="1" xfId="0" applyFont="1" applyFill="1" applyBorder="1" applyAlignment="1">
      <alignment horizontal="left" vertical="top" wrapText="1"/>
    </xf>
    <xf numFmtId="0" fontId="16" fillId="54" borderId="2" xfId="6" applyFont="1" applyBorder="1" applyAlignment="1">
      <alignment horizontal="left" vertical="center"/>
    </xf>
    <xf numFmtId="0" fontId="16" fillId="54" borderId="2" xfId="6" applyFont="1" applyBorder="1" applyAlignment="1">
      <alignment horizontal="left" vertical="center" wrapText="1"/>
    </xf>
    <xf numFmtId="0" fontId="16" fillId="17" borderId="2" xfId="6" applyFont="1" applyFill="1" applyBorder="1" applyAlignment="1">
      <alignment horizontal="left" vertical="center"/>
    </xf>
    <xf numFmtId="0" fontId="16" fillId="17" borderId="2" xfId="6" applyFont="1" applyFill="1" applyBorder="1" applyAlignment="1">
      <alignment horizontal="left" vertical="center" wrapText="1"/>
    </xf>
    <xf numFmtId="0" fontId="16" fillId="17" borderId="2" xfId="6" applyFont="1" applyFill="1" applyBorder="1" applyAlignment="1">
      <alignment horizontal="center" vertical="center" wrapText="1"/>
    </xf>
    <xf numFmtId="0" fontId="17" fillId="54" borderId="2" xfId="6" applyFont="1" applyBorder="1" applyAlignment="1">
      <alignment horizontal="center" vertical="top"/>
    </xf>
    <xf numFmtId="0" fontId="17" fillId="54" borderId="2" xfId="6" applyFont="1" applyBorder="1" applyAlignment="1">
      <alignment horizontal="justify" vertical="top" wrapText="1"/>
    </xf>
    <xf numFmtId="0" fontId="17" fillId="54" borderId="2" xfId="6" applyFont="1" applyBorder="1" applyAlignment="1">
      <alignment horizontal="center" vertical="top" wrapText="1"/>
    </xf>
    <xf numFmtId="165" fontId="17" fillId="54" borderId="2" xfId="6" applyNumberFormat="1" applyFont="1" applyBorder="1" applyAlignment="1">
      <alignment horizontal="right" vertical="top" wrapText="1"/>
    </xf>
    <xf numFmtId="4" fontId="17" fillId="54" borderId="2" xfId="6" applyNumberFormat="1" applyFont="1" applyBorder="1" applyAlignment="1">
      <alignment horizontal="right" vertical="top" wrapText="1"/>
    </xf>
    <xf numFmtId="0" fontId="14" fillId="54" borderId="1" xfId="6" applyFont="1" applyProtection="1">
      <protection locked="0"/>
    </xf>
    <xf numFmtId="0" fontId="14" fillId="54" borderId="1" xfId="6" applyFont="1" applyAlignment="1" applyProtection="1">
      <alignment wrapText="1"/>
      <protection locked="0"/>
    </xf>
    <xf numFmtId="0" fontId="16" fillId="54" borderId="2" xfId="6" applyFont="1" applyBorder="1" applyAlignment="1">
      <alignment horizontal="right" vertical="top" wrapText="1"/>
    </xf>
    <xf numFmtId="4" fontId="16" fillId="54" borderId="2" xfId="6" applyNumberFormat="1" applyFont="1" applyBorder="1" applyAlignment="1">
      <alignment horizontal="right" vertical="top" wrapText="1"/>
    </xf>
    <xf numFmtId="0" fontId="16" fillId="54" borderId="2" xfId="6" applyFont="1" applyBorder="1" applyAlignment="1">
      <alignment horizontal="right" vertical="center" wrapText="1"/>
    </xf>
    <xf numFmtId="4" fontId="16" fillId="54" borderId="2" xfId="6" applyNumberFormat="1" applyFont="1" applyBorder="1" applyAlignment="1">
      <alignment horizontal="right" vertical="center" wrapText="1"/>
    </xf>
    <xf numFmtId="0" fontId="17" fillId="54" borderId="1" xfId="6" applyFont="1" applyAlignment="1">
      <alignment horizontal="left" vertical="top" wrapText="1"/>
    </xf>
    <xf numFmtId="172" fontId="17" fillId="54" borderId="2" xfId="6" applyNumberFormat="1" applyFont="1" applyBorder="1" applyAlignment="1">
      <alignment horizontal="right" vertical="top" wrapText="1"/>
    </xf>
    <xf numFmtId="173" fontId="17" fillId="54" borderId="2" xfId="6" applyNumberFormat="1" applyFont="1" applyBorder="1" applyAlignment="1">
      <alignment horizontal="right" vertical="top" wrapText="1"/>
    </xf>
    <xf numFmtId="0" fontId="2" fillId="0" borderId="0" xfId="0" applyFont="1" applyAlignment="1">
      <alignment wrapText="1"/>
    </xf>
    <xf numFmtId="0" fontId="13" fillId="56" borderId="0" xfId="0" applyFont="1" applyFill="1" applyAlignment="1">
      <alignment horizontal="centerContinuous" vertical="center" wrapText="1"/>
    </xf>
    <xf numFmtId="0" fontId="14" fillId="0" borderId="0" xfId="0" applyFont="1" applyAlignment="1">
      <alignment vertical="center" wrapText="1"/>
    </xf>
    <xf numFmtId="0" fontId="16" fillId="15" borderId="2" xfId="0" applyFont="1" applyFill="1" applyBorder="1" applyAlignment="1">
      <alignment horizontal="left" vertical="center"/>
    </xf>
    <xf numFmtId="0" fontId="16" fillId="15" borderId="2" xfId="0" applyFont="1" applyFill="1" applyBorder="1" applyAlignment="1">
      <alignment horizontal="left" vertical="center" wrapText="1"/>
    </xf>
    <xf numFmtId="0" fontId="16" fillId="16" borderId="2" xfId="0" applyFont="1" applyFill="1" applyBorder="1" applyAlignment="1">
      <alignment horizontal="left" vertical="center"/>
    </xf>
    <xf numFmtId="0" fontId="16" fillId="16" borderId="2" xfId="0" applyFont="1" applyFill="1" applyBorder="1" applyAlignment="1">
      <alignment horizontal="left" vertical="center" wrapText="1"/>
    </xf>
    <xf numFmtId="0" fontId="16" fillId="17" borderId="2" xfId="0" applyFont="1" applyFill="1" applyBorder="1" applyAlignment="1">
      <alignment horizontal="center" vertical="center" wrapText="1"/>
    </xf>
    <xf numFmtId="0" fontId="17" fillId="18" borderId="2" xfId="0" applyFont="1" applyFill="1" applyBorder="1" applyAlignment="1">
      <alignment horizontal="center" vertical="top"/>
    </xf>
    <xf numFmtId="0" fontId="17" fillId="19" borderId="2" xfId="0" applyFont="1" applyFill="1" applyBorder="1" applyAlignment="1">
      <alignment horizontal="justify" vertical="top" wrapText="1"/>
    </xf>
    <xf numFmtId="0" fontId="17" fillId="18" borderId="2" xfId="0" applyFont="1" applyFill="1" applyBorder="1" applyAlignment="1">
      <alignment horizontal="center" vertical="top" wrapText="1"/>
    </xf>
    <xf numFmtId="4" fontId="17" fillId="21" borderId="2" xfId="0" applyNumberFormat="1" applyFont="1" applyFill="1" applyBorder="1" applyAlignment="1">
      <alignment horizontal="right" vertical="top" wrapText="1"/>
    </xf>
    <xf numFmtId="0" fontId="14" fillId="3" borderId="0" xfId="0" applyFont="1" applyFill="1" applyProtection="1">
      <protection locked="0"/>
    </xf>
    <xf numFmtId="0" fontId="16" fillId="22" borderId="2" xfId="0" applyFont="1" applyFill="1" applyBorder="1" applyAlignment="1">
      <alignment horizontal="right" vertical="top" wrapText="1"/>
    </xf>
    <xf numFmtId="4" fontId="16" fillId="23" borderId="2" xfId="0" applyNumberFormat="1" applyFont="1" applyFill="1" applyBorder="1" applyAlignment="1">
      <alignment horizontal="right" vertical="top" wrapText="1"/>
    </xf>
    <xf numFmtId="0" fontId="16" fillId="24" borderId="2" xfId="0" applyFont="1" applyFill="1" applyBorder="1" applyAlignment="1">
      <alignment horizontal="right" vertical="center" wrapText="1"/>
    </xf>
    <xf numFmtId="4" fontId="16" fillId="7" borderId="2" xfId="0" applyNumberFormat="1" applyFont="1" applyFill="1" applyBorder="1" applyAlignment="1">
      <alignment horizontal="right" vertical="center" wrapText="1"/>
    </xf>
    <xf numFmtId="0" fontId="17" fillId="14" borderId="1" xfId="0" applyFont="1" applyFill="1" applyBorder="1" applyAlignment="1">
      <alignment horizontal="left" vertical="top" wrapText="1"/>
    </xf>
    <xf numFmtId="0" fontId="3" fillId="22" borderId="2" xfId="0" applyFont="1" applyFill="1" applyBorder="1" applyAlignment="1">
      <alignment horizontal="right" vertical="top" wrapText="1"/>
    </xf>
    <xf numFmtId="168" fontId="16" fillId="0" borderId="2" xfId="0" applyNumberFormat="1" applyFont="1" applyBorder="1" applyAlignment="1">
      <alignment horizontal="left" vertical="center"/>
    </xf>
    <xf numFmtId="168" fontId="17" fillId="18" borderId="2" xfId="0" applyNumberFormat="1" applyFont="1" applyFill="1" applyBorder="1" applyAlignment="1">
      <alignment horizontal="center" vertical="top"/>
    </xf>
    <xf numFmtId="168" fontId="16" fillId="24" borderId="2" xfId="0" applyNumberFormat="1" applyFont="1" applyFill="1" applyBorder="1" applyAlignment="1">
      <alignment horizontal="right" vertical="center" wrapText="1"/>
    </xf>
    <xf numFmtId="0" fontId="17" fillId="25" borderId="1" xfId="0" applyFont="1" applyFill="1" applyBorder="1" applyAlignment="1">
      <alignment horizontal="left" vertical="top"/>
    </xf>
    <xf numFmtId="0" fontId="17" fillId="25" borderId="1" xfId="0" applyFont="1" applyFill="1" applyBorder="1" applyAlignment="1">
      <alignment horizontal="left" vertical="top" wrapText="1"/>
    </xf>
    <xf numFmtId="168" fontId="16" fillId="15" borderId="2" xfId="0" applyNumberFormat="1" applyFont="1" applyFill="1" applyBorder="1" applyAlignment="1">
      <alignment horizontal="left" vertical="center"/>
    </xf>
    <xf numFmtId="172" fontId="17" fillId="20" borderId="2" xfId="0" applyNumberFormat="1" applyFont="1" applyFill="1" applyBorder="1" applyAlignment="1">
      <alignment horizontal="right" vertical="top" wrapText="1"/>
    </xf>
    <xf numFmtId="173" fontId="17" fillId="20" borderId="2" xfId="0" applyNumberFormat="1" applyFont="1" applyFill="1" applyBorder="1" applyAlignment="1">
      <alignment horizontal="right" vertical="top" wrapText="1"/>
    </xf>
    <xf numFmtId="173" fontId="16" fillId="22" borderId="2" xfId="0" applyNumberFormat="1" applyFont="1" applyFill="1" applyBorder="1" applyAlignment="1">
      <alignment horizontal="right" vertical="top" wrapText="1"/>
    </xf>
    <xf numFmtId="173" fontId="16" fillId="17" borderId="2" xfId="6" applyNumberFormat="1" applyFont="1" applyFill="1" applyBorder="1" applyAlignment="1">
      <alignment horizontal="center" vertical="center" wrapText="1"/>
    </xf>
    <xf numFmtId="4" fontId="17" fillId="58" borderId="2" xfId="6" applyNumberFormat="1" applyFont="1" applyFill="1" applyBorder="1" applyAlignment="1">
      <alignment horizontal="right" vertical="top" wrapText="1"/>
    </xf>
    <xf numFmtId="172" fontId="17" fillId="58" borderId="2" xfId="6" applyNumberFormat="1" applyFont="1" applyFill="1" applyBorder="1" applyAlignment="1">
      <alignment horizontal="right" vertical="top" wrapText="1"/>
    </xf>
    <xf numFmtId="14" fontId="14" fillId="0" borderId="28" xfId="0" applyNumberFormat="1" applyFont="1" applyBorder="1" applyAlignment="1">
      <alignment vertical="center"/>
    </xf>
    <xf numFmtId="0" fontId="14" fillId="59" borderId="0" xfId="0" applyFont="1" applyFill="1" applyAlignment="1">
      <alignment vertical="center"/>
    </xf>
    <xf numFmtId="0" fontId="18" fillId="59" borderId="0" xfId="0" applyFont="1" applyFill="1" applyAlignment="1">
      <alignment vertical="center"/>
    </xf>
    <xf numFmtId="4" fontId="18" fillId="59" borderId="0" xfId="0" applyNumberFormat="1" applyFont="1" applyFill="1" applyAlignment="1">
      <alignment vertical="center"/>
    </xf>
    <xf numFmtId="4" fontId="14" fillId="59" borderId="0" xfId="0" applyNumberFormat="1" applyFont="1" applyFill="1" applyAlignment="1">
      <alignment vertical="center"/>
    </xf>
    <xf numFmtId="0" fontId="16" fillId="60" borderId="2" xfId="0" applyFont="1" applyFill="1" applyBorder="1" applyAlignment="1">
      <alignment horizontal="left" vertical="center" wrapText="1"/>
    </xf>
    <xf numFmtId="4" fontId="16" fillId="60" borderId="37" xfId="0" applyNumberFormat="1" applyFont="1" applyFill="1" applyBorder="1" applyAlignment="1">
      <alignment horizontal="right" vertical="center" wrapText="1"/>
    </xf>
    <xf numFmtId="10" fontId="14" fillId="60" borderId="9" xfId="2" applyNumberFormat="1" applyFont="1" applyFill="1" applyBorder="1" applyAlignment="1">
      <alignment vertical="center"/>
    </xf>
    <xf numFmtId="0" fontId="16" fillId="13" borderId="1" xfId="0" applyFont="1" applyFill="1" applyBorder="1" applyAlignment="1">
      <alignment horizontal="right" vertical="center" wrapText="1"/>
    </xf>
    <xf numFmtId="4" fontId="16" fillId="7" borderId="1" xfId="0" applyNumberFormat="1" applyFont="1" applyFill="1" applyBorder="1" applyAlignment="1">
      <alignment horizontal="right" vertical="center" wrapText="1"/>
    </xf>
    <xf numFmtId="0" fontId="16" fillId="61" borderId="2" xfId="0" applyFont="1" applyFill="1" applyBorder="1" applyAlignment="1">
      <alignment horizontal="left" vertical="center" wrapText="1"/>
    </xf>
    <xf numFmtId="4" fontId="16" fillId="61" borderId="37" xfId="0" applyNumberFormat="1" applyFont="1" applyFill="1" applyBorder="1" applyAlignment="1">
      <alignment horizontal="right" vertical="center" wrapText="1"/>
    </xf>
    <xf numFmtId="10" fontId="14" fillId="61" borderId="9" xfId="2" applyNumberFormat="1" applyFont="1" applyFill="1" applyBorder="1" applyAlignment="1">
      <alignment vertical="center"/>
    </xf>
    <xf numFmtId="0" fontId="16" fillId="61" borderId="37" xfId="0" applyFont="1" applyFill="1" applyBorder="1" applyAlignment="1">
      <alignment horizontal="left" vertical="center"/>
    </xf>
    <xf numFmtId="0" fontId="16" fillId="61" borderId="38" xfId="0" applyFont="1" applyFill="1" applyBorder="1" applyAlignment="1">
      <alignment horizontal="left" vertical="center"/>
    </xf>
    <xf numFmtId="4" fontId="17" fillId="61" borderId="38" xfId="0" applyNumberFormat="1" applyFont="1" applyFill="1" applyBorder="1" applyAlignment="1">
      <alignment horizontal="right" vertical="center" wrapText="1"/>
    </xf>
    <xf numFmtId="4" fontId="17" fillId="61" borderId="7" xfId="0" applyNumberFormat="1" applyFont="1" applyFill="1" applyBorder="1" applyAlignment="1">
      <alignment horizontal="right" vertical="center" wrapText="1"/>
    </xf>
    <xf numFmtId="0" fontId="16" fillId="60" borderId="37" xfId="0" applyFont="1" applyFill="1" applyBorder="1" applyAlignment="1">
      <alignment horizontal="left" vertical="center"/>
    </xf>
    <xf numFmtId="0" fontId="16" fillId="60" borderId="38" xfId="0" applyFont="1" applyFill="1" applyBorder="1" applyAlignment="1">
      <alignment horizontal="left" vertical="center"/>
    </xf>
    <xf numFmtId="0" fontId="16" fillId="60" borderId="38" xfId="0" applyFont="1" applyFill="1" applyBorder="1" applyAlignment="1">
      <alignment horizontal="left" vertical="center" wrapText="1"/>
    </xf>
    <xf numFmtId="0" fontId="16" fillId="60" borderId="7" xfId="0" applyFont="1" applyFill="1" applyBorder="1" applyAlignment="1">
      <alignment horizontal="left" vertical="center" wrapText="1"/>
    </xf>
    <xf numFmtId="174" fontId="17" fillId="58" borderId="2" xfId="6" applyNumberFormat="1" applyFont="1" applyFill="1" applyBorder="1" applyAlignment="1">
      <alignment horizontal="right" vertical="top" wrapText="1"/>
    </xf>
    <xf numFmtId="173" fontId="17" fillId="58" borderId="2" xfId="6" applyNumberFormat="1" applyFont="1" applyFill="1" applyBorder="1" applyAlignment="1">
      <alignment horizontal="right" vertical="top" wrapText="1"/>
    </xf>
    <xf numFmtId="0" fontId="17" fillId="46" borderId="5" xfId="0" applyFont="1" applyFill="1" applyBorder="1" applyAlignment="1">
      <alignment horizontal="left" vertical="center" wrapText="1"/>
    </xf>
    <xf numFmtId="0" fontId="17" fillId="46" borderId="37" xfId="0" applyFont="1" applyFill="1" applyBorder="1" applyAlignment="1">
      <alignment horizontal="left" vertical="center" wrapText="1"/>
    </xf>
    <xf numFmtId="175" fontId="17" fillId="54" borderId="2" xfId="6" applyNumberFormat="1" applyFont="1" applyBorder="1" applyAlignment="1">
      <alignment horizontal="right" vertical="top" wrapText="1"/>
    </xf>
    <xf numFmtId="174" fontId="17" fillId="54" borderId="2" xfId="6" applyNumberFormat="1" applyFont="1" applyBorder="1" applyAlignment="1">
      <alignment horizontal="right" vertical="top" wrapText="1"/>
    </xf>
    <xf numFmtId="176" fontId="17" fillId="54" borderId="2" xfId="6" applyNumberFormat="1" applyFont="1" applyBorder="1" applyAlignment="1">
      <alignment horizontal="right" vertical="top" wrapText="1"/>
    </xf>
    <xf numFmtId="175" fontId="17" fillId="58" borderId="2" xfId="6" applyNumberFormat="1" applyFont="1" applyFill="1" applyBorder="1" applyAlignment="1">
      <alignment horizontal="right" vertical="top" wrapText="1"/>
    </xf>
    <xf numFmtId="0" fontId="17" fillId="62" borderId="1" xfId="0" applyFont="1" applyFill="1" applyBorder="1" applyAlignment="1">
      <alignment horizontal="center" vertical="center" wrapText="1"/>
    </xf>
    <xf numFmtId="0" fontId="17" fillId="62" borderId="1" xfId="0" applyFont="1" applyFill="1" applyBorder="1" applyAlignment="1">
      <alignment horizontal="left" vertical="center" wrapText="1"/>
    </xf>
    <xf numFmtId="4" fontId="17" fillId="62" borderId="1" xfId="0" applyNumberFormat="1" applyFont="1" applyFill="1" applyBorder="1" applyAlignment="1">
      <alignment horizontal="right" vertical="center" wrapText="1"/>
    </xf>
    <xf numFmtId="10" fontId="17" fillId="62" borderId="1" xfId="2" applyNumberFormat="1" applyFont="1" applyFill="1" applyBorder="1" applyAlignment="1">
      <alignment horizontal="center" vertical="center" wrapText="1"/>
    </xf>
    <xf numFmtId="0" fontId="17" fillId="63" borderId="1" xfId="0" applyFont="1" applyFill="1" applyBorder="1" applyAlignment="1">
      <alignment horizontal="center" vertical="center" wrapText="1"/>
    </xf>
    <xf numFmtId="0" fontId="17" fillId="63" borderId="1" xfId="0" applyFont="1" applyFill="1" applyBorder="1" applyAlignment="1">
      <alignment horizontal="left" vertical="center" wrapText="1"/>
    </xf>
    <xf numFmtId="4" fontId="17" fillId="63" borderId="1" xfId="0" applyNumberFormat="1" applyFont="1" applyFill="1" applyBorder="1" applyAlignment="1">
      <alignment horizontal="right" vertical="center" wrapText="1"/>
    </xf>
    <xf numFmtId="10" fontId="17" fillId="63" borderId="1" xfId="2" applyNumberFormat="1" applyFont="1" applyFill="1" applyBorder="1" applyAlignment="1">
      <alignment horizontal="center" vertical="center" wrapText="1"/>
    </xf>
    <xf numFmtId="0" fontId="17" fillId="64" borderId="1" xfId="0" applyFont="1" applyFill="1" applyBorder="1" applyAlignment="1">
      <alignment horizontal="center" vertical="center" wrapText="1"/>
    </xf>
    <xf numFmtId="0" fontId="17" fillId="64" borderId="1" xfId="0" applyFont="1" applyFill="1" applyBorder="1" applyAlignment="1">
      <alignment horizontal="left" vertical="center" wrapText="1"/>
    </xf>
    <xf numFmtId="4" fontId="17" fillId="64" borderId="1" xfId="0" applyNumberFormat="1" applyFont="1" applyFill="1" applyBorder="1" applyAlignment="1">
      <alignment horizontal="right" vertical="center" wrapText="1"/>
    </xf>
    <xf numFmtId="10" fontId="17" fillId="64" borderId="1" xfId="2" applyNumberFormat="1" applyFont="1" applyFill="1" applyBorder="1" applyAlignment="1">
      <alignment horizontal="center" vertical="center" wrapText="1"/>
    </xf>
    <xf numFmtId="169" fontId="17" fillId="64" borderId="1" xfId="1" applyNumberFormat="1" applyFont="1" applyFill="1" applyBorder="1" applyAlignment="1">
      <alignment horizontal="center" vertical="center" wrapText="1"/>
    </xf>
    <xf numFmtId="0" fontId="1" fillId="0" borderId="0" xfId="0" applyFont="1"/>
    <xf numFmtId="0" fontId="1" fillId="56" borderId="0" xfId="0" applyFont="1" applyFill="1" applyAlignment="1">
      <alignment horizontal="centerContinuous" vertical="center"/>
    </xf>
    <xf numFmtId="0" fontId="1" fillId="0" borderId="0" xfId="0" applyFont="1" applyAlignment="1">
      <alignment vertical="center"/>
    </xf>
    <xf numFmtId="0" fontId="14" fillId="57" borderId="33" xfId="0" applyFont="1" applyFill="1" applyBorder="1" applyAlignment="1">
      <alignment vertical="center"/>
    </xf>
    <xf numFmtId="0" fontId="14" fillId="57" borderId="34" xfId="0" applyFont="1" applyFill="1" applyBorder="1" applyAlignment="1">
      <alignment vertical="center"/>
    </xf>
    <xf numFmtId="0" fontId="14" fillId="57" borderId="1" xfId="0" applyFont="1" applyFill="1" applyBorder="1" applyAlignment="1">
      <alignment vertical="center"/>
    </xf>
    <xf numFmtId="14" fontId="14" fillId="57" borderId="28" xfId="0" applyNumberFormat="1" applyFont="1" applyFill="1" applyBorder="1" applyAlignment="1">
      <alignment horizontal="center" vertical="center"/>
    </xf>
    <xf numFmtId="10" fontId="14" fillId="57" borderId="18" xfId="2" applyNumberFormat="1" applyFont="1" applyFill="1" applyBorder="1" applyAlignment="1">
      <alignment vertical="center"/>
    </xf>
    <xf numFmtId="49" fontId="14" fillId="57" borderId="29" xfId="2" applyNumberFormat="1" applyFont="1" applyFill="1" applyBorder="1" applyAlignment="1">
      <alignment horizontal="center" vertical="center"/>
    </xf>
    <xf numFmtId="10" fontId="14" fillId="57" borderId="29" xfId="2" applyNumberFormat="1" applyFont="1" applyFill="1" applyBorder="1" applyAlignment="1">
      <alignment horizontal="center" vertical="center"/>
    </xf>
    <xf numFmtId="0" fontId="14" fillId="57" borderId="18" xfId="2" applyNumberFormat="1" applyFont="1" applyFill="1" applyBorder="1" applyAlignment="1">
      <alignment vertical="center"/>
    </xf>
    <xf numFmtId="0" fontId="14" fillId="57" borderId="31" xfId="0" applyFont="1" applyFill="1" applyBorder="1" applyAlignment="1">
      <alignment vertical="center"/>
    </xf>
    <xf numFmtId="0" fontId="14" fillId="57" borderId="32" xfId="0" applyFont="1" applyFill="1" applyBorder="1" applyAlignment="1">
      <alignment horizontal="center" vertical="center"/>
    </xf>
    <xf numFmtId="10" fontId="14" fillId="57" borderId="32" xfId="2" applyNumberFormat="1" applyFont="1" applyFill="1" applyBorder="1" applyAlignment="1">
      <alignment horizontal="center" vertical="center"/>
    </xf>
    <xf numFmtId="0" fontId="14" fillId="0" borderId="1" xfId="0" applyFont="1" applyBorder="1" applyAlignment="1" applyProtection="1">
      <alignment wrapText="1"/>
      <protection locked="0"/>
    </xf>
    <xf numFmtId="0" fontId="16" fillId="0" borderId="1" xfId="0" applyFont="1" applyBorder="1" applyAlignment="1">
      <alignment horizontal="left" vertical="center" wrapText="1"/>
    </xf>
    <xf numFmtId="43" fontId="16" fillId="0" borderId="1" xfId="1" applyFont="1" applyFill="1" applyBorder="1" applyAlignment="1">
      <alignment horizontal="center" vertical="center" wrapText="1"/>
    </xf>
    <xf numFmtId="4" fontId="16" fillId="0" borderId="1" xfId="0" applyNumberFormat="1" applyFont="1" applyBorder="1" applyAlignment="1">
      <alignment horizontal="right" vertical="center" wrapText="1"/>
    </xf>
    <xf numFmtId="4" fontId="16" fillId="0" borderId="33" xfId="0" applyNumberFormat="1" applyFont="1" applyBorder="1" applyAlignment="1">
      <alignment horizontal="right" vertical="center" wrapText="1"/>
    </xf>
    <xf numFmtId="9" fontId="16" fillId="0" borderId="34" xfId="2" applyFont="1" applyFill="1" applyBorder="1" applyAlignment="1">
      <alignment horizontal="right" vertical="center" wrapText="1"/>
    </xf>
    <xf numFmtId="0" fontId="14" fillId="0" borderId="0" xfId="0" applyFont="1" applyAlignment="1" applyProtection="1">
      <alignment wrapText="1"/>
      <protection locked="0"/>
    </xf>
    <xf numFmtId="10" fontId="1" fillId="0" borderId="0" xfId="0" applyNumberFormat="1" applyFont="1" applyAlignment="1">
      <alignment vertical="center"/>
    </xf>
    <xf numFmtId="43" fontId="1" fillId="0" borderId="0" xfId="1" applyFont="1" applyAlignment="1">
      <alignment vertical="center"/>
    </xf>
    <xf numFmtId="10" fontId="1" fillId="56" borderId="0" xfId="0" applyNumberFormat="1" applyFont="1" applyFill="1" applyAlignment="1">
      <alignment horizontal="centerContinuous" vertical="center"/>
    </xf>
    <xf numFmtId="0" fontId="1" fillId="3" borderId="0" xfId="0" applyFont="1" applyFill="1" applyAlignment="1" applyProtection="1">
      <alignment vertical="center" wrapText="1"/>
      <protection locked="0"/>
    </xf>
    <xf numFmtId="4" fontId="1" fillId="0" borderId="0" xfId="0" applyNumberFormat="1" applyFont="1" applyAlignment="1">
      <alignment vertical="center"/>
    </xf>
    <xf numFmtId="0" fontId="1" fillId="3" borderId="1" xfId="0" applyFont="1" applyFill="1" applyBorder="1" applyAlignment="1" applyProtection="1">
      <alignment vertical="center" wrapText="1"/>
      <protection locked="0"/>
    </xf>
    <xf numFmtId="0" fontId="16" fillId="65" borderId="10" xfId="0" applyFont="1" applyFill="1" applyBorder="1" applyAlignment="1">
      <alignment horizontal="left" vertical="center" wrapText="1"/>
    </xf>
    <xf numFmtId="0" fontId="16" fillId="65" borderId="33" xfId="0" applyFont="1" applyFill="1" applyBorder="1" applyAlignment="1">
      <alignment horizontal="left" vertical="center" wrapText="1"/>
    </xf>
    <xf numFmtId="0" fontId="14" fillId="65" borderId="33" xfId="0" applyFont="1" applyFill="1" applyBorder="1"/>
    <xf numFmtId="10" fontId="16" fillId="65" borderId="34" xfId="2" applyNumberFormat="1" applyFont="1" applyFill="1" applyBorder="1" applyAlignment="1">
      <alignment horizontal="right" vertical="center" wrapText="1"/>
    </xf>
    <xf numFmtId="0" fontId="17" fillId="31" borderId="2" xfId="0" applyFont="1" applyFill="1" applyBorder="1" applyAlignment="1">
      <alignment horizontal="left" vertical="center" wrapText="1"/>
    </xf>
    <xf numFmtId="4" fontId="17" fillId="32" borderId="2" xfId="0" applyNumberFormat="1" applyFont="1" applyFill="1" applyBorder="1" applyAlignment="1">
      <alignment horizontal="right" vertical="center" wrapText="1"/>
    </xf>
    <xf numFmtId="4" fontId="17" fillId="32" borderId="3" xfId="0" applyNumberFormat="1" applyFont="1" applyFill="1" applyBorder="1" applyAlignment="1">
      <alignment horizontal="right" vertical="center" wrapText="1"/>
    </xf>
    <xf numFmtId="9" fontId="1" fillId="0" borderId="0" xfId="2" applyFont="1" applyAlignment="1">
      <alignment vertical="center"/>
    </xf>
    <xf numFmtId="9" fontId="14" fillId="0" borderId="0" xfId="2" applyFont="1" applyAlignment="1">
      <alignment vertical="center"/>
    </xf>
    <xf numFmtId="10" fontId="1" fillId="0" borderId="0" xfId="2" applyNumberFormat="1" applyFont="1" applyAlignment="1">
      <alignment vertical="center"/>
    </xf>
    <xf numFmtId="10" fontId="14" fillId="0" borderId="0" xfId="2" applyNumberFormat="1" applyFont="1" applyAlignment="1">
      <alignment vertical="center"/>
    </xf>
    <xf numFmtId="10" fontId="30" fillId="0" borderId="3" xfId="2" applyNumberFormat="1" applyFont="1" applyFill="1" applyBorder="1" applyAlignment="1">
      <alignment horizontal="right" vertical="center" wrapText="1"/>
    </xf>
    <xf numFmtId="9" fontId="14" fillId="0" borderId="3" xfId="2" applyFont="1" applyFill="1" applyBorder="1" applyAlignment="1" applyProtection="1">
      <alignment vertical="center" wrapText="1"/>
      <protection locked="0"/>
    </xf>
    <xf numFmtId="9" fontId="30" fillId="0" borderId="3" xfId="2" applyFont="1" applyFill="1" applyBorder="1" applyAlignment="1">
      <alignment horizontal="right" vertical="center" wrapText="1"/>
    </xf>
    <xf numFmtId="43" fontId="1" fillId="0" borderId="0" xfId="0" applyNumberFormat="1" applyFont="1" applyAlignment="1">
      <alignment vertical="center"/>
    </xf>
    <xf numFmtId="9" fontId="1" fillId="0" borderId="0" xfId="0" applyNumberFormat="1" applyFont="1" applyAlignment="1">
      <alignment vertical="center"/>
    </xf>
    <xf numFmtId="10" fontId="17" fillId="0" borderId="3" xfId="2" applyNumberFormat="1" applyFont="1" applyFill="1" applyBorder="1" applyAlignment="1">
      <alignment horizontal="center" vertical="center" wrapText="1"/>
    </xf>
    <xf numFmtId="43" fontId="17" fillId="0" borderId="3" xfId="1" applyFont="1" applyFill="1" applyBorder="1" applyAlignment="1">
      <alignment horizontal="right" vertical="center" wrapText="1"/>
    </xf>
    <xf numFmtId="43" fontId="2" fillId="0" borderId="0" xfId="0" applyNumberFormat="1" applyFont="1"/>
    <xf numFmtId="43" fontId="2" fillId="0" borderId="0" xfId="1" applyFont="1"/>
    <xf numFmtId="177" fontId="1" fillId="0" borderId="0" xfId="1" applyNumberFormat="1" applyFont="1" applyAlignment="1">
      <alignment vertical="center"/>
    </xf>
    <xf numFmtId="177" fontId="1" fillId="0" borderId="0" xfId="0" applyNumberFormat="1" applyFont="1" applyAlignment="1">
      <alignment vertical="center"/>
    </xf>
    <xf numFmtId="0" fontId="17" fillId="32" borderId="2" xfId="0" applyFont="1" applyFill="1" applyBorder="1" applyAlignment="1">
      <alignment horizontal="center" vertical="center" wrapText="1"/>
    </xf>
    <xf numFmtId="0" fontId="17" fillId="32" borderId="37" xfId="0" applyFont="1" applyFill="1" applyBorder="1" applyAlignment="1">
      <alignment horizontal="center" vertical="center" wrapText="1"/>
    </xf>
    <xf numFmtId="10" fontId="17" fillId="0" borderId="9" xfId="2" applyNumberFormat="1" applyFont="1" applyFill="1" applyBorder="1" applyAlignment="1">
      <alignment horizontal="center" vertical="center" wrapText="1"/>
    </xf>
    <xf numFmtId="43" fontId="17" fillId="0" borderId="9" xfId="1" applyFont="1" applyFill="1" applyBorder="1" applyAlignment="1">
      <alignment horizontal="right" vertical="center" wrapText="1"/>
    </xf>
    <xf numFmtId="43" fontId="2" fillId="0" borderId="0" xfId="2" applyNumberFormat="1" applyFont="1"/>
    <xf numFmtId="10" fontId="2" fillId="0" borderId="0" xfId="0" applyNumberFormat="1" applyFont="1"/>
    <xf numFmtId="0" fontId="16" fillId="0" borderId="10" xfId="0" applyFont="1" applyBorder="1" applyAlignment="1">
      <alignment horizontal="right" vertical="center" wrapText="1"/>
    </xf>
    <xf numFmtId="0" fontId="16" fillId="0" borderId="33" xfId="0" applyFont="1" applyBorder="1" applyAlignment="1">
      <alignment horizontal="right" vertical="center" wrapText="1"/>
    </xf>
    <xf numFmtId="43" fontId="16" fillId="65" borderId="33" xfId="1" applyFont="1" applyFill="1" applyBorder="1" applyAlignment="1">
      <alignment horizontal="center" vertical="center" wrapText="1"/>
    </xf>
    <xf numFmtId="0" fontId="17" fillId="25" borderId="1" xfId="0" applyFont="1" applyFill="1" applyBorder="1" applyAlignment="1">
      <alignment horizontal="left" vertical="top" wrapText="1"/>
    </xf>
    <xf numFmtId="0" fontId="28" fillId="54" borderId="19" xfId="4" applyFont="1" applyFill="1" applyBorder="1" applyAlignment="1" applyProtection="1">
      <alignment horizontal="center" vertical="center" wrapText="1"/>
    </xf>
    <xf numFmtId="4" fontId="16" fillId="38" borderId="7" xfId="0" applyNumberFormat="1" applyFont="1" applyFill="1" applyBorder="1" applyAlignment="1">
      <alignment horizontal="right" vertical="center" wrapText="1"/>
    </xf>
    <xf numFmtId="4" fontId="16" fillId="34" borderId="2" xfId="0" applyNumberFormat="1" applyFont="1" applyFill="1" applyBorder="1" applyAlignment="1">
      <alignment horizontal="right" vertical="center" wrapText="1"/>
    </xf>
    <xf numFmtId="0" fontId="17" fillId="30" borderId="2" xfId="0" applyFont="1" applyFill="1" applyBorder="1" applyAlignment="1">
      <alignment horizontal="left" vertical="center" wrapText="1"/>
    </xf>
    <xf numFmtId="0" fontId="17" fillId="31" borderId="2" xfId="0" applyFont="1" applyFill="1" applyBorder="1" applyAlignment="1">
      <alignment horizontal="left" vertical="center" wrapText="1"/>
    </xf>
    <xf numFmtId="4" fontId="17" fillId="32" borderId="2" xfId="0" applyNumberFormat="1" applyFont="1" applyFill="1" applyBorder="1" applyAlignment="1">
      <alignment horizontal="right" vertical="center" wrapText="1"/>
    </xf>
    <xf numFmtId="0" fontId="17" fillId="30" borderId="43" xfId="0" applyFont="1" applyFill="1" applyBorder="1" applyAlignment="1">
      <alignment horizontal="center" vertical="center" wrapText="1"/>
    </xf>
    <xf numFmtId="0" fontId="17" fillId="30" borderId="44" xfId="0" applyFont="1" applyFill="1" applyBorder="1" applyAlignment="1">
      <alignment horizontal="center" vertical="center" wrapText="1"/>
    </xf>
    <xf numFmtId="0" fontId="17" fillId="30" borderId="42" xfId="0" applyFont="1" applyFill="1" applyBorder="1" applyAlignment="1">
      <alignment horizontal="center" vertical="center" wrapText="1"/>
    </xf>
    <xf numFmtId="0" fontId="17" fillId="30" borderId="3" xfId="0" applyFont="1" applyFill="1" applyBorder="1" applyAlignment="1">
      <alignment horizontal="center" vertical="center" wrapText="1"/>
    </xf>
    <xf numFmtId="0" fontId="17" fillId="30" borderId="40" xfId="0" applyFont="1" applyFill="1" applyBorder="1" applyAlignment="1">
      <alignment horizontal="center" vertical="center" wrapText="1"/>
    </xf>
    <xf numFmtId="0" fontId="17" fillId="30" borderId="41" xfId="0" applyFont="1" applyFill="1" applyBorder="1" applyAlignment="1">
      <alignment horizontal="center" vertical="center" wrapText="1"/>
    </xf>
    <xf numFmtId="10" fontId="14" fillId="0" borderId="3" xfId="2" applyNumberFormat="1" applyFont="1" applyFill="1" applyBorder="1" applyAlignment="1" applyProtection="1">
      <alignment horizontal="center" vertical="center" wrapText="1"/>
      <protection locked="0"/>
    </xf>
    <xf numFmtId="10" fontId="14" fillId="0" borderId="40" xfId="2" applyNumberFormat="1" applyFont="1" applyFill="1" applyBorder="1" applyAlignment="1" applyProtection="1">
      <alignment horizontal="center" vertical="center" wrapText="1"/>
      <protection locked="0"/>
    </xf>
    <xf numFmtId="10" fontId="14" fillId="0" borderId="41" xfId="2" applyNumberFormat="1" applyFont="1" applyFill="1" applyBorder="1" applyAlignment="1" applyProtection="1">
      <alignment horizontal="center" vertical="center" wrapText="1"/>
      <protection locked="0"/>
    </xf>
    <xf numFmtId="43" fontId="17" fillId="0" borderId="3" xfId="1" applyFont="1" applyBorder="1" applyAlignment="1">
      <alignment horizontal="center" vertical="center" wrapText="1"/>
    </xf>
    <xf numFmtId="43" fontId="17" fillId="0" borderId="40" xfId="1" applyFont="1" applyBorder="1" applyAlignment="1">
      <alignment horizontal="center" vertical="center" wrapText="1"/>
    </xf>
    <xf numFmtId="43" fontId="17" fillId="0" borderId="41" xfId="1" applyFont="1" applyBorder="1" applyAlignment="1">
      <alignment horizontal="center" vertical="center" wrapText="1"/>
    </xf>
    <xf numFmtId="43" fontId="17" fillId="0" borderId="42" xfId="1" applyFont="1" applyBorder="1" applyAlignment="1">
      <alignment horizontal="center" vertical="center" wrapText="1"/>
    </xf>
    <xf numFmtId="10" fontId="17" fillId="0" borderId="3" xfId="2" applyNumberFormat="1" applyFont="1" applyFill="1" applyBorder="1" applyAlignment="1">
      <alignment horizontal="center" vertical="center" wrapText="1"/>
    </xf>
    <xf numFmtId="10" fontId="17" fillId="0" borderId="40" xfId="2" applyNumberFormat="1" applyFont="1" applyFill="1" applyBorder="1" applyAlignment="1">
      <alignment horizontal="center" vertical="center" wrapText="1"/>
    </xf>
    <xf numFmtId="10" fontId="17" fillId="0" borderId="41" xfId="2" applyNumberFormat="1" applyFont="1" applyFill="1" applyBorder="1" applyAlignment="1">
      <alignment horizontal="center" vertical="center" wrapText="1"/>
    </xf>
    <xf numFmtId="10" fontId="17" fillId="0" borderId="3" xfId="2" applyNumberFormat="1" applyFont="1" applyBorder="1" applyAlignment="1">
      <alignment horizontal="center" vertical="center" wrapText="1"/>
    </xf>
    <xf numFmtId="10" fontId="17" fillId="0" borderId="40" xfId="2" applyNumberFormat="1" applyFont="1" applyBorder="1" applyAlignment="1">
      <alignment horizontal="center" vertical="center" wrapText="1"/>
    </xf>
    <xf numFmtId="10" fontId="17" fillId="0" borderId="41" xfId="2" applyNumberFormat="1" applyFont="1" applyBorder="1" applyAlignment="1">
      <alignment horizontal="center" vertical="center" wrapText="1"/>
    </xf>
    <xf numFmtId="43" fontId="17" fillId="0" borderId="3" xfId="1" applyFont="1" applyFill="1" applyBorder="1" applyAlignment="1">
      <alignment horizontal="center" vertical="center" wrapText="1"/>
    </xf>
    <xf numFmtId="43" fontId="17" fillId="0" borderId="40" xfId="1" applyFont="1" applyFill="1" applyBorder="1" applyAlignment="1">
      <alignment horizontal="center" vertical="center" wrapText="1"/>
    </xf>
    <xf numFmtId="43" fontId="17" fillId="0" borderId="41" xfId="1" applyFont="1" applyFill="1" applyBorder="1" applyAlignment="1">
      <alignment horizontal="center" vertical="center" wrapText="1"/>
    </xf>
    <xf numFmtId="4" fontId="17" fillId="47" borderId="10" xfId="0" applyNumberFormat="1" applyFont="1" applyFill="1" applyBorder="1" applyAlignment="1">
      <alignment horizontal="center" vertical="center" wrapText="1"/>
    </xf>
    <xf numFmtId="4" fontId="17" fillId="47" borderId="33" xfId="0" applyNumberFormat="1" applyFont="1" applyFill="1" applyBorder="1" applyAlignment="1">
      <alignment horizontal="center" vertical="center" wrapText="1"/>
    </xf>
    <xf numFmtId="4" fontId="17" fillId="47" borderId="34" xfId="0" applyNumberFormat="1" applyFont="1" applyFill="1" applyBorder="1" applyAlignment="1">
      <alignment horizontal="center" vertical="center" wrapText="1"/>
    </xf>
    <xf numFmtId="0" fontId="17" fillId="46" borderId="10" xfId="0" applyFont="1" applyFill="1" applyBorder="1" applyAlignment="1">
      <alignment horizontal="left" vertical="center" wrapText="1"/>
    </xf>
    <xf numFmtId="0" fontId="17" fillId="46" borderId="34" xfId="0" applyFont="1" applyFill="1" applyBorder="1" applyAlignment="1">
      <alignment horizontal="left" vertical="center" wrapText="1"/>
    </xf>
    <xf numFmtId="0" fontId="16" fillId="48" borderId="10" xfId="0" applyFont="1" applyFill="1" applyBorder="1" applyAlignment="1">
      <alignment horizontal="right" vertical="center" wrapText="1"/>
    </xf>
    <xf numFmtId="0" fontId="16" fillId="48" borderId="33" xfId="0" applyFont="1" applyFill="1" applyBorder="1" applyAlignment="1">
      <alignment horizontal="right" vertical="center" wrapText="1"/>
    </xf>
    <xf numFmtId="0" fontId="16" fillId="48" borderId="34" xfId="0" applyFont="1" applyFill="1" applyBorder="1" applyAlignment="1">
      <alignment horizontal="right" vertical="center" wrapText="1"/>
    </xf>
    <xf numFmtId="0" fontId="16" fillId="44" borderId="10" xfId="0" applyFont="1" applyFill="1" applyBorder="1" applyAlignment="1">
      <alignment horizontal="center" vertical="center" wrapText="1"/>
    </xf>
    <xf numFmtId="0" fontId="16" fillId="44" borderId="34" xfId="0" applyFont="1" applyFill="1" applyBorder="1" applyAlignment="1">
      <alignment horizontal="center" vertical="center" wrapText="1"/>
    </xf>
    <xf numFmtId="0" fontId="17" fillId="44" borderId="10" xfId="0" applyFont="1" applyFill="1" applyBorder="1" applyAlignment="1">
      <alignment horizontal="center" vertical="center" wrapText="1"/>
    </xf>
    <xf numFmtId="0" fontId="17" fillId="44" borderId="33" xfId="0" applyFont="1" applyFill="1" applyBorder="1" applyAlignment="1">
      <alignment horizontal="center" vertical="center" wrapText="1"/>
    </xf>
    <xf numFmtId="0" fontId="17" fillId="44" borderId="34" xfId="0" applyFont="1" applyFill="1" applyBorder="1" applyAlignment="1">
      <alignment horizontal="center" vertical="center" wrapText="1"/>
    </xf>
    <xf numFmtId="0" fontId="16" fillId="42" borderId="9" xfId="0" applyFont="1" applyFill="1" applyBorder="1" applyAlignment="1">
      <alignment horizontal="center" vertical="center" wrapText="1"/>
    </xf>
    <xf numFmtId="0" fontId="16" fillId="44" borderId="10" xfId="0" applyFont="1" applyFill="1" applyBorder="1" applyAlignment="1">
      <alignment horizontal="left" vertical="center" wrapText="1"/>
    </xf>
    <xf numFmtId="0" fontId="16" fillId="44" borderId="33" xfId="0" applyFont="1" applyFill="1" applyBorder="1" applyAlignment="1">
      <alignment horizontal="left" vertical="center" wrapText="1"/>
    </xf>
    <xf numFmtId="0" fontId="16" fillId="44" borderId="34" xfId="0" applyFont="1" applyFill="1" applyBorder="1" applyAlignment="1">
      <alignment horizontal="left" vertical="center" wrapText="1"/>
    </xf>
    <xf numFmtId="4" fontId="16" fillId="54" borderId="9" xfId="0" applyNumberFormat="1" applyFont="1" applyFill="1" applyBorder="1" applyAlignment="1">
      <alignment horizontal="center" vertical="center" wrapText="1"/>
    </xf>
    <xf numFmtId="0" fontId="16" fillId="53" borderId="9" xfId="0" applyFont="1" applyFill="1" applyBorder="1" applyAlignment="1">
      <alignment horizontal="right" vertical="center" wrapText="1"/>
    </xf>
    <xf numFmtId="164" fontId="17" fillId="52" borderId="35" xfId="0" applyNumberFormat="1" applyFont="1" applyFill="1" applyBorder="1" applyAlignment="1">
      <alignment horizontal="center" vertical="center" wrapText="1"/>
    </xf>
    <xf numFmtId="4" fontId="17" fillId="47" borderId="35" xfId="0" applyNumberFormat="1" applyFont="1" applyFill="1" applyBorder="1" applyAlignment="1">
      <alignment horizontal="center" vertical="center" wrapText="1"/>
    </xf>
    <xf numFmtId="164" fontId="17" fillId="52" borderId="9" xfId="0" applyNumberFormat="1" applyFont="1" applyFill="1" applyBorder="1" applyAlignment="1">
      <alignment horizontal="center" vertical="center" wrapText="1"/>
    </xf>
    <xf numFmtId="4" fontId="17" fillId="47" borderId="9" xfId="0" applyNumberFormat="1" applyFont="1" applyFill="1" applyBorder="1" applyAlignment="1">
      <alignment horizontal="center" vertical="center" wrapText="1"/>
    </xf>
    <xf numFmtId="4" fontId="16" fillId="49" borderId="9" xfId="0" applyNumberFormat="1" applyFont="1" applyFill="1" applyBorder="1" applyAlignment="1">
      <alignment horizontal="center" vertical="top" wrapText="1"/>
    </xf>
    <xf numFmtId="4" fontId="16" fillId="49" borderId="9" xfId="0" applyNumberFormat="1" applyFont="1" applyFill="1" applyBorder="1" applyAlignment="1">
      <alignment horizontal="center" vertical="center" wrapText="1"/>
    </xf>
    <xf numFmtId="0" fontId="16" fillId="51" borderId="9" xfId="0" applyFont="1" applyFill="1" applyBorder="1" applyAlignment="1">
      <alignment horizontal="center" vertical="center" wrapText="1"/>
    </xf>
    <xf numFmtId="0" fontId="16" fillId="44" borderId="10" xfId="0" applyFont="1" applyFill="1" applyBorder="1" applyAlignment="1">
      <alignment horizontal="left" vertical="top" wrapText="1"/>
    </xf>
    <xf numFmtId="0" fontId="16" fillId="44" borderId="33" xfId="0" applyFont="1" applyFill="1" applyBorder="1" applyAlignment="1">
      <alignment horizontal="left" vertical="top" wrapText="1"/>
    </xf>
    <xf numFmtId="0" fontId="16" fillId="44" borderId="34" xfId="0" applyFont="1" applyFill="1" applyBorder="1" applyAlignment="1">
      <alignment horizontal="left" vertical="top" wrapText="1"/>
    </xf>
  </cellXfs>
  <cellStyles count="8">
    <cellStyle name="Hiperlink 2" xfId="5" xr:uid="{00000000-0005-0000-0000-000000000000}"/>
    <cellStyle name="Normal" xfId="0" builtinId="0"/>
    <cellStyle name="Normal 10 2 2" xfId="7" xr:uid="{00000000-0005-0000-0000-000002000000}"/>
    <cellStyle name="Normal 2" xfId="6" xr:uid="{00000000-0005-0000-0000-000003000000}"/>
    <cellStyle name="Normal 61" xfId="3" xr:uid="{00000000-0005-0000-0000-000004000000}"/>
    <cellStyle name="Porcentagem" xfId="2" builtinId="5"/>
    <cellStyle name="TableStyleLight1" xfId="4" xr:uid="{00000000-0005-0000-0000-000007000000}"/>
    <cellStyle name="Vírgula" xfId="1" builtinId="3"/>
  </cellStyles>
  <dxfs count="42">
    <dxf>
      <font>
        <color theme="0"/>
      </font>
    </dxf>
    <dxf>
      <font>
        <color theme="0"/>
      </font>
      <fill>
        <patternFill patternType="none">
          <bgColor auto="1"/>
        </patternFill>
      </fill>
    </dxf>
    <dxf>
      <font>
        <color theme="0"/>
      </font>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theme="0"/>
      </font>
    </dxf>
    <dxf>
      <font>
        <color theme="0"/>
      </font>
      <fill>
        <patternFill patternType="none">
          <bgColor auto="1"/>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jpe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29308</xdr:colOff>
      <xdr:row>0</xdr:row>
      <xdr:rowOff>73090</xdr:rowOff>
    </xdr:from>
    <xdr:to>
      <xdr:col>1</xdr:col>
      <xdr:colOff>1037145</xdr:colOff>
      <xdr:row>0</xdr:row>
      <xdr:rowOff>577090</xdr:rowOff>
    </xdr:to>
    <xdr:pic>
      <xdr:nvPicPr>
        <xdr:cNvPr id="3" name="Imagem 2">
          <a:extLst>
            <a:ext uri="{FF2B5EF4-FFF2-40B4-BE49-F238E27FC236}">
              <a16:creationId xmlns:a16="http://schemas.microsoft.com/office/drawing/2014/main" id="{92A6071B-1FAA-840E-8667-A0063288CD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08" y="73090"/>
          <a:ext cx="1630625" cy="504000"/>
        </a:xfrm>
        <a:prstGeom prst="rect">
          <a:avLst/>
        </a:prstGeom>
      </xdr:spPr>
    </xdr:pic>
    <xdr:clientData/>
  </xdr:twoCellAnchor>
  <xdr:twoCellAnchor editAs="oneCell">
    <xdr:from>
      <xdr:col>2</xdr:col>
      <xdr:colOff>903940</xdr:colOff>
      <xdr:row>0</xdr:row>
      <xdr:rowOff>36635</xdr:rowOff>
    </xdr:from>
    <xdr:to>
      <xdr:col>5</xdr:col>
      <xdr:colOff>563510</xdr:colOff>
      <xdr:row>0</xdr:row>
      <xdr:rowOff>612635</xdr:rowOff>
    </xdr:to>
    <xdr:pic>
      <xdr:nvPicPr>
        <xdr:cNvPr id="4" name="Imagem 3">
          <a:extLst>
            <a:ext uri="{FF2B5EF4-FFF2-40B4-BE49-F238E27FC236}">
              <a16:creationId xmlns:a16="http://schemas.microsoft.com/office/drawing/2014/main" id="{4CB1EFBB-7E8D-4F93-BB34-42A785DECA02}"/>
            </a:ext>
          </a:extLst>
        </xdr:cNvPr>
        <xdr:cNvPicPr>
          <a:picLocks noChangeAspect="1"/>
        </xdr:cNvPicPr>
      </xdr:nvPicPr>
      <xdr:blipFill>
        <a:blip xmlns:r="http://schemas.openxmlformats.org/officeDocument/2006/relationships" r:embed="rId2" cstate="print"/>
        <a:stretch>
          <a:fillRect/>
        </a:stretch>
      </xdr:blipFill>
      <xdr:spPr>
        <a:xfrm>
          <a:off x="6148293" y="36635"/>
          <a:ext cx="1990393" cy="576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21980</xdr:colOff>
      <xdr:row>33</xdr:row>
      <xdr:rowOff>128116</xdr:rowOff>
    </xdr:from>
    <xdr:to>
      <xdr:col>2</xdr:col>
      <xdr:colOff>1223596</xdr:colOff>
      <xdr:row>33</xdr:row>
      <xdr:rowOff>494463</xdr:rowOff>
    </xdr:to>
    <xdr:pic>
      <xdr:nvPicPr>
        <xdr:cNvPr id="2075331417" name="Picture">
          <a:extLst>
            <a:ext uri="{FF2B5EF4-FFF2-40B4-BE49-F238E27FC236}">
              <a16:creationId xmlns:a16="http://schemas.microsoft.com/office/drawing/2014/main" id="{00000000-0008-0000-0600-0000590BB37B}"/>
            </a:ext>
          </a:extLst>
        </xdr:cNvPr>
        <xdr:cNvPicPr/>
      </xdr:nvPicPr>
      <xdr:blipFill>
        <a:blip xmlns:r="http://schemas.openxmlformats.org/officeDocument/2006/relationships" r:embed="rId1" cstate="print"/>
        <a:srcRect/>
        <a:stretch>
          <a:fillRect r="6666"/>
        </a:stretch>
      </xdr:blipFill>
      <xdr:spPr>
        <a:xfrm>
          <a:off x="21980" y="6066273"/>
          <a:ext cx="2622202" cy="366347"/>
        </a:xfrm>
        <a:prstGeom prst="rect">
          <a:avLst/>
        </a:prstGeom>
      </xdr:spPr>
    </xdr:pic>
    <xdr:clientData/>
  </xdr:twoCellAnchor>
  <xdr:oneCellAnchor>
    <xdr:from>
      <xdr:col>0</xdr:col>
      <xdr:colOff>21980</xdr:colOff>
      <xdr:row>57</xdr:row>
      <xdr:rowOff>128116</xdr:rowOff>
    </xdr:from>
    <xdr:ext cx="2617942" cy="366347"/>
    <xdr:pic>
      <xdr:nvPicPr>
        <xdr:cNvPr id="2" name="Picture">
          <a:extLst>
            <a:ext uri="{FF2B5EF4-FFF2-40B4-BE49-F238E27FC236}">
              <a16:creationId xmlns:a16="http://schemas.microsoft.com/office/drawing/2014/main" id="{1BDBFD6B-B731-4715-83C9-6E6EB50E413F}"/>
            </a:ext>
          </a:extLst>
        </xdr:cNvPr>
        <xdr:cNvPicPr/>
      </xdr:nvPicPr>
      <xdr:blipFill>
        <a:blip xmlns:r="http://schemas.openxmlformats.org/officeDocument/2006/relationships" r:embed="rId1" cstate="print"/>
        <a:srcRect/>
        <a:stretch>
          <a:fillRect r="6666"/>
        </a:stretch>
      </xdr:blipFill>
      <xdr:spPr>
        <a:xfrm>
          <a:off x="21980" y="5834833"/>
          <a:ext cx="2617942" cy="366347"/>
        </a:xfrm>
        <a:prstGeom prst="rect">
          <a:avLst/>
        </a:prstGeom>
      </xdr:spPr>
    </xdr:pic>
    <xdr:clientData/>
  </xdr:oneCellAnchor>
  <xdr:twoCellAnchor editAs="oneCell">
    <xdr:from>
      <xdr:col>0</xdr:col>
      <xdr:colOff>49698</xdr:colOff>
      <xdr:row>0</xdr:row>
      <xdr:rowOff>66264</xdr:rowOff>
    </xdr:from>
    <xdr:to>
      <xdr:col>2</xdr:col>
      <xdr:colOff>263997</xdr:colOff>
      <xdr:row>0</xdr:row>
      <xdr:rowOff>570264</xdr:rowOff>
    </xdr:to>
    <xdr:pic>
      <xdr:nvPicPr>
        <xdr:cNvPr id="3" name="Imagem 2">
          <a:extLst>
            <a:ext uri="{FF2B5EF4-FFF2-40B4-BE49-F238E27FC236}">
              <a16:creationId xmlns:a16="http://schemas.microsoft.com/office/drawing/2014/main" id="{E53CE2E6-4818-46FF-98E7-8F86B7F3AC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698" y="66264"/>
          <a:ext cx="1630625" cy="504000"/>
        </a:xfrm>
        <a:prstGeom prst="rect">
          <a:avLst/>
        </a:prstGeom>
      </xdr:spPr>
    </xdr:pic>
    <xdr:clientData/>
  </xdr:twoCellAnchor>
  <xdr:twoCellAnchor editAs="oneCell">
    <xdr:from>
      <xdr:col>5</xdr:col>
      <xdr:colOff>291353</xdr:colOff>
      <xdr:row>0</xdr:row>
      <xdr:rowOff>40602</xdr:rowOff>
    </xdr:from>
    <xdr:to>
      <xdr:col>7</xdr:col>
      <xdr:colOff>597648</xdr:colOff>
      <xdr:row>0</xdr:row>
      <xdr:rowOff>616602</xdr:rowOff>
    </xdr:to>
    <xdr:pic>
      <xdr:nvPicPr>
        <xdr:cNvPr id="4" name="Imagem 3">
          <a:extLst>
            <a:ext uri="{FF2B5EF4-FFF2-40B4-BE49-F238E27FC236}">
              <a16:creationId xmlns:a16="http://schemas.microsoft.com/office/drawing/2014/main" id="{26828B8D-6221-40B6-9ED9-B3E54E2EAAB7}"/>
            </a:ext>
          </a:extLst>
        </xdr:cNvPr>
        <xdr:cNvPicPr>
          <a:picLocks noChangeAspect="1"/>
        </xdr:cNvPicPr>
      </xdr:nvPicPr>
      <xdr:blipFill>
        <a:blip xmlns:r="http://schemas.openxmlformats.org/officeDocument/2006/relationships" r:embed="rId3" cstate="print"/>
        <a:stretch>
          <a:fillRect/>
        </a:stretch>
      </xdr:blipFill>
      <xdr:spPr>
        <a:xfrm>
          <a:off x="5886824" y="40602"/>
          <a:ext cx="1949824" cy="57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21981</xdr:colOff>
      <xdr:row>0</xdr:row>
      <xdr:rowOff>65943</xdr:rowOff>
    </xdr:from>
    <xdr:to>
      <xdr:col>1</xdr:col>
      <xdr:colOff>1029818</xdr:colOff>
      <xdr:row>0</xdr:row>
      <xdr:rowOff>569943</xdr:rowOff>
    </xdr:to>
    <xdr:pic>
      <xdr:nvPicPr>
        <xdr:cNvPr id="2" name="Imagem 1">
          <a:extLst>
            <a:ext uri="{FF2B5EF4-FFF2-40B4-BE49-F238E27FC236}">
              <a16:creationId xmlns:a16="http://schemas.microsoft.com/office/drawing/2014/main" id="{36AB7516-3FD3-4A8D-A380-B52A42CBF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1" y="65943"/>
          <a:ext cx="1630625" cy="504000"/>
        </a:xfrm>
        <a:prstGeom prst="rect">
          <a:avLst/>
        </a:prstGeom>
      </xdr:spPr>
    </xdr:pic>
    <xdr:clientData/>
  </xdr:twoCellAnchor>
  <xdr:twoCellAnchor editAs="oneCell">
    <xdr:from>
      <xdr:col>2</xdr:col>
      <xdr:colOff>336176</xdr:colOff>
      <xdr:row>0</xdr:row>
      <xdr:rowOff>36779</xdr:rowOff>
    </xdr:from>
    <xdr:to>
      <xdr:col>5</xdr:col>
      <xdr:colOff>463660</xdr:colOff>
      <xdr:row>0</xdr:row>
      <xdr:rowOff>612779</xdr:rowOff>
    </xdr:to>
    <xdr:pic>
      <xdr:nvPicPr>
        <xdr:cNvPr id="3" name="Imagem 2">
          <a:extLst>
            <a:ext uri="{FF2B5EF4-FFF2-40B4-BE49-F238E27FC236}">
              <a16:creationId xmlns:a16="http://schemas.microsoft.com/office/drawing/2014/main" id="{CFE5C7F7-743D-42D2-AA62-9C057655FB4D}"/>
            </a:ext>
          </a:extLst>
        </xdr:cNvPr>
        <xdr:cNvPicPr>
          <a:picLocks noChangeAspect="1"/>
        </xdr:cNvPicPr>
      </xdr:nvPicPr>
      <xdr:blipFill>
        <a:blip xmlns:r="http://schemas.openxmlformats.org/officeDocument/2006/relationships" r:embed="rId2" cstate="print"/>
        <a:stretch>
          <a:fillRect/>
        </a:stretch>
      </xdr:blipFill>
      <xdr:spPr>
        <a:xfrm>
          <a:off x="4982882" y="36779"/>
          <a:ext cx="1965249" cy="5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2</xdr:col>
      <xdr:colOff>511895</xdr:colOff>
      <xdr:row>0</xdr:row>
      <xdr:rowOff>569483</xdr:rowOff>
    </xdr:to>
    <xdr:pic>
      <xdr:nvPicPr>
        <xdr:cNvPr id="2" name="Imagem 1">
          <a:extLst>
            <a:ext uri="{FF2B5EF4-FFF2-40B4-BE49-F238E27FC236}">
              <a16:creationId xmlns:a16="http://schemas.microsoft.com/office/drawing/2014/main" id="{8B2D7FFD-B54F-45E8-AF81-A1678F88F4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1816" cy="504000"/>
        </a:xfrm>
        <a:prstGeom prst="rect">
          <a:avLst/>
        </a:prstGeom>
      </xdr:spPr>
    </xdr:pic>
    <xdr:clientData/>
  </xdr:twoCellAnchor>
  <xdr:twoCellAnchor editAs="oneCell">
    <xdr:from>
      <xdr:col>8</xdr:col>
      <xdr:colOff>15869</xdr:colOff>
      <xdr:row>0</xdr:row>
      <xdr:rowOff>29765</xdr:rowOff>
    </xdr:from>
    <xdr:to>
      <xdr:col>10</xdr:col>
      <xdr:colOff>680357</xdr:colOff>
      <xdr:row>0</xdr:row>
      <xdr:rowOff>605765</xdr:rowOff>
    </xdr:to>
    <xdr:pic>
      <xdr:nvPicPr>
        <xdr:cNvPr id="3" name="Imagem 2">
          <a:extLst>
            <a:ext uri="{FF2B5EF4-FFF2-40B4-BE49-F238E27FC236}">
              <a16:creationId xmlns:a16="http://schemas.microsoft.com/office/drawing/2014/main" id="{D7A1B543-6042-4101-AF89-073E8FEB00AE}"/>
            </a:ext>
          </a:extLst>
        </xdr:cNvPr>
        <xdr:cNvPicPr>
          <a:picLocks noChangeAspect="1"/>
        </xdr:cNvPicPr>
      </xdr:nvPicPr>
      <xdr:blipFill>
        <a:blip xmlns:r="http://schemas.openxmlformats.org/officeDocument/2006/relationships" r:embed="rId2" cstate="print"/>
        <a:stretch>
          <a:fillRect/>
        </a:stretch>
      </xdr:blipFill>
      <xdr:spPr>
        <a:xfrm>
          <a:off x="8270869" y="29765"/>
          <a:ext cx="1970774"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2</xdr:col>
      <xdr:colOff>350703</xdr:colOff>
      <xdr:row>0</xdr:row>
      <xdr:rowOff>569483</xdr:rowOff>
    </xdr:to>
    <xdr:pic>
      <xdr:nvPicPr>
        <xdr:cNvPr id="3" name="Imagem 2">
          <a:extLst>
            <a:ext uri="{FF2B5EF4-FFF2-40B4-BE49-F238E27FC236}">
              <a16:creationId xmlns:a16="http://schemas.microsoft.com/office/drawing/2014/main" id="{856EE8CD-3AB9-4B60-BFCD-9E29B978D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0625" cy="504000"/>
        </a:xfrm>
        <a:prstGeom prst="rect">
          <a:avLst/>
        </a:prstGeom>
      </xdr:spPr>
    </xdr:pic>
    <xdr:clientData/>
  </xdr:twoCellAnchor>
  <xdr:twoCellAnchor editAs="oneCell">
    <xdr:from>
      <xdr:col>8</xdr:col>
      <xdr:colOff>410883</xdr:colOff>
      <xdr:row>0</xdr:row>
      <xdr:rowOff>29765</xdr:rowOff>
    </xdr:from>
    <xdr:to>
      <xdr:col>10</xdr:col>
      <xdr:colOff>757674</xdr:colOff>
      <xdr:row>0</xdr:row>
      <xdr:rowOff>605765</xdr:rowOff>
    </xdr:to>
    <xdr:pic>
      <xdr:nvPicPr>
        <xdr:cNvPr id="4" name="Imagem 3">
          <a:extLst>
            <a:ext uri="{FF2B5EF4-FFF2-40B4-BE49-F238E27FC236}">
              <a16:creationId xmlns:a16="http://schemas.microsoft.com/office/drawing/2014/main" id="{91A06206-EE2A-415A-863C-92EBF01F14B3}"/>
            </a:ext>
          </a:extLst>
        </xdr:cNvPr>
        <xdr:cNvPicPr>
          <a:picLocks noChangeAspect="1"/>
        </xdr:cNvPicPr>
      </xdr:nvPicPr>
      <xdr:blipFill>
        <a:blip xmlns:r="http://schemas.openxmlformats.org/officeDocument/2006/relationships" r:embed="rId2" cstate="print"/>
        <a:stretch>
          <a:fillRect/>
        </a:stretch>
      </xdr:blipFill>
      <xdr:spPr>
        <a:xfrm>
          <a:off x="8875059" y="29765"/>
          <a:ext cx="1990321"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32845</xdr:colOff>
      <xdr:row>0</xdr:row>
      <xdr:rowOff>65690</xdr:rowOff>
    </xdr:from>
    <xdr:to>
      <xdr:col>1</xdr:col>
      <xdr:colOff>1045987</xdr:colOff>
      <xdr:row>0</xdr:row>
      <xdr:rowOff>569690</xdr:rowOff>
    </xdr:to>
    <xdr:pic>
      <xdr:nvPicPr>
        <xdr:cNvPr id="2" name="Imagem 1">
          <a:extLst>
            <a:ext uri="{FF2B5EF4-FFF2-40B4-BE49-F238E27FC236}">
              <a16:creationId xmlns:a16="http://schemas.microsoft.com/office/drawing/2014/main" id="{08213FA0-DBC1-4EAA-9D98-489942892F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5" y="65690"/>
          <a:ext cx="1630625" cy="504000"/>
        </a:xfrm>
        <a:prstGeom prst="rect">
          <a:avLst/>
        </a:prstGeom>
      </xdr:spPr>
    </xdr:pic>
    <xdr:clientData/>
  </xdr:twoCellAnchor>
  <xdr:twoCellAnchor editAs="oneCell">
    <xdr:from>
      <xdr:col>7</xdr:col>
      <xdr:colOff>117927</xdr:colOff>
      <xdr:row>0</xdr:row>
      <xdr:rowOff>31132</xdr:rowOff>
    </xdr:from>
    <xdr:to>
      <xdr:col>10</xdr:col>
      <xdr:colOff>134373</xdr:colOff>
      <xdr:row>0</xdr:row>
      <xdr:rowOff>607132</xdr:rowOff>
    </xdr:to>
    <xdr:pic>
      <xdr:nvPicPr>
        <xdr:cNvPr id="3" name="Imagem 2">
          <a:extLst>
            <a:ext uri="{FF2B5EF4-FFF2-40B4-BE49-F238E27FC236}">
              <a16:creationId xmlns:a16="http://schemas.microsoft.com/office/drawing/2014/main" id="{9239A4D8-2CE9-486E-B4CB-39F7E3B1FBCB}"/>
            </a:ext>
          </a:extLst>
        </xdr:cNvPr>
        <xdr:cNvPicPr>
          <a:picLocks noChangeAspect="1"/>
        </xdr:cNvPicPr>
      </xdr:nvPicPr>
      <xdr:blipFill>
        <a:blip xmlns:r="http://schemas.openxmlformats.org/officeDocument/2006/relationships" r:embed="rId2" cstate="print"/>
        <a:stretch>
          <a:fillRect/>
        </a:stretch>
      </xdr:blipFill>
      <xdr:spPr>
        <a:xfrm>
          <a:off x="9506856" y="31132"/>
          <a:ext cx="2030303"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xdr:colOff>
      <xdr:row>0</xdr:row>
      <xdr:rowOff>53577</xdr:rowOff>
    </xdr:from>
    <xdr:to>
      <xdr:col>1</xdr:col>
      <xdr:colOff>1025869</xdr:colOff>
      <xdr:row>0</xdr:row>
      <xdr:rowOff>557577</xdr:rowOff>
    </xdr:to>
    <xdr:pic>
      <xdr:nvPicPr>
        <xdr:cNvPr id="2" name="Imagem 1">
          <a:extLst>
            <a:ext uri="{FF2B5EF4-FFF2-40B4-BE49-F238E27FC236}">
              <a16:creationId xmlns:a16="http://schemas.microsoft.com/office/drawing/2014/main" id="{E3D57C5A-7E7A-4088-8EC9-0C71F6588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53577"/>
          <a:ext cx="1630625" cy="504000"/>
        </a:xfrm>
        <a:prstGeom prst="rect">
          <a:avLst/>
        </a:prstGeom>
      </xdr:spPr>
    </xdr:pic>
    <xdr:clientData/>
  </xdr:twoCellAnchor>
  <xdr:twoCellAnchor editAs="oneCell">
    <xdr:from>
      <xdr:col>3</xdr:col>
      <xdr:colOff>530411</xdr:colOff>
      <xdr:row>0</xdr:row>
      <xdr:rowOff>40228</xdr:rowOff>
    </xdr:from>
    <xdr:to>
      <xdr:col>6</xdr:col>
      <xdr:colOff>517818</xdr:colOff>
      <xdr:row>0</xdr:row>
      <xdr:rowOff>616228</xdr:rowOff>
    </xdr:to>
    <xdr:pic>
      <xdr:nvPicPr>
        <xdr:cNvPr id="3" name="Imagem 2">
          <a:extLst>
            <a:ext uri="{FF2B5EF4-FFF2-40B4-BE49-F238E27FC236}">
              <a16:creationId xmlns:a16="http://schemas.microsoft.com/office/drawing/2014/main" id="{80EA6D09-7764-4302-8935-997F7B0804FB}"/>
            </a:ext>
          </a:extLst>
        </xdr:cNvPr>
        <xdr:cNvPicPr>
          <a:picLocks noChangeAspect="1"/>
        </xdr:cNvPicPr>
      </xdr:nvPicPr>
      <xdr:blipFill>
        <a:blip xmlns:r="http://schemas.openxmlformats.org/officeDocument/2006/relationships" r:embed="rId2" cstate="print"/>
        <a:stretch>
          <a:fillRect/>
        </a:stretch>
      </xdr:blipFill>
      <xdr:spPr>
        <a:xfrm>
          <a:off x="5393764" y="40228"/>
          <a:ext cx="2019407" cy="57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29765</xdr:colOff>
      <xdr:row>0</xdr:row>
      <xdr:rowOff>53577</xdr:rowOff>
    </xdr:from>
    <xdr:to>
      <xdr:col>1</xdr:col>
      <xdr:colOff>909640</xdr:colOff>
      <xdr:row>0</xdr:row>
      <xdr:rowOff>557577</xdr:rowOff>
    </xdr:to>
    <xdr:pic>
      <xdr:nvPicPr>
        <xdr:cNvPr id="3" name="Imagem 2">
          <a:extLst>
            <a:ext uri="{FF2B5EF4-FFF2-40B4-BE49-F238E27FC236}">
              <a16:creationId xmlns:a16="http://schemas.microsoft.com/office/drawing/2014/main" id="{8A062F8C-A436-4805-BA25-283BC61B2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65" y="53577"/>
          <a:ext cx="1630625" cy="504000"/>
        </a:xfrm>
        <a:prstGeom prst="rect">
          <a:avLst/>
        </a:prstGeom>
      </xdr:spPr>
    </xdr:pic>
    <xdr:clientData/>
  </xdr:twoCellAnchor>
  <xdr:twoCellAnchor editAs="oneCell">
    <xdr:from>
      <xdr:col>4</xdr:col>
      <xdr:colOff>104588</xdr:colOff>
      <xdr:row>0</xdr:row>
      <xdr:rowOff>35717</xdr:rowOff>
    </xdr:from>
    <xdr:to>
      <xdr:col>6</xdr:col>
      <xdr:colOff>600603</xdr:colOff>
      <xdr:row>0</xdr:row>
      <xdr:rowOff>611717</xdr:rowOff>
    </xdr:to>
    <xdr:pic>
      <xdr:nvPicPr>
        <xdr:cNvPr id="4" name="Imagem 3">
          <a:extLst>
            <a:ext uri="{FF2B5EF4-FFF2-40B4-BE49-F238E27FC236}">
              <a16:creationId xmlns:a16="http://schemas.microsoft.com/office/drawing/2014/main" id="{C9E1E0A8-A2B8-48C8-AFF4-DE9640421C81}"/>
            </a:ext>
          </a:extLst>
        </xdr:cNvPr>
        <xdr:cNvPicPr>
          <a:picLocks noChangeAspect="1"/>
        </xdr:cNvPicPr>
      </xdr:nvPicPr>
      <xdr:blipFill>
        <a:blip xmlns:r="http://schemas.openxmlformats.org/officeDocument/2006/relationships" r:embed="rId2" cstate="print"/>
        <a:stretch>
          <a:fillRect/>
        </a:stretch>
      </xdr:blipFill>
      <xdr:spPr>
        <a:xfrm>
          <a:off x="5737412" y="35717"/>
          <a:ext cx="2005073"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32845</xdr:colOff>
      <xdr:row>0</xdr:row>
      <xdr:rowOff>52552</xdr:rowOff>
    </xdr:from>
    <xdr:to>
      <xdr:col>1</xdr:col>
      <xdr:colOff>1045987</xdr:colOff>
      <xdr:row>0</xdr:row>
      <xdr:rowOff>556552</xdr:rowOff>
    </xdr:to>
    <xdr:pic>
      <xdr:nvPicPr>
        <xdr:cNvPr id="2" name="Imagem 1">
          <a:extLst>
            <a:ext uri="{FF2B5EF4-FFF2-40B4-BE49-F238E27FC236}">
              <a16:creationId xmlns:a16="http://schemas.microsoft.com/office/drawing/2014/main" id="{C5E992B1-A3F6-4934-ABEF-54344657E7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45" y="52552"/>
          <a:ext cx="1630625" cy="504000"/>
        </a:xfrm>
        <a:prstGeom prst="rect">
          <a:avLst/>
        </a:prstGeom>
      </xdr:spPr>
    </xdr:pic>
    <xdr:clientData/>
  </xdr:twoCellAnchor>
  <xdr:twoCellAnchor editAs="oneCell">
    <xdr:from>
      <xdr:col>4</xdr:col>
      <xdr:colOff>420690</xdr:colOff>
      <xdr:row>0</xdr:row>
      <xdr:rowOff>41127</xdr:rowOff>
    </xdr:from>
    <xdr:to>
      <xdr:col>6</xdr:col>
      <xdr:colOff>1155443</xdr:colOff>
      <xdr:row>0</xdr:row>
      <xdr:rowOff>617127</xdr:rowOff>
    </xdr:to>
    <xdr:pic>
      <xdr:nvPicPr>
        <xdr:cNvPr id="3" name="Imagem 2">
          <a:extLst>
            <a:ext uri="{FF2B5EF4-FFF2-40B4-BE49-F238E27FC236}">
              <a16:creationId xmlns:a16="http://schemas.microsoft.com/office/drawing/2014/main" id="{42B512E9-8BED-461B-B1B7-36CD56FCE697}"/>
            </a:ext>
          </a:extLst>
        </xdr:cNvPr>
        <xdr:cNvPicPr>
          <a:picLocks noChangeAspect="1"/>
        </xdr:cNvPicPr>
      </xdr:nvPicPr>
      <xdr:blipFill>
        <a:blip xmlns:r="http://schemas.openxmlformats.org/officeDocument/2006/relationships" r:embed="rId2" cstate="print"/>
        <a:stretch>
          <a:fillRect/>
        </a:stretch>
      </xdr:blipFill>
      <xdr:spPr>
        <a:xfrm>
          <a:off x="8763003" y="41127"/>
          <a:ext cx="1933315" cy="57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24849</xdr:colOff>
      <xdr:row>0</xdr:row>
      <xdr:rowOff>66264</xdr:rowOff>
    </xdr:from>
    <xdr:to>
      <xdr:col>2</xdr:col>
      <xdr:colOff>104970</xdr:colOff>
      <xdr:row>0</xdr:row>
      <xdr:rowOff>570264</xdr:rowOff>
    </xdr:to>
    <xdr:pic>
      <xdr:nvPicPr>
        <xdr:cNvPr id="2" name="Imagem 1">
          <a:extLst>
            <a:ext uri="{FF2B5EF4-FFF2-40B4-BE49-F238E27FC236}">
              <a16:creationId xmlns:a16="http://schemas.microsoft.com/office/drawing/2014/main" id="{56C5CBFC-BA74-481B-B58E-E05DA7B680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66264"/>
          <a:ext cx="1630625" cy="504000"/>
        </a:xfrm>
        <a:prstGeom prst="rect">
          <a:avLst/>
        </a:prstGeom>
      </xdr:spPr>
    </xdr:pic>
    <xdr:clientData/>
  </xdr:twoCellAnchor>
  <xdr:twoCellAnchor editAs="oneCell">
    <xdr:from>
      <xdr:col>7</xdr:col>
      <xdr:colOff>1008530</xdr:colOff>
      <xdr:row>0</xdr:row>
      <xdr:rowOff>39480</xdr:rowOff>
    </xdr:from>
    <xdr:to>
      <xdr:col>8</xdr:col>
      <xdr:colOff>826562</xdr:colOff>
      <xdr:row>0</xdr:row>
      <xdr:rowOff>615480</xdr:rowOff>
    </xdr:to>
    <xdr:pic>
      <xdr:nvPicPr>
        <xdr:cNvPr id="3" name="Imagem 2">
          <a:extLst>
            <a:ext uri="{FF2B5EF4-FFF2-40B4-BE49-F238E27FC236}">
              <a16:creationId xmlns:a16="http://schemas.microsoft.com/office/drawing/2014/main" id="{8D98410A-FABC-4892-9FEC-6A138EB4C456}"/>
            </a:ext>
          </a:extLst>
        </xdr:cNvPr>
        <xdr:cNvPicPr>
          <a:picLocks noChangeAspect="1"/>
        </xdr:cNvPicPr>
      </xdr:nvPicPr>
      <xdr:blipFill>
        <a:blip xmlns:r="http://schemas.openxmlformats.org/officeDocument/2006/relationships" r:embed="rId2" cstate="print"/>
        <a:stretch>
          <a:fillRect/>
        </a:stretch>
      </xdr:blipFill>
      <xdr:spPr>
        <a:xfrm>
          <a:off x="11870765" y="39480"/>
          <a:ext cx="2006915" cy="57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1</xdr:col>
      <xdr:colOff>1128181</xdr:colOff>
      <xdr:row>0</xdr:row>
      <xdr:rowOff>569483</xdr:rowOff>
    </xdr:to>
    <xdr:pic>
      <xdr:nvPicPr>
        <xdr:cNvPr id="2" name="Imagem 1">
          <a:extLst>
            <a:ext uri="{FF2B5EF4-FFF2-40B4-BE49-F238E27FC236}">
              <a16:creationId xmlns:a16="http://schemas.microsoft.com/office/drawing/2014/main" id="{BCFA94DD-8E27-4F26-95D9-A821FF5244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0625" cy="504000"/>
        </a:xfrm>
        <a:prstGeom prst="rect">
          <a:avLst/>
        </a:prstGeom>
      </xdr:spPr>
    </xdr:pic>
    <xdr:clientData/>
  </xdr:twoCellAnchor>
  <xdr:twoCellAnchor editAs="oneCell">
    <xdr:from>
      <xdr:col>7</xdr:col>
      <xdr:colOff>755650</xdr:colOff>
      <xdr:row>0</xdr:row>
      <xdr:rowOff>36115</xdr:rowOff>
    </xdr:from>
    <xdr:to>
      <xdr:col>10</xdr:col>
      <xdr:colOff>38</xdr:colOff>
      <xdr:row>0</xdr:row>
      <xdr:rowOff>612115</xdr:rowOff>
    </xdr:to>
    <xdr:pic>
      <xdr:nvPicPr>
        <xdr:cNvPr id="3" name="Imagem 2">
          <a:extLst>
            <a:ext uri="{FF2B5EF4-FFF2-40B4-BE49-F238E27FC236}">
              <a16:creationId xmlns:a16="http://schemas.microsoft.com/office/drawing/2014/main" id="{20B11627-3C1A-4384-98C3-594AF7E47F2F}"/>
            </a:ext>
          </a:extLst>
        </xdr:cNvPr>
        <xdr:cNvPicPr>
          <a:picLocks noChangeAspect="1"/>
        </xdr:cNvPicPr>
      </xdr:nvPicPr>
      <xdr:blipFill>
        <a:blip xmlns:r="http://schemas.openxmlformats.org/officeDocument/2006/relationships" r:embed="rId2" cstate="print"/>
        <a:stretch>
          <a:fillRect/>
        </a:stretch>
      </xdr:blipFill>
      <xdr:spPr>
        <a:xfrm>
          <a:off x="5797550" y="36115"/>
          <a:ext cx="1975683" cy="57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23812</xdr:colOff>
      <xdr:row>0</xdr:row>
      <xdr:rowOff>65483</xdr:rowOff>
    </xdr:from>
    <xdr:to>
      <xdr:col>1</xdr:col>
      <xdr:colOff>616212</xdr:colOff>
      <xdr:row>0</xdr:row>
      <xdr:rowOff>569483</xdr:rowOff>
    </xdr:to>
    <xdr:pic>
      <xdr:nvPicPr>
        <xdr:cNvPr id="2" name="Imagem 1">
          <a:extLst>
            <a:ext uri="{FF2B5EF4-FFF2-40B4-BE49-F238E27FC236}">
              <a16:creationId xmlns:a16="http://schemas.microsoft.com/office/drawing/2014/main" id="{4B1C1BB6-23DF-49F8-88B7-EA742937C5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65483"/>
          <a:ext cx="1637769" cy="504000"/>
        </a:xfrm>
        <a:prstGeom prst="rect">
          <a:avLst/>
        </a:prstGeom>
      </xdr:spPr>
    </xdr:pic>
    <xdr:clientData/>
  </xdr:twoCellAnchor>
  <xdr:twoCellAnchor editAs="oneCell">
    <xdr:from>
      <xdr:col>5</xdr:col>
      <xdr:colOff>250092</xdr:colOff>
      <xdr:row>0</xdr:row>
      <xdr:rowOff>0</xdr:rowOff>
    </xdr:from>
    <xdr:to>
      <xdr:col>6</xdr:col>
      <xdr:colOff>930558</xdr:colOff>
      <xdr:row>0</xdr:row>
      <xdr:rowOff>576000</xdr:rowOff>
    </xdr:to>
    <xdr:pic>
      <xdr:nvPicPr>
        <xdr:cNvPr id="3" name="Imagem 2">
          <a:extLst>
            <a:ext uri="{FF2B5EF4-FFF2-40B4-BE49-F238E27FC236}">
              <a16:creationId xmlns:a16="http://schemas.microsoft.com/office/drawing/2014/main" id="{8CBA3B80-FC00-4209-A506-DD2F47240527}"/>
            </a:ext>
          </a:extLst>
        </xdr:cNvPr>
        <xdr:cNvPicPr>
          <a:picLocks noChangeAspect="1"/>
        </xdr:cNvPicPr>
      </xdr:nvPicPr>
      <xdr:blipFill>
        <a:blip xmlns:r="http://schemas.openxmlformats.org/officeDocument/2006/relationships" r:embed="rId2" cstate="print"/>
        <a:stretch>
          <a:fillRect/>
        </a:stretch>
      </xdr:blipFill>
      <xdr:spPr>
        <a:xfrm>
          <a:off x="8624765" y="0"/>
          <a:ext cx="1662274" cy="576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atendimento@carrefour.com.br" TargetMode="External"/><Relationship Id="rId1" Type="http://schemas.openxmlformats.org/officeDocument/2006/relationships/hyperlink" Target="mailto:contato@tekdistribuidor.com.br"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outlinePr summaryBelow="0"/>
  </sheetPr>
  <dimension ref="A1:F30"/>
  <sheetViews>
    <sheetView view="pageBreakPreview" zoomScale="85" zoomScaleNormal="130" zoomScaleSheetLayoutView="85" workbookViewId="0">
      <selection activeCell="B19" sqref="B19"/>
    </sheetView>
  </sheetViews>
  <sheetFormatPr defaultColWidth="8.75" defaultRowHeight="14"/>
  <cols>
    <col min="1" max="1" width="9.25" style="345" customWidth="1"/>
    <col min="2" max="2" width="59.58203125" style="345" customWidth="1"/>
    <col min="3" max="3" width="12.25" style="345" customWidth="1"/>
    <col min="4" max="4" width="8.25" style="345" customWidth="1"/>
    <col min="5" max="5" width="10" style="345" bestFit="1" customWidth="1"/>
    <col min="6" max="16384" width="8.75" style="345"/>
  </cols>
  <sheetData>
    <row r="1" spans="1:6" ht="50.15" customHeight="1"/>
    <row r="2" spans="1:6" ht="25" customHeight="1">
      <c r="A2" s="8" t="s">
        <v>1321</v>
      </c>
      <c r="B2" s="8"/>
      <c r="C2" s="8"/>
      <c r="D2" s="8"/>
      <c r="E2" s="346"/>
      <c r="F2" s="346"/>
    </row>
    <row r="3" spans="1:6" ht="5.15" customHeight="1">
      <c r="A3" s="11"/>
      <c r="B3" s="11"/>
      <c r="C3" s="11"/>
      <c r="D3" s="11"/>
      <c r="E3" s="347"/>
      <c r="F3" s="347"/>
    </row>
    <row r="4" spans="1:6">
      <c r="A4" s="14" t="s">
        <v>858</v>
      </c>
      <c r="B4" s="348" t="s">
        <v>862</v>
      </c>
      <c r="C4" s="348"/>
      <c r="D4" s="348"/>
      <c r="E4" s="348"/>
      <c r="F4" s="349"/>
    </row>
    <row r="5" spans="1:6">
      <c r="A5" s="21" t="s">
        <v>863</v>
      </c>
      <c r="B5" s="350" t="s">
        <v>1392</v>
      </c>
      <c r="C5" s="17" t="s">
        <v>874</v>
      </c>
      <c r="D5" s="19"/>
      <c r="E5" s="17" t="s">
        <v>869</v>
      </c>
      <c r="F5" s="351">
        <v>45762</v>
      </c>
    </row>
    <row r="6" spans="1:6">
      <c r="A6" s="21" t="s">
        <v>859</v>
      </c>
      <c r="B6" s="350" t="s">
        <v>864</v>
      </c>
      <c r="C6" s="352" t="s">
        <v>26</v>
      </c>
      <c r="D6" s="353" t="s">
        <v>1389</v>
      </c>
      <c r="E6" s="21" t="s">
        <v>1308</v>
      </c>
      <c r="F6" s="354">
        <f>BDI!D34</f>
        <v>0.23530000000000001</v>
      </c>
    </row>
    <row r="7" spans="1:6">
      <c r="A7" s="21" t="s">
        <v>860</v>
      </c>
      <c r="B7" s="350" t="s">
        <v>865</v>
      </c>
      <c r="C7" s="352" t="s">
        <v>875</v>
      </c>
      <c r="D7" s="353" t="s">
        <v>1390</v>
      </c>
      <c r="E7" s="21" t="s">
        <v>870</v>
      </c>
      <c r="F7" s="354">
        <f>BDI!D58</f>
        <v>0.1527</v>
      </c>
    </row>
    <row r="8" spans="1:6">
      <c r="A8" s="21" t="s">
        <v>868</v>
      </c>
      <c r="B8" s="350" t="s">
        <v>866</v>
      </c>
      <c r="C8" s="355" t="s">
        <v>733</v>
      </c>
      <c r="D8" s="354"/>
      <c r="E8" s="21" t="s">
        <v>871</v>
      </c>
      <c r="F8" s="354">
        <f>'ENCARGOS SOCIAIS'!C51/100</f>
        <v>1.1359999999999999</v>
      </c>
    </row>
    <row r="9" spans="1:6">
      <c r="A9" s="25" t="s">
        <v>861</v>
      </c>
      <c r="B9" s="356" t="s">
        <v>867</v>
      </c>
      <c r="C9" s="25" t="s">
        <v>863</v>
      </c>
      <c r="D9" s="357" t="s">
        <v>1391</v>
      </c>
      <c r="E9" s="25" t="s">
        <v>872</v>
      </c>
      <c r="F9" s="358">
        <f>'ENCARGOS SOCIAIS'!E51/100</f>
        <v>0.6984999999999999</v>
      </c>
    </row>
    <row r="10" spans="1:6" ht="5.15" customHeight="1">
      <c r="A10" s="359"/>
      <c r="B10" s="359"/>
      <c r="C10" s="359"/>
      <c r="D10" s="359"/>
      <c r="E10" s="31"/>
      <c r="F10" s="31"/>
    </row>
    <row r="11" spans="1:6" ht="20.149999999999999" customHeight="1">
      <c r="A11" s="372" t="s">
        <v>8</v>
      </c>
      <c r="B11" s="373" t="s">
        <v>9</v>
      </c>
      <c r="C11" s="374"/>
      <c r="D11" s="402">
        <f>PLANILHA_SINT!J12</f>
        <v>116473.47</v>
      </c>
      <c r="E11" s="402"/>
      <c r="F11" s="375">
        <f>D11/$E$21</f>
        <v>8.767977808786602E-2</v>
      </c>
    </row>
    <row r="12" spans="1:6" ht="20.149999999999999" customHeight="1">
      <c r="A12" s="372" t="s">
        <v>15</v>
      </c>
      <c r="B12" s="373" t="s">
        <v>16</v>
      </c>
      <c r="C12" s="374"/>
      <c r="D12" s="402">
        <f>PLANILHA_SINT!J14</f>
        <v>15428.69</v>
      </c>
      <c r="E12" s="402"/>
      <c r="F12" s="375">
        <f t="shared" ref="F12:F19" si="0">D12/$E$21</f>
        <v>1.1614525740380858E-2</v>
      </c>
    </row>
    <row r="13" spans="1:6" ht="20.149999999999999" customHeight="1">
      <c r="A13" s="372" t="s">
        <v>37</v>
      </c>
      <c r="B13" s="373" t="s">
        <v>38</v>
      </c>
      <c r="C13" s="374"/>
      <c r="D13" s="402">
        <f>PLANILHA_SINT!J23</f>
        <v>22024.47</v>
      </c>
      <c r="E13" s="402"/>
      <c r="F13" s="375">
        <f t="shared" si="0"/>
        <v>1.6579746805026611E-2</v>
      </c>
    </row>
    <row r="14" spans="1:6" ht="20.149999999999999" customHeight="1">
      <c r="A14" s="372" t="s">
        <v>62</v>
      </c>
      <c r="B14" s="373" t="s">
        <v>63</v>
      </c>
      <c r="C14" s="374"/>
      <c r="D14" s="402">
        <f>PLANILHA_SINT!J33</f>
        <v>12658.42</v>
      </c>
      <c r="E14" s="402"/>
      <c r="F14" s="375">
        <f t="shared" si="0"/>
        <v>9.5291009750375338E-3</v>
      </c>
    </row>
    <row r="15" spans="1:6" ht="20.149999999999999" customHeight="1">
      <c r="A15" s="372" t="s">
        <v>71</v>
      </c>
      <c r="B15" s="373" t="s">
        <v>72</v>
      </c>
      <c r="C15" s="374"/>
      <c r="D15" s="402">
        <f>PLANILHA_SINT!J36</f>
        <v>16638.45</v>
      </c>
      <c r="E15" s="402"/>
      <c r="F15" s="375">
        <f t="shared" si="0"/>
        <v>1.2525218006521609E-2</v>
      </c>
    </row>
    <row r="16" spans="1:6" ht="20.149999999999999" customHeight="1">
      <c r="A16" s="372" t="s">
        <v>97</v>
      </c>
      <c r="B16" s="373" t="s">
        <v>98</v>
      </c>
      <c r="C16" s="374"/>
      <c r="D16" s="402">
        <f>PLANILHA_SINT!J47</f>
        <v>129017.33</v>
      </c>
      <c r="E16" s="402"/>
      <c r="F16" s="375">
        <f t="shared" si="0"/>
        <v>9.7122639721208437E-2</v>
      </c>
    </row>
    <row r="17" spans="1:6" ht="20.149999999999999" customHeight="1">
      <c r="A17" s="372" t="s">
        <v>215</v>
      </c>
      <c r="B17" s="373" t="s">
        <v>216</v>
      </c>
      <c r="C17" s="374"/>
      <c r="D17" s="402">
        <f>PLANILHA_SINT!J95</f>
        <v>1006123.01</v>
      </c>
      <c r="E17" s="402"/>
      <c r="F17" s="375">
        <f t="shared" si="0"/>
        <v>0.75739687540772849</v>
      </c>
    </row>
    <row r="18" spans="1:6" ht="20.149999999999999" customHeight="1">
      <c r="A18" s="372" t="s">
        <v>225</v>
      </c>
      <c r="B18" s="373" t="s">
        <v>226</v>
      </c>
      <c r="C18" s="374"/>
      <c r="D18" s="402">
        <f>PLANILHA_SINT!J99</f>
        <v>9917.5</v>
      </c>
      <c r="E18" s="402"/>
      <c r="F18" s="375">
        <f t="shared" si="0"/>
        <v>7.4657705242782866E-3</v>
      </c>
    </row>
    <row r="19" spans="1:6" ht="20.149999999999999" customHeight="1">
      <c r="A19" s="372" t="s">
        <v>238</v>
      </c>
      <c r="B19" s="373" t="s">
        <v>239</v>
      </c>
      <c r="C19" s="374"/>
      <c r="D19" s="402">
        <f>PLANILHA_SINT!J104</f>
        <v>114.7</v>
      </c>
      <c r="E19" s="402"/>
      <c r="F19" s="375">
        <f t="shared" si="0"/>
        <v>8.6344731952076585E-5</v>
      </c>
    </row>
    <row r="20" spans="1:6" ht="5.15" customHeight="1">
      <c r="A20" s="360"/>
      <c r="B20" s="360"/>
      <c r="C20" s="31"/>
      <c r="D20" s="361"/>
      <c r="E20" s="361"/>
      <c r="F20" s="362"/>
    </row>
    <row r="21" spans="1:6" ht="20.149999999999999" customHeight="1">
      <c r="A21" s="400" t="s">
        <v>246</v>
      </c>
      <c r="B21" s="401"/>
      <c r="C21" s="401"/>
      <c r="D21" s="401"/>
      <c r="E21" s="363">
        <f>SUM(D11:E19)</f>
        <v>1328396.04</v>
      </c>
      <c r="F21" s="364">
        <f>SUM(F11:F20)</f>
        <v>1</v>
      </c>
    </row>
    <row r="22" spans="1:6" ht="15" customHeight="1">
      <c r="A22" s="365"/>
      <c r="B22" s="365"/>
      <c r="C22" s="362"/>
      <c r="D22" s="362"/>
      <c r="E22" s="31"/>
      <c r="F22" s="31"/>
    </row>
    <row r="23" spans="1:6" ht="15" customHeight="1">
      <c r="A23" s="365"/>
      <c r="B23" s="365"/>
      <c r="C23" s="362"/>
      <c r="D23" s="365"/>
      <c r="E23" s="31"/>
      <c r="F23" s="31"/>
    </row>
    <row r="24" spans="1:6" ht="15" customHeight="1">
      <c r="A24" s="365"/>
      <c r="B24" s="365"/>
      <c r="C24" s="362"/>
      <c r="D24" s="365"/>
      <c r="E24" s="31"/>
      <c r="F24" s="31"/>
    </row>
    <row r="25" spans="1:6" ht="15" customHeight="1">
      <c r="A25" s="365"/>
      <c r="B25" s="365"/>
      <c r="C25" s="362"/>
      <c r="D25" s="365"/>
      <c r="E25" s="31"/>
      <c r="F25" s="31"/>
    </row>
    <row r="26" spans="1:6" ht="15" customHeight="1">
      <c r="A26" s="365"/>
      <c r="B26" s="365"/>
      <c r="C26" s="362"/>
      <c r="D26" s="365"/>
      <c r="E26" s="31"/>
      <c r="F26" s="31"/>
    </row>
    <row r="27" spans="1:6">
      <c r="A27" s="31"/>
      <c r="B27" s="31"/>
      <c r="C27" s="31"/>
      <c r="D27" s="31"/>
      <c r="E27" s="31"/>
      <c r="F27" s="31"/>
    </row>
    <row r="28" spans="1:6">
      <c r="A28" s="31"/>
      <c r="B28" s="31"/>
      <c r="C28" s="31"/>
      <c r="D28" s="31"/>
      <c r="E28" s="31"/>
      <c r="F28" s="31"/>
    </row>
    <row r="29" spans="1:6">
      <c r="A29" s="31"/>
      <c r="B29" s="31"/>
      <c r="C29" s="31"/>
      <c r="D29" s="31"/>
      <c r="E29" s="31"/>
      <c r="F29" s="31"/>
    </row>
    <row r="30" spans="1:6">
      <c r="A30" s="31"/>
      <c r="B30" s="31"/>
      <c r="C30" s="31"/>
      <c r="D30" s="31"/>
      <c r="E30" s="31"/>
      <c r="F30" s="31"/>
    </row>
  </sheetData>
  <mergeCells count="10">
    <mergeCell ref="A21:D21"/>
    <mergeCell ref="D14:E14"/>
    <mergeCell ref="D13:E13"/>
    <mergeCell ref="D12:E12"/>
    <mergeCell ref="D11:E11"/>
    <mergeCell ref="D19:E19"/>
    <mergeCell ref="D18:E18"/>
    <mergeCell ref="D16:E16"/>
    <mergeCell ref="D15:E15"/>
    <mergeCell ref="D17:E17"/>
  </mergeCells>
  <pageMargins left="0.51181102362204722" right="0.51181102362204722" top="0.51181102362204722" bottom="0.70866141732283472" header="0" footer="0.19685039370078741"/>
  <pageSetup paperSize="77" scale="84" orientation="landscape" r:id="rId1"/>
  <headerFooter>
    <oddFooter>&amp;L&amp;9&amp;A&amp;R&amp;9Página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outlinePr summaryBelow="0"/>
  </sheetPr>
  <dimension ref="A1:I59"/>
  <sheetViews>
    <sheetView view="pageBreakPreview" topLeftCell="A13" zoomScale="85" zoomScaleNormal="115" zoomScaleSheetLayoutView="85" workbookViewId="0">
      <selection activeCell="B6" sqref="B6"/>
    </sheetView>
  </sheetViews>
  <sheetFormatPr defaultColWidth="9.1640625" defaultRowHeight="14"/>
  <cols>
    <col min="1" max="1" width="10.58203125" style="12" customWidth="1"/>
    <col min="2" max="2" width="10.75" style="12" customWidth="1"/>
    <col min="3" max="3" width="40.4140625" style="12" customWidth="1"/>
    <col min="4" max="4" width="10.75" style="12" customWidth="1"/>
    <col min="5" max="5" width="0.83203125" style="12" customWidth="1"/>
    <col min="6" max="7" width="10.75" style="12" customWidth="1"/>
    <col min="8" max="9" width="10.75" style="13" customWidth="1"/>
    <col min="10" max="16384" width="9.1640625" style="12"/>
  </cols>
  <sheetData>
    <row r="1" spans="1:9" ht="50.15" customHeight="1"/>
    <row r="2" spans="1:9" ht="15.5">
      <c r="A2" s="8" t="s">
        <v>1394</v>
      </c>
      <c r="B2" s="8"/>
      <c r="C2" s="8"/>
      <c r="D2" s="8"/>
      <c r="E2" s="8"/>
      <c r="F2" s="9"/>
      <c r="G2" s="9"/>
      <c r="H2" s="10"/>
      <c r="I2" s="28"/>
    </row>
    <row r="3" spans="1:9" ht="5.15" customHeight="1">
      <c r="A3" s="11"/>
      <c r="B3" s="11"/>
      <c r="C3" s="11"/>
      <c r="D3" s="11"/>
      <c r="E3" s="11"/>
      <c r="I3" s="28"/>
    </row>
    <row r="4" spans="1:9">
      <c r="A4" s="14" t="s">
        <v>858</v>
      </c>
      <c r="B4" s="15" t="str">
        <f>RESUMO!B4</f>
        <v>MODERNIZAÇÃO DA SUBESTAÇÃO DE ENERGIA ELÉTRICA DA SEDE DA JUSTIÇA FEDERAL NA PARAIBA</v>
      </c>
      <c r="C4" s="15"/>
      <c r="D4" s="15"/>
      <c r="E4" s="15"/>
      <c r="F4" s="15"/>
      <c r="G4" s="15"/>
      <c r="H4" s="16"/>
      <c r="I4" s="28"/>
    </row>
    <row r="5" spans="1:9">
      <c r="A5" s="17" t="s">
        <v>863</v>
      </c>
      <c r="B5" s="41" t="str">
        <f>RESUMO!B5</f>
        <v>R3 - 15/04/2025</v>
      </c>
      <c r="C5" s="42"/>
      <c r="D5" s="17" t="s">
        <v>874</v>
      </c>
      <c r="E5" s="43"/>
      <c r="F5" s="19"/>
      <c r="G5" s="17" t="s">
        <v>869</v>
      </c>
      <c r="H5" s="20">
        <f>RESUMO!$F$5</f>
        <v>45762</v>
      </c>
      <c r="I5" s="28"/>
    </row>
    <row r="6" spans="1:9">
      <c r="A6" s="21" t="s">
        <v>859</v>
      </c>
      <c r="B6" s="44" t="str">
        <f>RESUMO!B6</f>
        <v>RUA JOÃO TEIXEIRA DE CARVALHO, 480, PEDRO GONDIM, JOÃO PESSOA/PB</v>
      </c>
      <c r="C6" s="45"/>
      <c r="D6" s="23" t="str">
        <f>RESUMO!$C$6</f>
        <v>SINAPI</v>
      </c>
      <c r="E6" s="46"/>
      <c r="F6" s="24" t="str">
        <f>RESUMO!$D$6</f>
        <v>2025/02</v>
      </c>
      <c r="G6" s="21" t="s">
        <v>1308</v>
      </c>
      <c r="H6" s="24">
        <f>RESUMO!$F$6</f>
        <v>0.23530000000000001</v>
      </c>
      <c r="I6" s="28"/>
    </row>
    <row r="7" spans="1:9">
      <c r="A7" s="21" t="s">
        <v>860</v>
      </c>
      <c r="B7" s="44" t="str">
        <f>RESUMO!B7</f>
        <v>JUSTIÇA FEDERAL NA PARAÍBA</v>
      </c>
      <c r="C7" s="45"/>
      <c r="D7" s="23" t="str">
        <f>RESUMO!$C$7</f>
        <v>SICRO</v>
      </c>
      <c r="E7" s="46"/>
      <c r="F7" s="24" t="str">
        <f>RESUMO!$D$7</f>
        <v>2025/01</v>
      </c>
      <c r="G7" s="21" t="s">
        <v>870</v>
      </c>
      <c r="H7" s="24">
        <f>RESUMO!$F$7</f>
        <v>0.1527</v>
      </c>
      <c r="I7" s="28"/>
    </row>
    <row r="8" spans="1:9">
      <c r="A8" s="21" t="s">
        <v>868</v>
      </c>
      <c r="B8" s="44" t="str">
        <f>RESUMO!B8</f>
        <v>MAYRTHON PAULO COSTA JUNIOR</v>
      </c>
      <c r="C8" s="45"/>
      <c r="D8" s="23" t="str">
        <f>RESUMO!$C$8</f>
        <v>-</v>
      </c>
      <c r="E8" s="44"/>
      <c r="F8" s="24">
        <f>RESUMO!$D$8</f>
        <v>0</v>
      </c>
      <c r="G8" s="21" t="s">
        <v>871</v>
      </c>
      <c r="H8" s="24">
        <f>RESUMO!$F$8</f>
        <v>1.1359999999999999</v>
      </c>
      <c r="I8" s="28"/>
    </row>
    <row r="9" spans="1:9">
      <c r="A9" s="25" t="s">
        <v>861</v>
      </c>
      <c r="B9" s="47" t="str">
        <f>RESUMO!B9</f>
        <v>ENGENHEIRO ELETRICISTA - CREA 060191712-0</v>
      </c>
      <c r="C9" s="48"/>
      <c r="D9" s="25" t="s">
        <v>863</v>
      </c>
      <c r="E9" s="49"/>
      <c r="F9" s="27" t="str">
        <f>RESUMO!$D$9</f>
        <v>R3</v>
      </c>
      <c r="G9" s="25" t="s">
        <v>872</v>
      </c>
      <c r="H9" s="27">
        <f>RESUMO!$F$9</f>
        <v>0.6984999999999999</v>
      </c>
      <c r="I9" s="28"/>
    </row>
    <row r="10" spans="1:9" ht="5.15" customHeight="1">
      <c r="A10" s="28"/>
      <c r="B10" s="28"/>
      <c r="C10" s="28"/>
      <c r="D10" s="28"/>
      <c r="E10" s="28"/>
      <c r="F10" s="28"/>
      <c r="G10" s="28"/>
      <c r="H10" s="28"/>
      <c r="I10" s="28"/>
    </row>
    <row r="11" spans="1:9">
      <c r="A11" s="50" t="s">
        <v>1308</v>
      </c>
      <c r="B11" s="51"/>
      <c r="C11" s="51"/>
      <c r="D11" s="51"/>
      <c r="E11" s="51"/>
      <c r="F11" s="51"/>
      <c r="G11" s="51"/>
      <c r="H11" s="51"/>
      <c r="I11" s="51"/>
    </row>
    <row r="12" spans="1:9" ht="5.15" customHeight="1">
      <c r="A12" s="52"/>
      <c r="B12" s="52"/>
      <c r="C12" s="33" t="s">
        <v>0</v>
      </c>
      <c r="D12" s="33"/>
      <c r="E12" s="33"/>
      <c r="F12" s="33"/>
      <c r="G12" s="33"/>
      <c r="H12" s="33"/>
      <c r="I12" s="33"/>
    </row>
    <row r="13" spans="1:9" ht="15" customHeight="1">
      <c r="A13" s="445" t="s">
        <v>642</v>
      </c>
      <c r="B13" s="445" t="s">
        <v>3</v>
      </c>
      <c r="C13" s="445"/>
      <c r="D13" s="445" t="s">
        <v>439</v>
      </c>
      <c r="E13" s="53"/>
      <c r="F13" s="445" t="s">
        <v>1313</v>
      </c>
      <c r="G13" s="445"/>
      <c r="H13" s="445"/>
      <c r="I13" s="53"/>
    </row>
    <row r="14" spans="1:9" ht="15" customHeight="1">
      <c r="A14" s="445"/>
      <c r="B14" s="445"/>
      <c r="C14" s="445"/>
      <c r="D14" s="445"/>
      <c r="E14" s="33"/>
      <c r="F14" s="54" t="s">
        <v>1314</v>
      </c>
      <c r="G14" s="54" t="s">
        <v>1317</v>
      </c>
      <c r="H14" s="54" t="s">
        <v>1315</v>
      </c>
      <c r="I14" s="33"/>
    </row>
    <row r="15" spans="1:9" ht="5.15" customHeight="1">
      <c r="A15" s="52"/>
      <c r="B15" s="52"/>
      <c r="C15" s="33"/>
      <c r="D15" s="33"/>
      <c r="E15" s="33"/>
      <c r="F15" s="33"/>
      <c r="G15" s="33"/>
      <c r="H15" s="33"/>
      <c r="I15" s="33"/>
    </row>
    <row r="16" spans="1:9" ht="15" customHeight="1">
      <c r="A16" s="55" t="s">
        <v>643</v>
      </c>
      <c r="B16" s="440" t="s">
        <v>644</v>
      </c>
      <c r="C16" s="441"/>
      <c r="D16" s="56"/>
      <c r="E16" s="57"/>
      <c r="F16" s="442" t="str">
        <f>B16</f>
        <v>BENEFICIO</v>
      </c>
      <c r="G16" s="443"/>
      <c r="H16" s="444"/>
      <c r="I16" s="58"/>
    </row>
    <row r="17" spans="1:9" ht="15" customHeight="1">
      <c r="A17" s="59" t="s">
        <v>645</v>
      </c>
      <c r="B17" s="435" t="s">
        <v>646</v>
      </c>
      <c r="C17" s="436"/>
      <c r="D17" s="60">
        <v>7.3999999999999996E-2</v>
      </c>
      <c r="E17" s="61"/>
      <c r="F17" s="62">
        <v>6.1600000000000002E-2</v>
      </c>
      <c r="G17" s="62">
        <v>7.3999999999999996E-2</v>
      </c>
      <c r="H17" s="63">
        <v>8.9599999999999999E-2</v>
      </c>
      <c r="I17" s="64"/>
    </row>
    <row r="18" spans="1:9" ht="15" customHeight="1">
      <c r="A18" s="437" t="s">
        <v>246</v>
      </c>
      <c r="B18" s="438"/>
      <c r="C18" s="439"/>
      <c r="D18" s="65">
        <f>SUM(D17)</f>
        <v>7.3999999999999996E-2</v>
      </c>
      <c r="E18" s="66"/>
      <c r="F18" s="67"/>
      <c r="G18" s="67"/>
      <c r="H18" s="67"/>
      <c r="I18" s="68"/>
    </row>
    <row r="19" spans="1:9" ht="5.15" customHeight="1">
      <c r="A19" s="52"/>
      <c r="B19" s="52"/>
      <c r="C19" s="33"/>
      <c r="D19" s="69"/>
      <c r="E19" s="33"/>
      <c r="F19" s="70"/>
      <c r="G19" s="70"/>
      <c r="H19" s="70"/>
      <c r="I19" s="33"/>
    </row>
    <row r="20" spans="1:9" ht="15" customHeight="1">
      <c r="A20" s="55" t="s">
        <v>647</v>
      </c>
      <c r="B20" s="440" t="s">
        <v>648</v>
      </c>
      <c r="C20" s="441"/>
      <c r="D20" s="71"/>
      <c r="E20" s="72"/>
      <c r="F20" s="432" t="str">
        <f>B20</f>
        <v>DESPESAS FINANCEIRAS</v>
      </c>
      <c r="G20" s="433"/>
      <c r="H20" s="434"/>
      <c r="I20" s="58"/>
    </row>
    <row r="21" spans="1:9" ht="15" customHeight="1">
      <c r="A21" s="59" t="s">
        <v>649</v>
      </c>
      <c r="B21" s="435" t="s">
        <v>650</v>
      </c>
      <c r="C21" s="436"/>
      <c r="D21" s="60">
        <v>8.0000000000000002E-3</v>
      </c>
      <c r="E21" s="61"/>
      <c r="F21" s="62">
        <v>8.0000000000000002E-3</v>
      </c>
      <c r="G21" s="62">
        <v>8.0000000000000002E-3</v>
      </c>
      <c r="H21" s="63">
        <v>0.01</v>
      </c>
      <c r="I21" s="64"/>
    </row>
    <row r="22" spans="1:9" ht="15" customHeight="1">
      <c r="A22" s="59" t="s">
        <v>651</v>
      </c>
      <c r="B22" s="435" t="s">
        <v>652</v>
      </c>
      <c r="C22" s="436"/>
      <c r="D22" s="60">
        <v>1.2699999999999999E-2</v>
      </c>
      <c r="E22" s="61"/>
      <c r="F22" s="62">
        <v>9.7000000000000003E-3</v>
      </c>
      <c r="G22" s="62">
        <v>1.2699999999999999E-2</v>
      </c>
      <c r="H22" s="63">
        <v>1.2699999999999999E-2</v>
      </c>
      <c r="I22" s="64"/>
    </row>
    <row r="23" spans="1:9" ht="15" customHeight="1">
      <c r="A23" s="59" t="s">
        <v>653</v>
      </c>
      <c r="B23" s="435" t="s">
        <v>654</v>
      </c>
      <c r="C23" s="436"/>
      <c r="D23" s="60">
        <v>1.23E-2</v>
      </c>
      <c r="E23" s="61"/>
      <c r="F23" s="62">
        <v>5.8999999999999999E-3</v>
      </c>
      <c r="G23" s="62">
        <v>1.23E-2</v>
      </c>
      <c r="H23" s="63">
        <v>1.3899999999999999E-2</v>
      </c>
      <c r="I23" s="64"/>
    </row>
    <row r="24" spans="1:9" ht="15" customHeight="1">
      <c r="A24" s="59" t="s">
        <v>655</v>
      </c>
      <c r="B24" s="435" t="s">
        <v>656</v>
      </c>
      <c r="C24" s="436"/>
      <c r="D24" s="60">
        <v>0.04</v>
      </c>
      <c r="E24" s="61"/>
      <c r="F24" s="62">
        <v>0.03</v>
      </c>
      <c r="G24" s="62">
        <v>0.04</v>
      </c>
      <c r="H24" s="63">
        <v>5.5E-2</v>
      </c>
      <c r="I24" s="64"/>
    </row>
    <row r="25" spans="1:9" ht="15" customHeight="1">
      <c r="A25" s="437" t="s">
        <v>246</v>
      </c>
      <c r="B25" s="438"/>
      <c r="C25" s="439"/>
      <c r="D25" s="65">
        <f>SUM(D21:D24)</f>
        <v>7.3000000000000009E-2</v>
      </c>
      <c r="E25" s="66"/>
      <c r="F25" s="67"/>
      <c r="G25" s="67"/>
      <c r="H25" s="67"/>
      <c r="I25" s="68"/>
    </row>
    <row r="26" spans="1:9" ht="5.15" customHeight="1">
      <c r="A26" s="52"/>
      <c r="B26" s="52"/>
      <c r="C26" s="33"/>
      <c r="D26" s="69"/>
      <c r="E26" s="33"/>
      <c r="F26" s="70"/>
      <c r="G26" s="70"/>
      <c r="H26" s="70"/>
      <c r="I26" s="33"/>
    </row>
    <row r="27" spans="1:9" ht="15" customHeight="1">
      <c r="A27" s="55" t="s">
        <v>657</v>
      </c>
      <c r="B27" s="440" t="s">
        <v>658</v>
      </c>
      <c r="C27" s="441"/>
      <c r="D27" s="71"/>
      <c r="E27" s="72"/>
      <c r="F27" s="432" t="str">
        <f>B27</f>
        <v>IMPOSTOS</v>
      </c>
      <c r="G27" s="433"/>
      <c r="H27" s="434"/>
      <c r="I27" s="58"/>
    </row>
    <row r="28" spans="1:9" ht="15" customHeight="1">
      <c r="A28" s="59" t="s">
        <v>659</v>
      </c>
      <c r="B28" s="435" t="s">
        <v>660</v>
      </c>
      <c r="C28" s="436"/>
      <c r="D28" s="60">
        <v>6.4999999999999997E-3</v>
      </c>
      <c r="E28" s="61"/>
      <c r="F28" s="62">
        <v>6.4999999999999997E-3</v>
      </c>
      <c r="G28" s="62">
        <v>6.4999999999999997E-3</v>
      </c>
      <c r="H28" s="62">
        <v>6.4999999999999997E-3</v>
      </c>
      <c r="I28" s="64"/>
    </row>
    <row r="29" spans="1:9" ht="15" customHeight="1">
      <c r="A29" s="59" t="s">
        <v>661</v>
      </c>
      <c r="B29" s="435" t="s">
        <v>662</v>
      </c>
      <c r="C29" s="436"/>
      <c r="D29" s="60">
        <v>0.03</v>
      </c>
      <c r="E29" s="61"/>
      <c r="F29" s="62">
        <v>0.03</v>
      </c>
      <c r="G29" s="62">
        <v>0.03</v>
      </c>
      <c r="H29" s="62">
        <v>0.03</v>
      </c>
      <c r="I29" s="64"/>
    </row>
    <row r="30" spans="1:9" ht="15" customHeight="1">
      <c r="A30" s="59" t="s">
        <v>663</v>
      </c>
      <c r="B30" s="435" t="s">
        <v>1316</v>
      </c>
      <c r="C30" s="436"/>
      <c r="D30" s="60">
        <v>0.03</v>
      </c>
      <c r="E30" s="61"/>
      <c r="F30" s="62">
        <v>0.03</v>
      </c>
      <c r="G30" s="62">
        <v>0.03</v>
      </c>
      <c r="H30" s="62">
        <v>0.03</v>
      </c>
      <c r="I30" s="64"/>
    </row>
    <row r="31" spans="1:9" ht="15" customHeight="1">
      <c r="A31" s="437" t="s">
        <v>246</v>
      </c>
      <c r="B31" s="438"/>
      <c r="C31" s="439"/>
      <c r="D31" s="65">
        <f>SUM(D28:D30)</f>
        <v>6.6500000000000004E-2</v>
      </c>
      <c r="E31" s="66"/>
      <c r="F31" s="73"/>
      <c r="G31" s="73"/>
      <c r="H31" s="74"/>
      <c r="I31" s="68"/>
    </row>
    <row r="32" spans="1:9" ht="5.15" customHeight="1">
      <c r="A32" s="52"/>
      <c r="B32" s="52"/>
      <c r="C32" s="33" t="s">
        <v>0</v>
      </c>
      <c r="D32" s="33"/>
      <c r="E32" s="33"/>
      <c r="F32" s="33"/>
      <c r="G32" s="33"/>
      <c r="H32" s="33"/>
      <c r="I32" s="33"/>
    </row>
    <row r="33" spans="1:9" ht="15" customHeight="1" thickBot="1">
      <c r="A33" s="52" t="s">
        <v>1318</v>
      </c>
      <c r="B33" s="52"/>
      <c r="D33" s="75"/>
      <c r="E33" s="75"/>
      <c r="F33" s="75"/>
      <c r="G33" s="75"/>
      <c r="H33" s="75"/>
      <c r="I33" s="75"/>
    </row>
    <row r="34" spans="1:9" ht="49.5" customHeight="1" thickBot="1">
      <c r="A34" s="52"/>
      <c r="B34" s="52"/>
      <c r="C34" s="51"/>
      <c r="D34" s="76">
        <f>TRUNC((((1+D24+D21+D22)*(1+D23)*(1+D17))/(1-D31))-1,4)</f>
        <v>0.23530000000000001</v>
      </c>
      <c r="E34" s="51"/>
      <c r="F34" s="51"/>
      <c r="G34" s="51"/>
      <c r="H34" s="51"/>
      <c r="I34" s="51"/>
    </row>
    <row r="35" spans="1:9" ht="5.15" customHeight="1">
      <c r="A35" s="52"/>
      <c r="B35" s="52"/>
      <c r="C35" s="51"/>
      <c r="D35" s="77"/>
      <c r="E35" s="51"/>
      <c r="F35" s="51"/>
      <c r="G35" s="51"/>
      <c r="H35" s="51"/>
      <c r="I35" s="51"/>
    </row>
    <row r="36" spans="1:9" ht="15" customHeight="1">
      <c r="A36" s="78" t="s">
        <v>1319</v>
      </c>
      <c r="B36" s="51"/>
      <c r="C36" s="51"/>
      <c r="D36" s="51"/>
      <c r="E36" s="51"/>
      <c r="F36" s="51"/>
      <c r="G36" s="51"/>
      <c r="H36" s="51"/>
      <c r="I36" s="51"/>
    </row>
    <row r="37" spans="1:9" ht="5.15" customHeight="1">
      <c r="A37" s="52"/>
      <c r="B37" s="52"/>
      <c r="C37" s="33" t="s">
        <v>0</v>
      </c>
      <c r="D37" s="33"/>
      <c r="E37" s="33"/>
      <c r="F37" s="33"/>
      <c r="G37" s="33"/>
      <c r="H37" s="33"/>
      <c r="I37" s="51"/>
    </row>
    <row r="38" spans="1:9" ht="15" customHeight="1">
      <c r="A38" s="445" t="s">
        <v>642</v>
      </c>
      <c r="B38" s="445" t="s">
        <v>3</v>
      </c>
      <c r="C38" s="445"/>
      <c r="D38" s="445" t="s">
        <v>439</v>
      </c>
      <c r="E38" s="53"/>
      <c r="F38" s="445" t="s">
        <v>1313</v>
      </c>
      <c r="G38" s="445"/>
      <c r="H38" s="445"/>
      <c r="I38" s="51"/>
    </row>
    <row r="39" spans="1:9" ht="15" customHeight="1">
      <c r="A39" s="445"/>
      <c r="B39" s="445"/>
      <c r="C39" s="445"/>
      <c r="D39" s="445"/>
      <c r="E39" s="33"/>
      <c r="F39" s="54" t="s">
        <v>1314</v>
      </c>
      <c r="G39" s="54" t="s">
        <v>1317</v>
      </c>
      <c r="H39" s="54" t="s">
        <v>1315</v>
      </c>
      <c r="I39" s="51"/>
    </row>
    <row r="40" spans="1:9" ht="5.15" customHeight="1">
      <c r="A40" s="52"/>
      <c r="B40" s="52"/>
      <c r="C40" s="33"/>
      <c r="D40" s="33"/>
      <c r="E40" s="33"/>
      <c r="F40" s="33"/>
      <c r="G40" s="33"/>
      <c r="H40" s="33"/>
      <c r="I40" s="51"/>
    </row>
    <row r="41" spans="1:9" ht="15" customHeight="1">
      <c r="A41" s="55" t="s">
        <v>643</v>
      </c>
      <c r="B41" s="440" t="s">
        <v>644</v>
      </c>
      <c r="C41" s="441"/>
      <c r="D41" s="56"/>
      <c r="E41" s="57"/>
      <c r="F41" s="442" t="str">
        <f>B41</f>
        <v>BENEFICIO</v>
      </c>
      <c r="G41" s="443"/>
      <c r="H41" s="444"/>
      <c r="I41" s="51"/>
    </row>
    <row r="42" spans="1:9" ht="15" customHeight="1">
      <c r="A42" s="59" t="s">
        <v>645</v>
      </c>
      <c r="B42" s="435" t="s">
        <v>646</v>
      </c>
      <c r="C42" s="436"/>
      <c r="D42" s="60">
        <v>5.11E-2</v>
      </c>
      <c r="E42" s="61"/>
      <c r="F42" s="62">
        <v>3.5000000000000003E-2</v>
      </c>
      <c r="G42" s="62">
        <v>5.11E-2</v>
      </c>
      <c r="H42" s="63">
        <v>6.2199999999999998E-2</v>
      </c>
      <c r="I42" s="51"/>
    </row>
    <row r="43" spans="1:9" ht="15" customHeight="1">
      <c r="A43" s="437" t="s">
        <v>246</v>
      </c>
      <c r="B43" s="438"/>
      <c r="C43" s="439"/>
      <c r="D43" s="65">
        <f>SUM(D42)</f>
        <v>5.11E-2</v>
      </c>
      <c r="E43" s="66"/>
      <c r="F43" s="67"/>
      <c r="G43" s="67"/>
      <c r="H43" s="67"/>
      <c r="I43" s="51"/>
    </row>
    <row r="44" spans="1:9" ht="5.15" customHeight="1">
      <c r="A44" s="52"/>
      <c r="B44" s="52"/>
      <c r="C44" s="33"/>
      <c r="D44" s="69"/>
      <c r="E44" s="33"/>
      <c r="F44" s="70"/>
      <c r="G44" s="70"/>
      <c r="H44" s="70"/>
      <c r="I44" s="51"/>
    </row>
    <row r="45" spans="1:9" ht="15" customHeight="1">
      <c r="A45" s="55" t="s">
        <v>647</v>
      </c>
      <c r="B45" s="440" t="s">
        <v>648</v>
      </c>
      <c r="C45" s="441"/>
      <c r="D45" s="71"/>
      <c r="E45" s="72"/>
      <c r="F45" s="432" t="str">
        <f>B45</f>
        <v>DESPESAS FINANCEIRAS</v>
      </c>
      <c r="G45" s="433"/>
      <c r="H45" s="434"/>
      <c r="I45" s="51"/>
    </row>
    <row r="46" spans="1:9" ht="15" customHeight="1">
      <c r="A46" s="59" t="s">
        <v>649</v>
      </c>
      <c r="B46" s="435" t="s">
        <v>650</v>
      </c>
      <c r="C46" s="436"/>
      <c r="D46" s="60">
        <v>4.7999999999999996E-3</v>
      </c>
      <c r="E46" s="61"/>
      <c r="F46" s="62">
        <v>3.0000000000000001E-3</v>
      </c>
      <c r="G46" s="62">
        <v>4.7999999999999996E-3</v>
      </c>
      <c r="H46" s="63">
        <v>8.2000000000000007E-3</v>
      </c>
      <c r="I46" s="51"/>
    </row>
    <row r="47" spans="1:9" ht="15" customHeight="1">
      <c r="A47" s="59" t="s">
        <v>651</v>
      </c>
      <c r="B47" s="435" t="s">
        <v>652</v>
      </c>
      <c r="C47" s="436"/>
      <c r="D47" s="60">
        <v>8.5000000000000006E-3</v>
      </c>
      <c r="E47" s="61"/>
      <c r="F47" s="62">
        <v>5.5999999999999999E-3</v>
      </c>
      <c r="G47" s="62">
        <v>8.5000000000000006E-3</v>
      </c>
      <c r="H47" s="63">
        <v>8.8999999999999999E-3</v>
      </c>
      <c r="I47" s="51"/>
    </row>
    <row r="48" spans="1:9" ht="15" customHeight="1">
      <c r="A48" s="59" t="s">
        <v>653</v>
      </c>
      <c r="B48" s="435" t="s">
        <v>654</v>
      </c>
      <c r="C48" s="436"/>
      <c r="D48" s="60">
        <v>8.5000000000000006E-3</v>
      </c>
      <c r="E48" s="61"/>
      <c r="F48" s="62">
        <v>8.5000000000000006E-3</v>
      </c>
      <c r="G48" s="62">
        <v>8.5000000000000006E-3</v>
      </c>
      <c r="H48" s="63">
        <v>1.11E-2</v>
      </c>
      <c r="I48" s="51"/>
    </row>
    <row r="49" spans="1:9" ht="15" customHeight="1">
      <c r="A49" s="59" t="s">
        <v>655</v>
      </c>
      <c r="B49" s="435" t="s">
        <v>656</v>
      </c>
      <c r="C49" s="436"/>
      <c r="D49" s="60">
        <v>3.4500000000000003E-2</v>
      </c>
      <c r="E49" s="61"/>
      <c r="F49" s="62">
        <v>1.4999999999999999E-2</v>
      </c>
      <c r="G49" s="62">
        <v>3.4500000000000003E-2</v>
      </c>
      <c r="H49" s="63">
        <v>4.4900000000000002E-2</v>
      </c>
      <c r="I49" s="51"/>
    </row>
    <row r="50" spans="1:9" ht="15" customHeight="1">
      <c r="A50" s="437" t="s">
        <v>246</v>
      </c>
      <c r="B50" s="438"/>
      <c r="C50" s="439"/>
      <c r="D50" s="65">
        <f>SUM(D46:D49)</f>
        <v>5.6300000000000003E-2</v>
      </c>
      <c r="E50" s="66"/>
      <c r="F50" s="67"/>
      <c r="G50" s="67"/>
      <c r="H50" s="67"/>
      <c r="I50" s="51"/>
    </row>
    <row r="51" spans="1:9" ht="5.15" customHeight="1">
      <c r="A51" s="52"/>
      <c r="B51" s="52"/>
      <c r="C51" s="33"/>
      <c r="D51" s="69"/>
      <c r="E51" s="33"/>
      <c r="F51" s="70"/>
      <c r="G51" s="70"/>
      <c r="H51" s="70"/>
      <c r="I51" s="51"/>
    </row>
    <row r="52" spans="1:9" ht="15" customHeight="1">
      <c r="A52" s="55" t="s">
        <v>657</v>
      </c>
      <c r="B52" s="440" t="s">
        <v>658</v>
      </c>
      <c r="C52" s="441"/>
      <c r="D52" s="71"/>
      <c r="E52" s="72"/>
      <c r="F52" s="432" t="str">
        <f>B52</f>
        <v>IMPOSTOS</v>
      </c>
      <c r="G52" s="433"/>
      <c r="H52" s="434"/>
      <c r="I52" s="51"/>
    </row>
    <row r="53" spans="1:9" ht="15" customHeight="1">
      <c r="A53" s="59" t="s">
        <v>659</v>
      </c>
      <c r="B53" s="435" t="s">
        <v>660</v>
      </c>
      <c r="C53" s="436"/>
      <c r="D53" s="60">
        <v>6.4999999999999997E-3</v>
      </c>
      <c r="E53" s="61"/>
      <c r="F53" s="62">
        <v>6.4999999999999997E-3</v>
      </c>
      <c r="G53" s="62">
        <v>6.4999999999999997E-3</v>
      </c>
      <c r="H53" s="62">
        <v>6.4999999999999997E-3</v>
      </c>
      <c r="I53" s="51"/>
    </row>
    <row r="54" spans="1:9" ht="15" customHeight="1">
      <c r="A54" s="59" t="s">
        <v>661</v>
      </c>
      <c r="B54" s="435" t="s">
        <v>662</v>
      </c>
      <c r="C54" s="436"/>
      <c r="D54" s="60">
        <v>0.03</v>
      </c>
      <c r="E54" s="61"/>
      <c r="F54" s="62">
        <v>0.03</v>
      </c>
      <c r="G54" s="62">
        <v>0.03</v>
      </c>
      <c r="H54" s="62">
        <v>0.03</v>
      </c>
      <c r="I54" s="51"/>
    </row>
    <row r="55" spans="1:9" ht="15" customHeight="1">
      <c r="A55" s="437" t="s">
        <v>246</v>
      </c>
      <c r="B55" s="438"/>
      <c r="C55" s="439"/>
      <c r="D55" s="65">
        <f>SUM(D53:D54)</f>
        <v>3.6499999999999998E-2</v>
      </c>
      <c r="E55" s="66"/>
      <c r="F55" s="73"/>
      <c r="G55" s="73"/>
      <c r="H55" s="74"/>
      <c r="I55" s="51"/>
    </row>
    <row r="56" spans="1:9" ht="5.15" customHeight="1">
      <c r="A56" s="52"/>
      <c r="B56" s="52"/>
      <c r="C56" s="33" t="s">
        <v>0</v>
      </c>
      <c r="D56" s="33"/>
      <c r="E56" s="33"/>
      <c r="F56" s="33"/>
      <c r="G56" s="33"/>
      <c r="H56" s="33"/>
      <c r="I56" s="51"/>
    </row>
    <row r="57" spans="1:9" ht="15" customHeight="1" thickBot="1">
      <c r="A57" s="52" t="s">
        <v>1318</v>
      </c>
      <c r="B57" s="52"/>
      <c r="D57" s="75"/>
      <c r="E57" s="75"/>
      <c r="F57" s="75"/>
      <c r="G57" s="75"/>
      <c r="H57" s="75"/>
      <c r="I57" s="51"/>
    </row>
    <row r="58" spans="1:9" ht="50.15" customHeight="1" thickBot="1">
      <c r="A58" s="52"/>
      <c r="B58" s="52"/>
      <c r="C58" s="51"/>
      <c r="D58" s="76">
        <f>TRUNC((((1+D49+D46+D47)*(1+D48)*(1+D42))/(1-D55))-1,4)</f>
        <v>0.1527</v>
      </c>
      <c r="E58" s="51"/>
      <c r="F58" s="51"/>
      <c r="G58" s="51"/>
      <c r="H58" s="51"/>
      <c r="I58" s="51"/>
    </row>
    <row r="59" spans="1:9" ht="15" customHeight="1">
      <c r="A59" s="52"/>
      <c r="B59" s="52"/>
      <c r="C59" s="51"/>
      <c r="D59" s="77"/>
      <c r="E59" s="51"/>
      <c r="F59" s="51"/>
      <c r="G59" s="51"/>
      <c r="H59" s="51"/>
      <c r="I59" s="51"/>
    </row>
  </sheetData>
  <mergeCells count="41">
    <mergeCell ref="A18:C18"/>
    <mergeCell ref="A25:C25"/>
    <mergeCell ref="B23:C23"/>
    <mergeCell ref="B22:C22"/>
    <mergeCell ref="B21:C21"/>
    <mergeCell ref="B20:C20"/>
    <mergeCell ref="B17:C17"/>
    <mergeCell ref="B16:C16"/>
    <mergeCell ref="F13:H13"/>
    <mergeCell ref="A13:A14"/>
    <mergeCell ref="B13:C14"/>
    <mergeCell ref="D13:D14"/>
    <mergeCell ref="F16:H16"/>
    <mergeCell ref="A38:A39"/>
    <mergeCell ref="B38:C39"/>
    <mergeCell ref="D38:D39"/>
    <mergeCell ref="F38:H38"/>
    <mergeCell ref="B24:C24"/>
    <mergeCell ref="B29:C29"/>
    <mergeCell ref="A31:C31"/>
    <mergeCell ref="F27:H27"/>
    <mergeCell ref="F45:H45"/>
    <mergeCell ref="B46:C46"/>
    <mergeCell ref="F20:H20"/>
    <mergeCell ref="B28:C28"/>
    <mergeCell ref="B27:C27"/>
    <mergeCell ref="B30:C30"/>
    <mergeCell ref="B41:C41"/>
    <mergeCell ref="F41:H41"/>
    <mergeCell ref="A55:C55"/>
    <mergeCell ref="B52:C52"/>
    <mergeCell ref="B42:C42"/>
    <mergeCell ref="A43:C43"/>
    <mergeCell ref="B45:C45"/>
    <mergeCell ref="F52:H52"/>
    <mergeCell ref="B53:C53"/>
    <mergeCell ref="B54:C54"/>
    <mergeCell ref="B47:C47"/>
    <mergeCell ref="B48:C48"/>
    <mergeCell ref="B49:C49"/>
    <mergeCell ref="A50:C50"/>
  </mergeCells>
  <conditionalFormatting sqref="F5:F9">
    <cfRule type="cellIs" dxfId="6" priority="1" operator="equal">
      <formula>0</formula>
    </cfRule>
  </conditionalFormatting>
  <conditionalFormatting sqref="G5:G9">
    <cfRule type="cellIs" dxfId="5" priority="2" operator="equal">
      <formula>0</formula>
    </cfRule>
  </conditionalFormatting>
  <pageMargins left="0.51181102362204722" right="0.51181102362204722" top="0.51181102362204722" bottom="0.70866141732283472" header="0" footer="0.19685039370078741"/>
  <pageSetup paperSize="9" scale="80" orientation="portrait" r:id="rId1"/>
  <headerFooter>
    <oddFooter>&amp;L&amp;9&amp;A&amp;R&amp;9Página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outlinePr summaryBelow="0"/>
  </sheetPr>
  <dimension ref="A1:G52"/>
  <sheetViews>
    <sheetView view="pageBreakPreview" zoomScale="85" zoomScaleNormal="130" zoomScaleSheetLayoutView="85" workbookViewId="0">
      <selection activeCell="C19" sqref="C19:D19"/>
    </sheetView>
  </sheetViews>
  <sheetFormatPr defaultColWidth="8.75" defaultRowHeight="14"/>
  <cols>
    <col min="1" max="1" width="9.25" style="7" customWidth="1"/>
    <col min="2" max="2" width="51.75" style="7" customWidth="1"/>
    <col min="3" max="3" width="7.75" style="7" customWidth="1"/>
    <col min="4" max="4" width="8" style="7" customWidth="1"/>
    <col min="5" max="5" width="8.25" style="7" customWidth="1"/>
    <col min="6" max="6" width="7.4140625" style="7" customWidth="1"/>
    <col min="7" max="16384" width="8.75" style="7"/>
  </cols>
  <sheetData>
    <row r="1" spans="1:7" ht="50.15" customHeight="1"/>
    <row r="2" spans="1:7" ht="25" customHeight="1">
      <c r="A2" s="8" t="s">
        <v>1320</v>
      </c>
      <c r="B2" s="8"/>
      <c r="C2" s="8"/>
      <c r="D2" s="8"/>
      <c r="E2" s="9"/>
      <c r="F2" s="10"/>
    </row>
    <row r="3" spans="1:7" ht="5.15" customHeight="1">
      <c r="A3" s="11"/>
      <c r="B3" s="11"/>
      <c r="C3" s="11"/>
      <c r="D3" s="11"/>
      <c r="E3" s="12"/>
      <c r="F3" s="13"/>
    </row>
    <row r="4" spans="1:7">
      <c r="A4" s="14" t="s">
        <v>858</v>
      </c>
      <c r="B4" s="15" t="str">
        <f>RESUMO!B4</f>
        <v>MODERNIZAÇÃO DA SUBESTAÇÃO DE ENERGIA ELÉTRICA DA SEDE DA JUSTIÇA FEDERAL NA PARAIBA</v>
      </c>
      <c r="C4" s="15"/>
      <c r="D4" s="15"/>
      <c r="E4" s="15"/>
      <c r="F4" s="16"/>
    </row>
    <row r="5" spans="1:7">
      <c r="A5" s="17" t="s">
        <v>863</v>
      </c>
      <c r="B5" s="18" t="str">
        <f>RESUMO!B5</f>
        <v>R3 - 15/04/2025</v>
      </c>
      <c r="C5" s="17" t="s">
        <v>874</v>
      </c>
      <c r="D5" s="19"/>
      <c r="E5" s="17" t="s">
        <v>869</v>
      </c>
      <c r="F5" s="20">
        <f>RESUMO!$F$5</f>
        <v>45762</v>
      </c>
    </row>
    <row r="6" spans="1:7">
      <c r="A6" s="21" t="s">
        <v>859</v>
      </c>
      <c r="B6" s="22" t="str">
        <f>RESUMO!B6</f>
        <v>RUA JOÃO TEIXEIRA DE CARVALHO, 480, PEDRO GONDIM, JOÃO PESSOA/PB</v>
      </c>
      <c r="C6" s="23" t="str">
        <f>RESUMO!$C$6</f>
        <v>SINAPI</v>
      </c>
      <c r="D6" s="24" t="str">
        <f>RESUMO!$D$6</f>
        <v>2025/02</v>
      </c>
      <c r="E6" s="21" t="s">
        <v>1308</v>
      </c>
      <c r="F6" s="24">
        <f>RESUMO!$F$6</f>
        <v>0.23530000000000001</v>
      </c>
    </row>
    <row r="7" spans="1:7">
      <c r="A7" s="21" t="s">
        <v>860</v>
      </c>
      <c r="B7" s="22" t="str">
        <f>RESUMO!B7</f>
        <v>JUSTIÇA FEDERAL NA PARAÍBA</v>
      </c>
      <c r="C7" s="23" t="str">
        <f>RESUMO!$C$7</f>
        <v>SICRO</v>
      </c>
      <c r="D7" s="24" t="str">
        <f>RESUMO!$D$7</f>
        <v>2025/01</v>
      </c>
      <c r="E7" s="21" t="s">
        <v>870</v>
      </c>
      <c r="F7" s="24">
        <f>RESUMO!$F$7</f>
        <v>0.1527</v>
      </c>
    </row>
    <row r="8" spans="1:7">
      <c r="A8" s="21" t="s">
        <v>868</v>
      </c>
      <c r="B8" s="22" t="str">
        <f>RESUMO!B8</f>
        <v>MAYRTHON PAULO COSTA JUNIOR</v>
      </c>
      <c r="C8" s="23" t="str">
        <f>RESUMO!$C$8</f>
        <v>-</v>
      </c>
      <c r="D8" s="24">
        <f>RESUMO!$D$8</f>
        <v>0</v>
      </c>
      <c r="E8" s="21" t="s">
        <v>871</v>
      </c>
      <c r="F8" s="24">
        <f>RESUMO!$F$8</f>
        <v>1.1359999999999999</v>
      </c>
    </row>
    <row r="9" spans="1:7">
      <c r="A9" s="25" t="s">
        <v>861</v>
      </c>
      <c r="B9" s="26" t="str">
        <f>RESUMO!B9</f>
        <v>ENGENHEIRO ELETRICISTA - CREA 060191712-0</v>
      </c>
      <c r="C9" s="25" t="s">
        <v>863</v>
      </c>
      <c r="D9" s="27" t="str">
        <f>RESUMO!$D$9</f>
        <v>R3</v>
      </c>
      <c r="E9" s="25" t="s">
        <v>872</v>
      </c>
      <c r="F9" s="27">
        <f>RESUMO!$F$9</f>
        <v>0.6984999999999999</v>
      </c>
    </row>
    <row r="10" spans="1:7" ht="5.15" customHeight="1">
      <c r="A10" s="28"/>
      <c r="B10" s="28"/>
      <c r="C10" s="28"/>
      <c r="D10" s="28"/>
      <c r="E10" s="28"/>
      <c r="F10" s="28"/>
    </row>
    <row r="11" spans="1:7" s="31" customFormat="1" ht="15" customHeight="1">
      <c r="A11" s="29" t="s">
        <v>642</v>
      </c>
      <c r="B11" s="30" t="s">
        <v>3</v>
      </c>
      <c r="C11" s="457" t="s">
        <v>664</v>
      </c>
      <c r="D11" s="457"/>
      <c r="E11" s="457" t="s">
        <v>665</v>
      </c>
      <c r="F11" s="457"/>
    </row>
    <row r="12" spans="1:7" s="31" customFormat="1" ht="5.15" customHeight="1">
      <c r="A12" s="32"/>
      <c r="B12" s="33" t="s">
        <v>0</v>
      </c>
      <c r="C12" s="33"/>
      <c r="D12" s="34"/>
      <c r="E12" s="35"/>
      <c r="F12" s="34"/>
    </row>
    <row r="13" spans="1:7" s="31" customFormat="1" ht="15" customHeight="1">
      <c r="A13" s="36" t="s">
        <v>647</v>
      </c>
      <c r="B13" s="458" t="s">
        <v>666</v>
      </c>
      <c r="C13" s="459"/>
      <c r="D13" s="459"/>
      <c r="E13" s="459"/>
      <c r="F13" s="460"/>
      <c r="G13" s="34"/>
    </row>
    <row r="14" spans="1:7" s="31" customFormat="1" ht="15" customHeight="1">
      <c r="A14" s="37" t="s">
        <v>649</v>
      </c>
      <c r="B14" s="326" t="s">
        <v>667</v>
      </c>
      <c r="C14" s="451">
        <v>20</v>
      </c>
      <c r="D14" s="451"/>
      <c r="E14" s="452">
        <v>20</v>
      </c>
      <c r="F14" s="452"/>
      <c r="G14" s="34"/>
    </row>
    <row r="15" spans="1:7" s="31" customFormat="1" ht="15" customHeight="1">
      <c r="A15" s="37" t="s">
        <v>651</v>
      </c>
      <c r="B15" s="327" t="s">
        <v>668</v>
      </c>
      <c r="C15" s="453">
        <v>1.5</v>
      </c>
      <c r="D15" s="453"/>
      <c r="E15" s="454">
        <v>1.5</v>
      </c>
      <c r="F15" s="454"/>
      <c r="G15" s="34"/>
    </row>
    <row r="16" spans="1:7" s="31" customFormat="1" ht="15" customHeight="1">
      <c r="A16" s="37" t="s">
        <v>653</v>
      </c>
      <c r="B16" s="327" t="s">
        <v>669</v>
      </c>
      <c r="C16" s="453">
        <v>1</v>
      </c>
      <c r="D16" s="453"/>
      <c r="E16" s="454">
        <v>1</v>
      </c>
      <c r="F16" s="454"/>
      <c r="G16" s="34"/>
    </row>
    <row r="17" spans="1:7" s="31" customFormat="1" ht="15" customHeight="1">
      <c r="A17" s="37" t="s">
        <v>655</v>
      </c>
      <c r="B17" s="327" t="s">
        <v>670</v>
      </c>
      <c r="C17" s="453">
        <v>0.2</v>
      </c>
      <c r="D17" s="453"/>
      <c r="E17" s="454">
        <v>0.2</v>
      </c>
      <c r="F17" s="454"/>
      <c r="G17" s="34"/>
    </row>
    <row r="18" spans="1:7" s="31" customFormat="1" ht="15" customHeight="1">
      <c r="A18" s="37" t="s">
        <v>671</v>
      </c>
      <c r="B18" s="327" t="s">
        <v>672</v>
      </c>
      <c r="C18" s="453">
        <v>0.6</v>
      </c>
      <c r="D18" s="453"/>
      <c r="E18" s="454">
        <v>0.6</v>
      </c>
      <c r="F18" s="454"/>
      <c r="G18" s="34"/>
    </row>
    <row r="19" spans="1:7" s="31" customFormat="1" ht="15" customHeight="1">
      <c r="A19" s="37" t="s">
        <v>673</v>
      </c>
      <c r="B19" s="327" t="s">
        <v>674</v>
      </c>
      <c r="C19" s="453">
        <v>2.5</v>
      </c>
      <c r="D19" s="453"/>
      <c r="E19" s="454">
        <v>2.5</v>
      </c>
      <c r="F19" s="454"/>
      <c r="G19" s="34"/>
    </row>
    <row r="20" spans="1:7" s="31" customFormat="1" ht="15" customHeight="1">
      <c r="A20" s="37" t="s">
        <v>675</v>
      </c>
      <c r="B20" s="327" t="s">
        <v>676</v>
      </c>
      <c r="C20" s="453">
        <v>3</v>
      </c>
      <c r="D20" s="453"/>
      <c r="E20" s="454">
        <v>3</v>
      </c>
      <c r="F20" s="454"/>
      <c r="G20" s="34"/>
    </row>
    <row r="21" spans="1:7" s="31" customFormat="1" ht="15" customHeight="1">
      <c r="A21" s="37" t="s">
        <v>677</v>
      </c>
      <c r="B21" s="327" t="s">
        <v>678</v>
      </c>
      <c r="C21" s="453">
        <v>8</v>
      </c>
      <c r="D21" s="453"/>
      <c r="E21" s="454">
        <v>8</v>
      </c>
      <c r="F21" s="454"/>
      <c r="G21" s="34"/>
    </row>
    <row r="22" spans="1:7" s="31" customFormat="1" ht="15" customHeight="1">
      <c r="A22" s="38" t="s">
        <v>679</v>
      </c>
      <c r="B22" s="327" t="s">
        <v>680</v>
      </c>
      <c r="C22" s="453">
        <v>0</v>
      </c>
      <c r="D22" s="453"/>
      <c r="E22" s="454">
        <v>0</v>
      </c>
      <c r="F22" s="454"/>
      <c r="G22" s="34"/>
    </row>
    <row r="23" spans="1:7" s="31" customFormat="1" ht="15" customHeight="1">
      <c r="A23" s="39"/>
      <c r="B23" s="40" t="s">
        <v>246</v>
      </c>
      <c r="C23" s="456">
        <f>SUM(C14:D22)</f>
        <v>36.799999999999997</v>
      </c>
      <c r="D23" s="456"/>
      <c r="E23" s="456">
        <f>SUM(E14:F22)</f>
        <v>36.799999999999997</v>
      </c>
      <c r="F23" s="456"/>
      <c r="G23" s="34"/>
    </row>
    <row r="24" spans="1:7" s="31" customFormat="1" ht="5.15" customHeight="1">
      <c r="A24" s="32"/>
      <c r="B24" s="33" t="s">
        <v>0</v>
      </c>
      <c r="C24" s="33"/>
      <c r="D24" s="11"/>
      <c r="E24" s="52"/>
      <c r="F24" s="11"/>
    </row>
    <row r="25" spans="1:7" s="31" customFormat="1" ht="15" customHeight="1">
      <c r="A25" s="36" t="s">
        <v>643</v>
      </c>
      <c r="B25" s="446" t="s">
        <v>681</v>
      </c>
      <c r="C25" s="447"/>
      <c r="D25" s="447"/>
      <c r="E25" s="447"/>
      <c r="F25" s="448"/>
    </row>
    <row r="26" spans="1:7" s="31" customFormat="1" ht="15" customHeight="1">
      <c r="A26" s="37" t="s">
        <v>645</v>
      </c>
      <c r="B26" s="326" t="s">
        <v>682</v>
      </c>
      <c r="C26" s="451">
        <v>18.02</v>
      </c>
      <c r="D26" s="451"/>
      <c r="E26" s="452">
        <v>0</v>
      </c>
      <c r="F26" s="452"/>
      <c r="G26" s="34"/>
    </row>
    <row r="27" spans="1:7" s="31" customFormat="1" ht="15" customHeight="1">
      <c r="A27" s="37" t="s">
        <v>683</v>
      </c>
      <c r="B27" s="327" t="s">
        <v>684</v>
      </c>
      <c r="C27" s="453">
        <v>4.3099999999999996</v>
      </c>
      <c r="D27" s="453"/>
      <c r="E27" s="454">
        <v>0</v>
      </c>
      <c r="F27" s="454"/>
      <c r="G27" s="34"/>
    </row>
    <row r="28" spans="1:7" s="31" customFormat="1" ht="15" customHeight="1">
      <c r="A28" s="37" t="s">
        <v>685</v>
      </c>
      <c r="B28" s="327" t="s">
        <v>686</v>
      </c>
      <c r="C28" s="453">
        <v>0.86</v>
      </c>
      <c r="D28" s="453"/>
      <c r="E28" s="454">
        <v>0.65</v>
      </c>
      <c r="F28" s="454"/>
      <c r="G28" s="34"/>
    </row>
    <row r="29" spans="1:7" s="31" customFormat="1" ht="15" customHeight="1">
      <c r="A29" s="37" t="s">
        <v>687</v>
      </c>
      <c r="B29" s="327" t="s">
        <v>688</v>
      </c>
      <c r="C29" s="453">
        <v>10.96</v>
      </c>
      <c r="D29" s="453"/>
      <c r="E29" s="454">
        <v>8.33</v>
      </c>
      <c r="F29" s="454"/>
      <c r="G29" s="34"/>
    </row>
    <row r="30" spans="1:7" s="31" customFormat="1" ht="15" customHeight="1">
      <c r="A30" s="37" t="s">
        <v>689</v>
      </c>
      <c r="B30" s="327" t="s">
        <v>690</v>
      </c>
      <c r="C30" s="453">
        <v>7.0000000000000007E-2</v>
      </c>
      <c r="D30" s="453"/>
      <c r="E30" s="454">
        <v>0.05</v>
      </c>
      <c r="F30" s="454"/>
      <c r="G30" s="34"/>
    </row>
    <row r="31" spans="1:7" s="31" customFormat="1" ht="15" customHeight="1">
      <c r="A31" s="37" t="s">
        <v>691</v>
      </c>
      <c r="B31" s="327" t="s">
        <v>692</v>
      </c>
      <c r="C31" s="453">
        <v>0.73</v>
      </c>
      <c r="D31" s="453"/>
      <c r="E31" s="454">
        <v>0.56000000000000005</v>
      </c>
      <c r="F31" s="454"/>
      <c r="G31" s="34"/>
    </row>
    <row r="32" spans="1:7" s="31" customFormat="1" ht="15" customHeight="1">
      <c r="A32" s="37" t="s">
        <v>693</v>
      </c>
      <c r="B32" s="327" t="s">
        <v>694</v>
      </c>
      <c r="C32" s="453">
        <v>2.04</v>
      </c>
      <c r="D32" s="453"/>
      <c r="E32" s="454">
        <v>0</v>
      </c>
      <c r="F32" s="454"/>
      <c r="G32" s="34"/>
    </row>
    <row r="33" spans="1:7" s="31" customFormat="1" ht="15" customHeight="1">
      <c r="A33" s="37" t="s">
        <v>695</v>
      </c>
      <c r="B33" s="327" t="s">
        <v>696</v>
      </c>
      <c r="C33" s="453">
        <v>0.1</v>
      </c>
      <c r="D33" s="453"/>
      <c r="E33" s="454">
        <v>7.0000000000000007E-2</v>
      </c>
      <c r="F33" s="454"/>
      <c r="G33" s="34"/>
    </row>
    <row r="34" spans="1:7" s="31" customFormat="1" ht="15" customHeight="1">
      <c r="A34" s="37" t="s">
        <v>697</v>
      </c>
      <c r="B34" s="327" t="s">
        <v>698</v>
      </c>
      <c r="C34" s="453">
        <v>9.76</v>
      </c>
      <c r="D34" s="453"/>
      <c r="E34" s="454">
        <v>7.42</v>
      </c>
      <c r="F34" s="454"/>
      <c r="G34" s="34"/>
    </row>
    <row r="35" spans="1:7" s="31" customFormat="1" ht="15" customHeight="1">
      <c r="A35" s="38" t="s">
        <v>699</v>
      </c>
      <c r="B35" s="327" t="s">
        <v>700</v>
      </c>
      <c r="C35" s="453">
        <v>0.03</v>
      </c>
      <c r="D35" s="453"/>
      <c r="E35" s="454">
        <v>0.03</v>
      </c>
      <c r="F35" s="454"/>
      <c r="G35" s="34"/>
    </row>
    <row r="36" spans="1:7" s="31" customFormat="1" ht="15" customHeight="1">
      <c r="A36" s="39"/>
      <c r="B36" s="40" t="s">
        <v>246</v>
      </c>
      <c r="C36" s="456">
        <f>SUM(C26:D35)</f>
        <v>46.879999999999995</v>
      </c>
      <c r="D36" s="456"/>
      <c r="E36" s="456">
        <f>SUM(E26:F35)</f>
        <v>17.110000000000003</v>
      </c>
      <c r="F36" s="456"/>
      <c r="G36" s="34"/>
    </row>
    <row r="37" spans="1:7" s="31" customFormat="1" ht="5.15" customHeight="1">
      <c r="A37" s="32"/>
      <c r="B37" s="33" t="s">
        <v>0</v>
      </c>
      <c r="C37" s="33"/>
      <c r="D37" s="44"/>
      <c r="E37" s="72"/>
      <c r="F37" s="44"/>
    </row>
    <row r="38" spans="1:7" s="31" customFormat="1" ht="15" customHeight="1">
      <c r="A38" s="36" t="s">
        <v>657</v>
      </c>
      <c r="B38" s="446" t="s">
        <v>701</v>
      </c>
      <c r="C38" s="447"/>
      <c r="D38" s="447"/>
      <c r="E38" s="447"/>
      <c r="F38" s="448"/>
      <c r="G38" s="34"/>
    </row>
    <row r="39" spans="1:7" s="31" customFormat="1" ht="15" customHeight="1">
      <c r="A39" s="37" t="s">
        <v>659</v>
      </c>
      <c r="B39" s="326" t="s">
        <v>702</v>
      </c>
      <c r="C39" s="451">
        <v>4.53</v>
      </c>
      <c r="D39" s="451"/>
      <c r="E39" s="452">
        <v>3.45</v>
      </c>
      <c r="F39" s="452"/>
      <c r="G39" s="34"/>
    </row>
    <row r="40" spans="1:7" s="31" customFormat="1" ht="15" customHeight="1">
      <c r="A40" s="37" t="s">
        <v>661</v>
      </c>
      <c r="B40" s="327" t="s">
        <v>703</v>
      </c>
      <c r="C40" s="453">
        <v>0.11</v>
      </c>
      <c r="D40" s="453"/>
      <c r="E40" s="454">
        <v>0.08</v>
      </c>
      <c r="F40" s="454"/>
      <c r="G40" s="34"/>
    </row>
    <row r="41" spans="1:7" s="31" customFormat="1" ht="15" customHeight="1">
      <c r="A41" s="37" t="s">
        <v>663</v>
      </c>
      <c r="B41" s="327" t="s">
        <v>704</v>
      </c>
      <c r="C41" s="453">
        <v>4.29</v>
      </c>
      <c r="D41" s="453"/>
      <c r="E41" s="454">
        <v>3.26</v>
      </c>
      <c r="F41" s="454"/>
      <c r="G41" s="34"/>
    </row>
    <row r="42" spans="1:7" s="31" customFormat="1" ht="15" customHeight="1">
      <c r="A42" s="37" t="s">
        <v>705</v>
      </c>
      <c r="B42" s="327" t="s">
        <v>706</v>
      </c>
      <c r="C42" s="453">
        <v>2.96</v>
      </c>
      <c r="D42" s="453"/>
      <c r="E42" s="454">
        <v>2.25</v>
      </c>
      <c r="F42" s="454"/>
      <c r="G42" s="34"/>
    </row>
    <row r="43" spans="1:7" s="31" customFormat="1" ht="15" customHeight="1">
      <c r="A43" s="38" t="s">
        <v>707</v>
      </c>
      <c r="B43" s="327" t="s">
        <v>708</v>
      </c>
      <c r="C43" s="453">
        <v>0.38</v>
      </c>
      <c r="D43" s="453"/>
      <c r="E43" s="454">
        <v>0.28999999999999998</v>
      </c>
      <c r="F43" s="454"/>
      <c r="G43" s="34"/>
    </row>
    <row r="44" spans="1:7" s="31" customFormat="1" ht="15" customHeight="1">
      <c r="A44" s="39"/>
      <c r="B44" s="40" t="s">
        <v>246</v>
      </c>
      <c r="C44" s="456">
        <f>SUM(C39:D43)</f>
        <v>12.270000000000001</v>
      </c>
      <c r="D44" s="456"/>
      <c r="E44" s="456">
        <f>SUM(E39:F43)</f>
        <v>9.3299999999999983</v>
      </c>
      <c r="F44" s="456"/>
      <c r="G44" s="34"/>
    </row>
    <row r="45" spans="1:7" s="31" customFormat="1" ht="5.15" customHeight="1">
      <c r="A45" s="32"/>
      <c r="B45" s="33" t="s">
        <v>0</v>
      </c>
      <c r="C45" s="33"/>
      <c r="D45" s="44"/>
      <c r="E45" s="72"/>
      <c r="F45" s="44"/>
    </row>
    <row r="46" spans="1:7" s="31" customFormat="1" ht="15" customHeight="1">
      <c r="A46" s="36" t="s">
        <v>709</v>
      </c>
      <c r="B46" s="446" t="s">
        <v>710</v>
      </c>
      <c r="C46" s="447"/>
      <c r="D46" s="447"/>
      <c r="E46" s="447"/>
      <c r="F46" s="448"/>
      <c r="G46" s="34"/>
    </row>
    <row r="47" spans="1:7" s="31" customFormat="1" ht="15" customHeight="1">
      <c r="A47" s="37" t="s">
        <v>711</v>
      </c>
      <c r="B47" s="326" t="s">
        <v>712</v>
      </c>
      <c r="C47" s="451">
        <v>17.25</v>
      </c>
      <c r="D47" s="451"/>
      <c r="E47" s="452">
        <v>6.3</v>
      </c>
      <c r="F47" s="452"/>
      <c r="G47" s="34"/>
    </row>
    <row r="48" spans="1:7" s="31" customFormat="1" ht="20">
      <c r="A48" s="38" t="s">
        <v>713</v>
      </c>
      <c r="B48" s="327" t="s">
        <v>714</v>
      </c>
      <c r="C48" s="453">
        <v>0.4</v>
      </c>
      <c r="D48" s="453"/>
      <c r="E48" s="454">
        <v>0.31</v>
      </c>
      <c r="F48" s="454"/>
      <c r="G48" s="34"/>
    </row>
    <row r="49" spans="1:7" s="31" customFormat="1" ht="15" customHeight="1">
      <c r="A49" s="39"/>
      <c r="B49" s="40" t="s">
        <v>246</v>
      </c>
      <c r="C49" s="455">
        <f>SUM(C47:D48)</f>
        <v>17.649999999999999</v>
      </c>
      <c r="D49" s="455"/>
      <c r="E49" s="455">
        <f>SUM(E47:F48)</f>
        <v>6.6099999999999994</v>
      </c>
      <c r="F49" s="455"/>
      <c r="G49" s="34"/>
    </row>
    <row r="50" spans="1:7" s="31" customFormat="1" ht="5.15" customHeight="1">
      <c r="A50" s="32"/>
      <c r="B50" s="33" t="s">
        <v>0</v>
      </c>
      <c r="C50" s="33"/>
      <c r="D50" s="32"/>
      <c r="E50" s="32"/>
    </row>
    <row r="51" spans="1:7" s="31" customFormat="1" ht="25" customHeight="1">
      <c r="A51" s="450" t="s">
        <v>715</v>
      </c>
      <c r="B51" s="450"/>
      <c r="C51" s="449">
        <f>SUM(C44,C36,C23,C49)</f>
        <v>113.6</v>
      </c>
      <c r="D51" s="449"/>
      <c r="E51" s="449">
        <f>SUM(E44,E36,E23,E49)</f>
        <v>69.849999999999994</v>
      </c>
      <c r="F51" s="449"/>
    </row>
    <row r="52" spans="1:7" s="31" customFormat="1" ht="15" customHeight="1"/>
  </sheetData>
  <mergeCells count="69">
    <mergeCell ref="C11:D11"/>
    <mergeCell ref="E11:F11"/>
    <mergeCell ref="C14:D14"/>
    <mergeCell ref="E14:F14"/>
    <mergeCell ref="C15:D15"/>
    <mergeCell ref="E15:F15"/>
    <mergeCell ref="B13:F13"/>
    <mergeCell ref="C16:D16"/>
    <mergeCell ref="E16:F16"/>
    <mergeCell ref="C17:D17"/>
    <mergeCell ref="E17:F17"/>
    <mergeCell ref="C18:D18"/>
    <mergeCell ref="E18:F18"/>
    <mergeCell ref="C19:D19"/>
    <mergeCell ref="E19:F19"/>
    <mergeCell ref="C23:D23"/>
    <mergeCell ref="E23:F23"/>
    <mergeCell ref="C26:D26"/>
    <mergeCell ref="E26:F26"/>
    <mergeCell ref="C20:D20"/>
    <mergeCell ref="E20:F20"/>
    <mergeCell ref="C21:D21"/>
    <mergeCell ref="E21:F21"/>
    <mergeCell ref="C22:D22"/>
    <mergeCell ref="E22:F22"/>
    <mergeCell ref="B25:F25"/>
    <mergeCell ref="C27:D27"/>
    <mergeCell ref="E27:F27"/>
    <mergeCell ref="C28:D28"/>
    <mergeCell ref="E28:F28"/>
    <mergeCell ref="C29:D29"/>
    <mergeCell ref="E29:F29"/>
    <mergeCell ref="C30:D30"/>
    <mergeCell ref="E30:F30"/>
    <mergeCell ref="C31:D31"/>
    <mergeCell ref="E31:F31"/>
    <mergeCell ref="C32:D32"/>
    <mergeCell ref="E32:F32"/>
    <mergeCell ref="C36:D36"/>
    <mergeCell ref="E36:F36"/>
    <mergeCell ref="C39:D39"/>
    <mergeCell ref="E39:F39"/>
    <mergeCell ref="C33:D33"/>
    <mergeCell ref="E33:F33"/>
    <mergeCell ref="C34:D34"/>
    <mergeCell ref="E34:F34"/>
    <mergeCell ref="C35:D35"/>
    <mergeCell ref="E35:F35"/>
    <mergeCell ref="B38:F38"/>
    <mergeCell ref="E44:F44"/>
    <mergeCell ref="C40:D40"/>
    <mergeCell ref="E40:F40"/>
    <mergeCell ref="C41:D41"/>
    <mergeCell ref="E41:F41"/>
    <mergeCell ref="C42:D42"/>
    <mergeCell ref="E42:F42"/>
    <mergeCell ref="C43:D43"/>
    <mergeCell ref="E43:F43"/>
    <mergeCell ref="C44:D44"/>
    <mergeCell ref="B46:F46"/>
    <mergeCell ref="E51:F51"/>
    <mergeCell ref="C51:D51"/>
    <mergeCell ref="A51:B51"/>
    <mergeCell ref="C47:D47"/>
    <mergeCell ref="E47:F47"/>
    <mergeCell ref="C48:D48"/>
    <mergeCell ref="E48:F48"/>
    <mergeCell ref="C49:D49"/>
    <mergeCell ref="E49:F49"/>
  </mergeCells>
  <conditionalFormatting sqref="D5:D9">
    <cfRule type="cellIs" dxfId="4" priority="2" operator="equal">
      <formula>0</formula>
    </cfRule>
  </conditionalFormatting>
  <conditionalFormatting sqref="E5:E9">
    <cfRule type="cellIs" dxfId="3" priority="1" operator="equal">
      <formula>0</formula>
    </cfRule>
  </conditionalFormatting>
  <pageMargins left="0.51181102362204722" right="0.51181102362204722" top="0.51181102362204722" bottom="0.70866141732283472" header="0" footer="0.19685039370078741"/>
  <pageSetup paperSize="9" scale="91" orientation="portrait" r:id="rId1"/>
  <headerFooter>
    <oddFooter>&amp;L&amp;9&amp;A&amp;R&amp;9Página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outlinePr summaryBelow="0"/>
  </sheetPr>
  <dimension ref="A1:M194"/>
  <sheetViews>
    <sheetView tabSelected="1" view="pageBreakPreview" topLeftCell="A65" zoomScale="70" zoomScaleNormal="100" zoomScaleSheetLayoutView="70" workbookViewId="0">
      <selection activeCell="D67" sqref="D67"/>
    </sheetView>
  </sheetViews>
  <sheetFormatPr defaultColWidth="9.1640625" defaultRowHeight="14"/>
  <cols>
    <col min="1" max="1" width="7.1640625" style="12" customWidth="1"/>
    <col min="2" max="2" width="10.25" style="12" customWidth="1"/>
    <col min="3" max="3" width="46.83203125" style="12" customWidth="1"/>
    <col min="4" max="4" width="9.25" style="12" customWidth="1"/>
    <col min="5" max="5" width="9.75" style="12" customWidth="1"/>
    <col min="6" max="6" width="8.58203125" style="12" customWidth="1"/>
    <col min="7" max="7" width="8.75" style="12" customWidth="1"/>
    <col min="8" max="8" width="7.75" style="12" customWidth="1"/>
    <col min="9" max="9" width="7.25" style="12" customWidth="1"/>
    <col min="10" max="10" width="9.75" style="12" customWidth="1"/>
    <col min="11" max="11" width="9.75" style="79" customWidth="1"/>
    <col min="12" max="12" width="10.25" style="12" bestFit="1" customWidth="1"/>
    <col min="13" max="13" width="13.25" style="12" bestFit="1" customWidth="1"/>
    <col min="14" max="16384" width="9.1640625" style="12"/>
  </cols>
  <sheetData>
    <row r="1" spans="1:12" ht="50.15" customHeight="1"/>
    <row r="2" spans="1:12" ht="25" customHeight="1">
      <c r="A2" s="8" t="s">
        <v>1322</v>
      </c>
      <c r="B2" s="8"/>
      <c r="C2" s="8"/>
      <c r="D2" s="8"/>
      <c r="E2" s="8"/>
      <c r="F2" s="8"/>
      <c r="G2" s="8"/>
      <c r="H2" s="9"/>
      <c r="I2" s="9"/>
      <c r="J2" s="9"/>
      <c r="K2" s="80"/>
    </row>
    <row r="3" spans="1:12" ht="5.15" customHeight="1">
      <c r="A3" s="11"/>
      <c r="B3" s="11"/>
      <c r="C3" s="11"/>
      <c r="D3" s="11"/>
      <c r="E3" s="11"/>
      <c r="F3" s="11"/>
      <c r="G3" s="11"/>
    </row>
    <row r="4" spans="1:12" s="11" customFormat="1" ht="15" customHeight="1">
      <c r="A4" s="14" t="s">
        <v>858</v>
      </c>
      <c r="B4" s="15" t="str">
        <f>RESUMO!B4</f>
        <v>MODERNIZAÇÃO DA SUBESTAÇÃO DE ENERGIA ELÉTRICA DA SEDE DA JUSTIÇA FEDERAL NA PARAIBA</v>
      </c>
      <c r="C4" s="15"/>
      <c r="D4" s="15"/>
      <c r="E4" s="15"/>
      <c r="F4" s="15"/>
      <c r="G4" s="15"/>
      <c r="H4" s="15"/>
      <c r="I4" s="15"/>
      <c r="J4" s="15"/>
      <c r="K4" s="81"/>
    </row>
    <row r="5" spans="1:12" s="11" customFormat="1" ht="15" customHeight="1">
      <c r="A5" s="17" t="s">
        <v>863</v>
      </c>
      <c r="B5" s="41" t="str">
        <f>RESUMO!B5</f>
        <v>R3 - 15/04/2025</v>
      </c>
      <c r="C5" s="41"/>
      <c r="D5" s="41"/>
      <c r="E5" s="41"/>
      <c r="F5" s="41"/>
      <c r="G5" s="18"/>
      <c r="H5" s="17" t="s">
        <v>874</v>
      </c>
      <c r="I5" s="19"/>
      <c r="J5" s="17" t="s">
        <v>869</v>
      </c>
      <c r="K5" s="20">
        <f>RESUMO!$F$5</f>
        <v>45762</v>
      </c>
    </row>
    <row r="6" spans="1:12" s="11" customFormat="1" ht="15" customHeight="1">
      <c r="A6" s="21" t="s">
        <v>859</v>
      </c>
      <c r="B6" s="44" t="str">
        <f>RESUMO!B6</f>
        <v>RUA JOÃO TEIXEIRA DE CARVALHO, 480, PEDRO GONDIM, JOÃO PESSOA/PB</v>
      </c>
      <c r="C6" s="44"/>
      <c r="D6" s="44"/>
      <c r="E6" s="44"/>
      <c r="F6" s="44"/>
      <c r="G6" s="22"/>
      <c r="H6" s="23" t="str">
        <f>RESUMO!$C$6</f>
        <v>SINAPI</v>
      </c>
      <c r="I6" s="24" t="str">
        <f>RESUMO!$D$6</f>
        <v>2025/02</v>
      </c>
      <c r="J6" s="21" t="s">
        <v>1308</v>
      </c>
      <c r="K6" s="24">
        <f>RESUMO!$F$6</f>
        <v>0.23530000000000001</v>
      </c>
    </row>
    <row r="7" spans="1:12" s="11" customFormat="1" ht="15" customHeight="1">
      <c r="A7" s="21" t="s">
        <v>860</v>
      </c>
      <c r="B7" s="44" t="str">
        <f>RESUMO!B7</f>
        <v>JUSTIÇA FEDERAL NA PARAÍBA</v>
      </c>
      <c r="C7" s="44"/>
      <c r="D7" s="44"/>
      <c r="E7" s="44"/>
      <c r="F7" s="44"/>
      <c r="G7" s="22"/>
      <c r="H7" s="23" t="str">
        <f>RESUMO!$C$7</f>
        <v>SICRO</v>
      </c>
      <c r="I7" s="24" t="str">
        <f>RESUMO!$D$7</f>
        <v>2025/01</v>
      </c>
      <c r="J7" s="21" t="s">
        <v>870</v>
      </c>
      <c r="K7" s="24">
        <f>RESUMO!$F$7</f>
        <v>0.1527</v>
      </c>
    </row>
    <row r="8" spans="1:12" s="11" customFormat="1" ht="15" customHeight="1">
      <c r="A8" s="21" t="s">
        <v>868</v>
      </c>
      <c r="B8" s="44" t="str">
        <f>RESUMO!B8</f>
        <v>MAYRTHON PAULO COSTA JUNIOR</v>
      </c>
      <c r="C8" s="44"/>
      <c r="D8" s="44"/>
      <c r="E8" s="44"/>
      <c r="F8" s="44"/>
      <c r="G8" s="22"/>
      <c r="H8" s="23" t="str">
        <f>RESUMO!$C$8</f>
        <v>-</v>
      </c>
      <c r="I8" s="24">
        <f>RESUMO!$D$8</f>
        <v>0</v>
      </c>
      <c r="J8" s="21" t="s">
        <v>871</v>
      </c>
      <c r="K8" s="24">
        <f>RESUMO!$F$8</f>
        <v>1.1359999999999999</v>
      </c>
    </row>
    <row r="9" spans="1:12" s="11" customFormat="1" ht="15" customHeight="1">
      <c r="A9" s="25" t="s">
        <v>861</v>
      </c>
      <c r="B9" s="47" t="str">
        <f>RESUMO!B9</f>
        <v>ENGENHEIRO ELETRICISTA - CREA 060191712-0</v>
      </c>
      <c r="C9" s="47"/>
      <c r="D9" s="47"/>
      <c r="E9" s="47"/>
      <c r="F9" s="47"/>
      <c r="G9" s="26"/>
      <c r="H9" s="25" t="s">
        <v>863</v>
      </c>
      <c r="I9" s="27" t="str">
        <f>RESUMO!$D$9</f>
        <v>R3</v>
      </c>
      <c r="J9" s="25" t="s">
        <v>872</v>
      </c>
      <c r="K9" s="27">
        <f>RESUMO!$F$9</f>
        <v>0.6984999999999999</v>
      </c>
    </row>
    <row r="10" spans="1:12" ht="5.15" customHeight="1">
      <c r="A10" s="82"/>
      <c r="B10" s="1" t="s">
        <v>0</v>
      </c>
      <c r="C10" s="1"/>
      <c r="D10" s="1"/>
      <c r="E10" s="1"/>
      <c r="F10" s="1"/>
      <c r="G10" s="1"/>
      <c r="H10" s="1"/>
      <c r="I10" s="1"/>
      <c r="J10" s="82"/>
    </row>
    <row r="11" spans="1:12" ht="22" customHeight="1">
      <c r="A11" s="83" t="s">
        <v>1</v>
      </c>
      <c r="B11" s="83" t="s">
        <v>2</v>
      </c>
      <c r="C11" s="83" t="s">
        <v>3</v>
      </c>
      <c r="D11" s="83" t="s">
        <v>4</v>
      </c>
      <c r="E11" s="83" t="s">
        <v>1306</v>
      </c>
      <c r="F11" s="83" t="s">
        <v>5</v>
      </c>
      <c r="G11" s="83" t="s">
        <v>1323</v>
      </c>
      <c r="H11" s="83"/>
      <c r="I11" s="83"/>
      <c r="J11" s="83"/>
      <c r="K11" s="84"/>
    </row>
    <row r="12" spans="1:12">
      <c r="A12" s="85" t="s">
        <v>8</v>
      </c>
      <c r="B12" s="86" t="s">
        <v>9</v>
      </c>
      <c r="C12" s="86"/>
      <c r="D12" s="86"/>
      <c r="E12" s="86"/>
      <c r="F12" s="86"/>
      <c r="G12" s="85"/>
      <c r="H12" s="85"/>
      <c r="I12" s="85"/>
      <c r="J12" s="87"/>
      <c r="K12" s="88"/>
    </row>
    <row r="13" spans="1:12" ht="30">
      <c r="A13" s="89" t="s">
        <v>10</v>
      </c>
      <c r="B13" s="90" t="s">
        <v>11</v>
      </c>
      <c r="C13" s="91" t="s">
        <v>12</v>
      </c>
      <c r="D13" s="90" t="s">
        <v>13</v>
      </c>
      <c r="E13" s="90" t="s">
        <v>1309</v>
      </c>
      <c r="F13" s="90" t="s">
        <v>14</v>
      </c>
      <c r="G13" s="92">
        <v>1</v>
      </c>
      <c r="H13" s="93"/>
      <c r="I13" s="93"/>
      <c r="J13" s="94"/>
      <c r="K13" s="88"/>
      <c r="L13" s="95"/>
    </row>
    <row r="14" spans="1:12" s="103" customFormat="1">
      <c r="A14" s="96"/>
      <c r="B14" s="97"/>
      <c r="C14" s="98" t="s">
        <v>1324</v>
      </c>
      <c r="D14" s="97"/>
      <c r="E14" s="97"/>
      <c r="F14" s="97"/>
      <c r="G14" s="99"/>
      <c r="H14" s="99"/>
      <c r="I14" s="99"/>
      <c r="J14" s="100"/>
      <c r="K14" s="101"/>
      <c r="L14" s="102"/>
    </row>
    <row r="15" spans="1:12" s="110" customFormat="1">
      <c r="A15" s="89"/>
      <c r="B15" s="104"/>
      <c r="C15" s="105"/>
      <c r="D15" s="104"/>
      <c r="E15" s="104"/>
      <c r="F15" s="104"/>
      <c r="G15" s="106"/>
      <c r="H15" s="106"/>
      <c r="I15" s="106"/>
      <c r="J15" s="107"/>
      <c r="K15" s="108"/>
      <c r="L15" s="109"/>
    </row>
    <row r="16" spans="1:12">
      <c r="A16" s="85" t="s">
        <v>15</v>
      </c>
      <c r="B16" s="86" t="s">
        <v>16</v>
      </c>
      <c r="C16" s="86"/>
      <c r="D16" s="86"/>
      <c r="E16" s="86"/>
      <c r="F16" s="86"/>
      <c r="G16" s="85"/>
      <c r="H16" s="93"/>
      <c r="I16" s="93"/>
      <c r="J16" s="87"/>
      <c r="K16" s="88"/>
    </row>
    <row r="17" spans="1:11">
      <c r="A17" s="85" t="s">
        <v>17</v>
      </c>
      <c r="B17" s="86" t="s">
        <v>18</v>
      </c>
      <c r="C17" s="86"/>
      <c r="D17" s="86"/>
      <c r="E17" s="86"/>
      <c r="F17" s="86"/>
      <c r="G17" s="85"/>
      <c r="H17" s="93"/>
      <c r="I17" s="93"/>
      <c r="J17" s="87"/>
      <c r="K17" s="88"/>
    </row>
    <row r="18" spans="1:11" ht="20">
      <c r="A18" s="89" t="s">
        <v>19</v>
      </c>
      <c r="B18" s="90" t="s">
        <v>20</v>
      </c>
      <c r="C18" s="91" t="s">
        <v>21</v>
      </c>
      <c r="D18" s="90" t="s">
        <v>13</v>
      </c>
      <c r="E18" s="90" t="s">
        <v>1309</v>
      </c>
      <c r="F18" s="90" t="s">
        <v>14</v>
      </c>
      <c r="G18" s="92">
        <v>1</v>
      </c>
      <c r="H18" s="93"/>
      <c r="I18" s="93"/>
      <c r="J18" s="94"/>
      <c r="K18" s="88"/>
    </row>
    <row r="19" spans="1:11" ht="30">
      <c r="A19" s="89"/>
      <c r="B19" s="90"/>
      <c r="C19" s="98" t="s">
        <v>1325</v>
      </c>
      <c r="D19" s="90"/>
      <c r="E19" s="90"/>
      <c r="F19" s="90"/>
      <c r="G19" s="93"/>
      <c r="H19" s="93"/>
      <c r="I19" s="93"/>
      <c r="J19" s="94"/>
      <c r="K19" s="88"/>
    </row>
    <row r="20" spans="1:11">
      <c r="A20" s="89"/>
      <c r="B20" s="90"/>
      <c r="C20" s="91"/>
      <c r="D20" s="90"/>
      <c r="E20" s="90"/>
      <c r="F20" s="90"/>
      <c r="G20" s="93"/>
      <c r="H20" s="93"/>
      <c r="I20" s="93"/>
      <c r="J20" s="94"/>
      <c r="K20" s="88"/>
    </row>
    <row r="21" spans="1:11">
      <c r="A21" s="85" t="s">
        <v>22</v>
      </c>
      <c r="B21" s="86" t="s">
        <v>23</v>
      </c>
      <c r="C21" s="86"/>
      <c r="D21" s="86"/>
      <c r="E21" s="86"/>
      <c r="F21" s="86"/>
      <c r="G21" s="85"/>
      <c r="H21" s="93"/>
      <c r="I21" s="93"/>
      <c r="J21" s="87"/>
      <c r="K21" s="88"/>
    </row>
    <row r="22" spans="1:11" ht="20">
      <c r="A22" s="89" t="s">
        <v>24</v>
      </c>
      <c r="B22" s="90">
        <v>105115</v>
      </c>
      <c r="C22" s="91" t="s">
        <v>25</v>
      </c>
      <c r="D22" s="90" t="s">
        <v>26</v>
      </c>
      <c r="E22" s="90" t="s">
        <v>1309</v>
      </c>
      <c r="F22" s="90" t="s">
        <v>14</v>
      </c>
      <c r="G22" s="92">
        <v>2</v>
      </c>
      <c r="H22" s="93"/>
      <c r="I22" s="93"/>
      <c r="J22" s="94"/>
      <c r="K22" s="88"/>
    </row>
    <row r="23" spans="1:11" ht="20">
      <c r="A23" s="89"/>
      <c r="B23" s="90"/>
      <c r="C23" s="98" t="s">
        <v>1326</v>
      </c>
      <c r="D23" s="90"/>
      <c r="E23" s="90"/>
      <c r="F23" s="90"/>
      <c r="G23" s="93"/>
      <c r="H23" s="93"/>
      <c r="I23" s="93"/>
      <c r="J23" s="94"/>
      <c r="K23" s="88"/>
    </row>
    <row r="24" spans="1:11">
      <c r="A24" s="89"/>
      <c r="B24" s="90"/>
      <c r="C24" s="91"/>
      <c r="D24" s="90"/>
      <c r="E24" s="90"/>
      <c r="F24" s="90"/>
      <c r="G24" s="93"/>
      <c r="H24" s="93"/>
      <c r="I24" s="93"/>
      <c r="J24" s="94"/>
      <c r="K24" s="88"/>
    </row>
    <row r="25" spans="1:11" ht="30">
      <c r="A25" s="89" t="s">
        <v>27</v>
      </c>
      <c r="B25" s="90">
        <v>10776</v>
      </c>
      <c r="C25" s="91" t="s">
        <v>28</v>
      </c>
      <c r="D25" s="90" t="s">
        <v>26</v>
      </c>
      <c r="E25" s="90" t="s">
        <v>1309</v>
      </c>
      <c r="F25" s="90" t="s">
        <v>29</v>
      </c>
      <c r="G25" s="92">
        <v>4</v>
      </c>
      <c r="H25" s="93"/>
      <c r="I25" s="93"/>
      <c r="J25" s="94"/>
      <c r="K25" s="88"/>
    </row>
    <row r="26" spans="1:11">
      <c r="A26" s="89"/>
      <c r="B26" s="90"/>
      <c r="C26" s="91"/>
      <c r="D26" s="90"/>
      <c r="E26" s="90"/>
      <c r="F26" s="90"/>
      <c r="G26" s="93"/>
      <c r="H26" s="93"/>
      <c r="I26" s="93"/>
      <c r="J26" s="94"/>
      <c r="K26" s="88"/>
    </row>
    <row r="27" spans="1:11" ht="30">
      <c r="A27" s="89" t="s">
        <v>30</v>
      </c>
      <c r="B27" s="90">
        <v>10778</v>
      </c>
      <c r="C27" s="91" t="s">
        <v>31</v>
      </c>
      <c r="D27" s="90" t="s">
        <v>26</v>
      </c>
      <c r="E27" s="90" t="s">
        <v>1309</v>
      </c>
      <c r="F27" s="90" t="s">
        <v>29</v>
      </c>
      <c r="G27" s="92">
        <v>4</v>
      </c>
      <c r="H27" s="93"/>
      <c r="I27" s="93"/>
      <c r="J27" s="94"/>
      <c r="K27" s="88"/>
    </row>
    <row r="28" spans="1:11">
      <c r="A28" s="89"/>
      <c r="B28" s="90"/>
      <c r="C28" s="91"/>
      <c r="D28" s="90"/>
      <c r="E28" s="90"/>
      <c r="F28" s="90"/>
      <c r="G28" s="93"/>
      <c r="H28" s="93"/>
      <c r="I28" s="93"/>
      <c r="J28" s="94"/>
      <c r="K28" s="88"/>
    </row>
    <row r="29" spans="1:11" ht="20">
      <c r="A29" s="89" t="s">
        <v>32</v>
      </c>
      <c r="B29" s="90">
        <v>103689</v>
      </c>
      <c r="C29" s="91" t="s">
        <v>33</v>
      </c>
      <c r="D29" s="90" t="s">
        <v>26</v>
      </c>
      <c r="E29" s="90" t="s">
        <v>1309</v>
      </c>
      <c r="F29" s="90" t="s">
        <v>34</v>
      </c>
      <c r="G29" s="92">
        <f>I30</f>
        <v>3.75</v>
      </c>
      <c r="H29" s="93"/>
      <c r="I29" s="93"/>
      <c r="J29" s="94"/>
      <c r="K29" s="88"/>
    </row>
    <row r="30" spans="1:11" s="118" customFormat="1">
      <c r="A30" s="111"/>
      <c r="B30" s="112"/>
      <c r="C30" s="113" t="s">
        <v>1327</v>
      </c>
      <c r="D30" s="112" t="s">
        <v>1328</v>
      </c>
      <c r="E30" s="114">
        <v>2.5</v>
      </c>
      <c r="F30" s="112" t="s">
        <v>1329</v>
      </c>
      <c r="G30" s="115">
        <v>1.5</v>
      </c>
      <c r="H30" s="115" t="s">
        <v>1330</v>
      </c>
      <c r="I30" s="115">
        <f>G30*E30</f>
        <v>3.75</v>
      </c>
      <c r="J30" s="116"/>
      <c r="K30" s="117"/>
    </row>
    <row r="31" spans="1:11">
      <c r="A31" s="89"/>
      <c r="B31" s="90"/>
      <c r="C31" s="119"/>
      <c r="D31" s="90"/>
      <c r="E31" s="90"/>
      <c r="F31" s="90"/>
      <c r="G31" s="93"/>
      <c r="H31" s="93"/>
      <c r="I31" s="93"/>
      <c r="J31" s="94"/>
      <c r="K31" s="88"/>
    </row>
    <row r="32" spans="1:11">
      <c r="A32" s="89" t="s">
        <v>35</v>
      </c>
      <c r="B32" s="90">
        <v>98459</v>
      </c>
      <c r="C32" s="91" t="s">
        <v>36</v>
      </c>
      <c r="D32" s="90" t="s">
        <v>26</v>
      </c>
      <c r="E32" s="90" t="s">
        <v>1309</v>
      </c>
      <c r="F32" s="90" t="s">
        <v>34</v>
      </c>
      <c r="G32" s="92">
        <f>I33</f>
        <v>36.299999999999997</v>
      </c>
      <c r="H32" s="93"/>
      <c r="I32" s="93"/>
      <c r="J32" s="94"/>
      <c r="K32" s="88"/>
    </row>
    <row r="33" spans="1:11">
      <c r="A33" s="89"/>
      <c r="B33" s="90"/>
      <c r="C33" s="119" t="s">
        <v>1332</v>
      </c>
      <c r="D33" s="112" t="s">
        <v>1331</v>
      </c>
      <c r="E33" s="114">
        <v>18.149999999999999</v>
      </c>
      <c r="F33" s="112" t="s">
        <v>1329</v>
      </c>
      <c r="G33" s="115">
        <v>2</v>
      </c>
      <c r="H33" s="115" t="s">
        <v>1330</v>
      </c>
      <c r="I33" s="115">
        <f>G33*E33</f>
        <v>36.299999999999997</v>
      </c>
      <c r="J33" s="94"/>
      <c r="K33" s="88"/>
    </row>
    <row r="34" spans="1:11">
      <c r="A34" s="89"/>
      <c r="B34" s="90"/>
      <c r="C34" s="91"/>
      <c r="D34" s="90"/>
      <c r="E34" s="90"/>
      <c r="F34" s="90"/>
      <c r="G34" s="93"/>
      <c r="H34" s="93"/>
      <c r="I34" s="93"/>
      <c r="J34" s="94"/>
      <c r="K34" s="88"/>
    </row>
    <row r="35" spans="1:11">
      <c r="A35" s="85" t="s">
        <v>37</v>
      </c>
      <c r="B35" s="86" t="s">
        <v>38</v>
      </c>
      <c r="C35" s="86"/>
      <c r="D35" s="86"/>
      <c r="E35" s="86"/>
      <c r="F35" s="86"/>
      <c r="G35" s="85"/>
      <c r="H35" s="93"/>
      <c r="I35" s="93"/>
      <c r="J35" s="87"/>
      <c r="K35" s="88"/>
    </row>
    <row r="36" spans="1:11" ht="20">
      <c r="A36" s="89" t="s">
        <v>39</v>
      </c>
      <c r="B36" s="90">
        <v>97644</v>
      </c>
      <c r="C36" s="91" t="s">
        <v>40</v>
      </c>
      <c r="D36" s="90" t="s">
        <v>26</v>
      </c>
      <c r="E36" s="90" t="s">
        <v>1309</v>
      </c>
      <c r="F36" s="90" t="s">
        <v>34</v>
      </c>
      <c r="G36" s="92">
        <f>I37</f>
        <v>3.7800000000000002</v>
      </c>
      <c r="H36" s="93"/>
      <c r="I36" s="93"/>
      <c r="J36" s="94"/>
      <c r="K36" s="88"/>
    </row>
    <row r="37" spans="1:11" s="125" customFormat="1">
      <c r="A37" s="120"/>
      <c r="B37" s="121"/>
      <c r="C37" s="122" t="s">
        <v>1333</v>
      </c>
      <c r="D37" s="112" t="s">
        <v>1328</v>
      </c>
      <c r="E37" s="114">
        <v>1.8</v>
      </c>
      <c r="F37" s="112" t="s">
        <v>1329</v>
      </c>
      <c r="G37" s="115">
        <v>2.1</v>
      </c>
      <c r="H37" s="115" t="s">
        <v>1330</v>
      </c>
      <c r="I37" s="115">
        <f>G37*E37</f>
        <v>3.7800000000000002</v>
      </c>
      <c r="J37" s="123"/>
      <c r="K37" s="124"/>
    </row>
    <row r="38" spans="1:11" s="125" customFormat="1">
      <c r="A38" s="120"/>
      <c r="B38" s="121"/>
      <c r="C38" s="126"/>
      <c r="D38" s="121"/>
      <c r="E38" s="121"/>
      <c r="F38" s="121"/>
      <c r="G38" s="127"/>
      <c r="H38" s="127"/>
      <c r="I38" s="127"/>
      <c r="J38" s="123"/>
      <c r="K38" s="124"/>
    </row>
    <row r="39" spans="1:11" ht="20">
      <c r="A39" s="89" t="s">
        <v>41</v>
      </c>
      <c r="B39" s="90">
        <v>97647</v>
      </c>
      <c r="C39" s="91" t="s">
        <v>42</v>
      </c>
      <c r="D39" s="90" t="s">
        <v>26</v>
      </c>
      <c r="E39" s="90" t="s">
        <v>1309</v>
      </c>
      <c r="F39" s="90" t="s">
        <v>34</v>
      </c>
      <c r="G39" s="92">
        <f>I40</f>
        <v>19.012499999999999</v>
      </c>
      <c r="H39" s="93"/>
      <c r="I39" s="93"/>
      <c r="J39" s="94"/>
      <c r="K39" s="88"/>
    </row>
    <row r="40" spans="1:11" s="125" customFormat="1">
      <c r="A40" s="120"/>
      <c r="B40" s="121"/>
      <c r="C40" s="122" t="s">
        <v>1333</v>
      </c>
      <c r="D40" s="112" t="s">
        <v>1328</v>
      </c>
      <c r="E40" s="114">
        <v>3.25</v>
      </c>
      <c r="F40" s="112" t="s">
        <v>1334</v>
      </c>
      <c r="G40" s="115">
        <v>5.85</v>
      </c>
      <c r="H40" s="115" t="s">
        <v>1330</v>
      </c>
      <c r="I40" s="115">
        <f>G40*E40</f>
        <v>19.012499999999999</v>
      </c>
      <c r="J40" s="123"/>
      <c r="K40" s="124"/>
    </row>
    <row r="41" spans="1:11" s="125" customFormat="1">
      <c r="A41" s="120"/>
      <c r="B41" s="121"/>
      <c r="C41" s="126"/>
      <c r="D41" s="121"/>
      <c r="E41" s="121"/>
      <c r="F41" s="121"/>
      <c r="G41" s="127"/>
      <c r="H41" s="127"/>
      <c r="I41" s="127"/>
      <c r="J41" s="123"/>
      <c r="K41" s="124"/>
    </row>
    <row r="42" spans="1:11" ht="20">
      <c r="A42" s="89" t="s">
        <v>43</v>
      </c>
      <c r="B42" s="90">
        <v>97622</v>
      </c>
      <c r="C42" s="91" t="s">
        <v>44</v>
      </c>
      <c r="D42" s="90" t="s">
        <v>26</v>
      </c>
      <c r="E42" s="90" t="s">
        <v>1309</v>
      </c>
      <c r="F42" s="90" t="s">
        <v>45</v>
      </c>
      <c r="G42" s="92">
        <f>SUM(I43:I46)</f>
        <v>50.819999999999993</v>
      </c>
      <c r="H42" s="93"/>
      <c r="I42" s="93"/>
      <c r="J42" s="94"/>
      <c r="K42" s="88"/>
    </row>
    <row r="43" spans="1:11" s="125" customFormat="1">
      <c r="A43" s="120"/>
      <c r="B43" s="121"/>
      <c r="C43" s="122" t="s">
        <v>1335</v>
      </c>
      <c r="D43" s="112" t="s">
        <v>1328</v>
      </c>
      <c r="E43" s="114">
        <v>3.25</v>
      </c>
      <c r="F43" s="112" t="s">
        <v>1329</v>
      </c>
      <c r="G43" s="115">
        <v>3</v>
      </c>
      <c r="H43" s="115" t="s">
        <v>1330</v>
      </c>
      <c r="I43" s="115">
        <f>G43*E43</f>
        <v>9.75</v>
      </c>
      <c r="J43" s="123"/>
      <c r="K43" s="124"/>
    </row>
    <row r="44" spans="1:11" s="125" customFormat="1">
      <c r="A44" s="120"/>
      <c r="B44" s="121"/>
      <c r="C44" s="122" t="s">
        <v>1336</v>
      </c>
      <c r="D44" s="112" t="s">
        <v>1328</v>
      </c>
      <c r="E44" s="114">
        <v>3.25</v>
      </c>
      <c r="F44" s="112" t="s">
        <v>1329</v>
      </c>
      <c r="G44" s="115">
        <f>G43</f>
        <v>3</v>
      </c>
      <c r="H44" s="115" t="s">
        <v>1330</v>
      </c>
      <c r="I44" s="115">
        <f t="shared" ref="I44:I45" si="0">G44*E44</f>
        <v>9.75</v>
      </c>
      <c r="J44" s="123"/>
      <c r="K44" s="124"/>
    </row>
    <row r="45" spans="1:11" s="125" customFormat="1">
      <c r="A45" s="120"/>
      <c r="B45" s="121"/>
      <c r="C45" s="122" t="s">
        <v>1337</v>
      </c>
      <c r="D45" s="112" t="s">
        <v>1328</v>
      </c>
      <c r="E45" s="114">
        <v>5.85</v>
      </c>
      <c r="F45" s="112" t="s">
        <v>1329</v>
      </c>
      <c r="G45" s="115">
        <f t="shared" ref="G45:G46" si="1">G44</f>
        <v>3</v>
      </c>
      <c r="H45" s="115" t="s">
        <v>1330</v>
      </c>
      <c r="I45" s="115">
        <f t="shared" si="0"/>
        <v>17.549999999999997</v>
      </c>
      <c r="J45" s="123"/>
      <c r="K45" s="124"/>
    </row>
    <row r="46" spans="1:11" s="125" customFormat="1">
      <c r="A46" s="120"/>
      <c r="B46" s="121"/>
      <c r="C46" s="122" t="s">
        <v>1338</v>
      </c>
      <c r="D46" s="112" t="s">
        <v>1328</v>
      </c>
      <c r="E46" s="114">
        <v>5.85</v>
      </c>
      <c r="F46" s="112" t="s">
        <v>1329</v>
      </c>
      <c r="G46" s="115">
        <f t="shared" si="1"/>
        <v>3</v>
      </c>
      <c r="H46" s="115" t="s">
        <v>1330</v>
      </c>
      <c r="I46" s="115">
        <f>(G46*E46)-I37</f>
        <v>13.769999999999996</v>
      </c>
      <c r="J46" s="123"/>
      <c r="K46" s="124"/>
    </row>
    <row r="47" spans="1:11" s="125" customFormat="1">
      <c r="A47" s="120"/>
      <c r="B47" s="121"/>
      <c r="C47" s="126"/>
      <c r="D47" s="121"/>
      <c r="E47" s="121"/>
      <c r="F47" s="121"/>
      <c r="G47" s="127"/>
      <c r="H47" s="127"/>
      <c r="I47" s="127"/>
      <c r="J47" s="123"/>
      <c r="K47" s="124"/>
    </row>
    <row r="48" spans="1:11" ht="20">
      <c r="A48" s="89" t="s">
        <v>46</v>
      </c>
      <c r="B48" s="90">
        <v>97628</v>
      </c>
      <c r="C48" s="91" t="s">
        <v>47</v>
      </c>
      <c r="D48" s="90" t="s">
        <v>26</v>
      </c>
      <c r="E48" s="90" t="s">
        <v>1309</v>
      </c>
      <c r="F48" s="90" t="s">
        <v>45</v>
      </c>
      <c r="G48" s="92">
        <f>I49</f>
        <v>23.8125</v>
      </c>
      <c r="H48" s="93"/>
      <c r="I48" s="93"/>
      <c r="J48" s="94"/>
      <c r="K48" s="88"/>
    </row>
    <row r="49" spans="1:11" s="125" customFormat="1">
      <c r="A49" s="120"/>
      <c r="B49" s="121"/>
      <c r="C49" s="122" t="s">
        <v>1333</v>
      </c>
      <c r="D49" s="112" t="s">
        <v>1328</v>
      </c>
      <c r="E49" s="114">
        <v>3.75</v>
      </c>
      <c r="F49" s="112" t="s">
        <v>1334</v>
      </c>
      <c r="G49" s="115">
        <v>6.35</v>
      </c>
      <c r="H49" s="115" t="s">
        <v>1330</v>
      </c>
      <c r="I49" s="115">
        <f>G49*E49</f>
        <v>23.8125</v>
      </c>
      <c r="J49" s="123"/>
      <c r="K49" s="124"/>
    </row>
    <row r="50" spans="1:11" s="125" customFormat="1">
      <c r="A50" s="120"/>
      <c r="B50" s="121"/>
      <c r="C50" s="126"/>
      <c r="D50" s="121"/>
      <c r="E50" s="121"/>
      <c r="F50" s="121"/>
      <c r="G50" s="127"/>
      <c r="H50" s="127"/>
      <c r="I50" s="127"/>
      <c r="J50" s="123"/>
      <c r="K50" s="124"/>
    </row>
    <row r="51" spans="1:11" ht="20">
      <c r="A51" s="89" t="s">
        <v>48</v>
      </c>
      <c r="B51" s="90">
        <v>97626</v>
      </c>
      <c r="C51" s="91" t="s">
        <v>49</v>
      </c>
      <c r="D51" s="90" t="s">
        <v>26</v>
      </c>
      <c r="E51" s="90" t="s">
        <v>1309</v>
      </c>
      <c r="F51" s="90" t="s">
        <v>45</v>
      </c>
      <c r="G51" s="92">
        <f>SUM(K52:K59)</f>
        <v>1.806</v>
      </c>
      <c r="H51" s="93"/>
      <c r="I51" s="93"/>
      <c r="J51" s="94"/>
      <c r="K51" s="88"/>
    </row>
    <row r="52" spans="1:11" s="125" customFormat="1">
      <c r="A52" s="120"/>
      <c r="B52" s="121"/>
      <c r="C52" s="122" t="s">
        <v>1341</v>
      </c>
      <c r="D52" s="97" t="s">
        <v>1328</v>
      </c>
      <c r="E52" s="128">
        <v>0.2</v>
      </c>
      <c r="F52" s="97" t="s">
        <v>1339</v>
      </c>
      <c r="G52" s="129">
        <v>0.2</v>
      </c>
      <c r="H52" s="99" t="s">
        <v>1329</v>
      </c>
      <c r="I52" s="129">
        <v>3</v>
      </c>
      <c r="J52" s="130" t="s">
        <v>1349</v>
      </c>
      <c r="K52" s="131">
        <f>E52*G52*I52</f>
        <v>0.12000000000000002</v>
      </c>
    </row>
    <row r="53" spans="1:11" s="125" customFormat="1">
      <c r="A53" s="120"/>
      <c r="B53" s="121"/>
      <c r="C53" s="122" t="s">
        <v>1340</v>
      </c>
      <c r="D53" s="97" t="s">
        <v>1328</v>
      </c>
      <c r="E53" s="128">
        <f>E52</f>
        <v>0.2</v>
      </c>
      <c r="F53" s="97" t="s">
        <v>1339</v>
      </c>
      <c r="G53" s="128">
        <f>G52</f>
        <v>0.2</v>
      </c>
      <c r="H53" s="99" t="s">
        <v>1329</v>
      </c>
      <c r="I53" s="128">
        <f>I52</f>
        <v>3</v>
      </c>
      <c r="J53" s="130" t="s">
        <v>1349</v>
      </c>
      <c r="K53" s="131">
        <f t="shared" ref="K53:K59" si="2">E53*G53*I53</f>
        <v>0.12000000000000002</v>
      </c>
    </row>
    <row r="54" spans="1:11" s="125" customFormat="1">
      <c r="A54" s="120"/>
      <c r="B54" s="121"/>
      <c r="C54" s="122" t="s">
        <v>1342</v>
      </c>
      <c r="D54" s="97" t="s">
        <v>1328</v>
      </c>
      <c r="E54" s="128">
        <f t="shared" ref="E54:I55" si="3">E53</f>
        <v>0.2</v>
      </c>
      <c r="F54" s="97" t="s">
        <v>1339</v>
      </c>
      <c r="G54" s="128">
        <f t="shared" si="3"/>
        <v>0.2</v>
      </c>
      <c r="H54" s="99" t="s">
        <v>1329</v>
      </c>
      <c r="I54" s="128">
        <f t="shared" si="3"/>
        <v>3</v>
      </c>
      <c r="J54" s="130" t="s">
        <v>1349</v>
      </c>
      <c r="K54" s="131">
        <f t="shared" si="2"/>
        <v>0.12000000000000002</v>
      </c>
    </row>
    <row r="55" spans="1:11" s="125" customFormat="1">
      <c r="A55" s="120"/>
      <c r="B55" s="121"/>
      <c r="C55" s="122" t="s">
        <v>1343</v>
      </c>
      <c r="D55" s="97" t="s">
        <v>1328</v>
      </c>
      <c r="E55" s="128">
        <f t="shared" si="3"/>
        <v>0.2</v>
      </c>
      <c r="F55" s="97" t="s">
        <v>1339</v>
      </c>
      <c r="G55" s="128">
        <f t="shared" si="3"/>
        <v>0.2</v>
      </c>
      <c r="H55" s="99" t="s">
        <v>1329</v>
      </c>
      <c r="I55" s="128">
        <f t="shared" si="3"/>
        <v>3</v>
      </c>
      <c r="J55" s="130" t="s">
        <v>1349</v>
      </c>
      <c r="K55" s="131">
        <f t="shared" si="2"/>
        <v>0.12000000000000002</v>
      </c>
    </row>
    <row r="56" spans="1:11" s="125" customFormat="1">
      <c r="A56" s="120"/>
      <c r="B56" s="121"/>
      <c r="C56" s="122" t="s">
        <v>1344</v>
      </c>
      <c r="D56" s="97" t="s">
        <v>1328</v>
      </c>
      <c r="E56" s="128">
        <v>0.2</v>
      </c>
      <c r="F56" s="97" t="s">
        <v>1339</v>
      </c>
      <c r="G56" s="129">
        <v>3.25</v>
      </c>
      <c r="H56" s="99" t="s">
        <v>1329</v>
      </c>
      <c r="I56" s="129">
        <v>0.3</v>
      </c>
      <c r="J56" s="130" t="s">
        <v>1349</v>
      </c>
      <c r="K56" s="131">
        <f t="shared" si="2"/>
        <v>0.19500000000000001</v>
      </c>
    </row>
    <row r="57" spans="1:11" s="125" customFormat="1">
      <c r="A57" s="120"/>
      <c r="B57" s="121"/>
      <c r="C57" s="122" t="s">
        <v>1345</v>
      </c>
      <c r="D57" s="97" t="s">
        <v>1328</v>
      </c>
      <c r="E57" s="128">
        <v>0.2</v>
      </c>
      <c r="F57" s="97" t="s">
        <v>1339</v>
      </c>
      <c r="G57" s="129">
        <v>3.25</v>
      </c>
      <c r="H57" s="99" t="s">
        <v>1329</v>
      </c>
      <c r="I57" s="129">
        <v>0.3</v>
      </c>
      <c r="J57" s="130" t="s">
        <v>1349</v>
      </c>
      <c r="K57" s="131">
        <f t="shared" si="2"/>
        <v>0.19500000000000001</v>
      </c>
    </row>
    <row r="58" spans="1:11" s="125" customFormat="1">
      <c r="A58" s="120"/>
      <c r="B58" s="121"/>
      <c r="C58" s="122" t="s">
        <v>1346</v>
      </c>
      <c r="D58" s="97" t="s">
        <v>1328</v>
      </c>
      <c r="E58" s="128">
        <v>0.2</v>
      </c>
      <c r="F58" s="97" t="s">
        <v>1339</v>
      </c>
      <c r="G58" s="129">
        <v>5.85</v>
      </c>
      <c r="H58" s="99" t="s">
        <v>1329</v>
      </c>
      <c r="I58" s="129">
        <v>0.4</v>
      </c>
      <c r="J58" s="130" t="s">
        <v>1349</v>
      </c>
      <c r="K58" s="131">
        <f t="shared" si="2"/>
        <v>0.46799999999999997</v>
      </c>
    </row>
    <row r="59" spans="1:11" s="125" customFormat="1">
      <c r="A59" s="120"/>
      <c r="B59" s="121"/>
      <c r="C59" s="122" t="s">
        <v>1347</v>
      </c>
      <c r="D59" s="97" t="s">
        <v>1328</v>
      </c>
      <c r="E59" s="128">
        <v>0.2</v>
      </c>
      <c r="F59" s="97" t="s">
        <v>1339</v>
      </c>
      <c r="G59" s="129">
        <v>5.85</v>
      </c>
      <c r="H59" s="99" t="s">
        <v>1329</v>
      </c>
      <c r="I59" s="129">
        <v>0.4</v>
      </c>
      <c r="J59" s="130" t="s">
        <v>1349</v>
      </c>
      <c r="K59" s="131">
        <f t="shared" si="2"/>
        <v>0.46799999999999997</v>
      </c>
    </row>
    <row r="60" spans="1:11" s="125" customFormat="1">
      <c r="A60" s="120"/>
      <c r="B60" s="121"/>
      <c r="C60" s="126"/>
      <c r="D60" s="121"/>
      <c r="E60" s="121"/>
      <c r="F60" s="121"/>
      <c r="G60" s="127"/>
      <c r="H60" s="127"/>
      <c r="I60" s="127"/>
      <c r="J60" s="123"/>
      <c r="K60" s="124"/>
    </row>
    <row r="61" spans="1:11" ht="40">
      <c r="A61" s="89" t="s">
        <v>50</v>
      </c>
      <c r="B61" s="90">
        <v>100982</v>
      </c>
      <c r="C61" s="91" t="s">
        <v>51</v>
      </c>
      <c r="D61" s="90" t="s">
        <v>26</v>
      </c>
      <c r="E61" s="90" t="s">
        <v>1309</v>
      </c>
      <c r="F61" s="90" t="s">
        <v>45</v>
      </c>
      <c r="G61" s="92">
        <f>SUM(I62:I63,D64:D66)*D67</f>
        <v>108.60937499999997</v>
      </c>
      <c r="H61" s="93"/>
      <c r="I61" s="93"/>
      <c r="J61" s="94"/>
      <c r="K61" s="88"/>
    </row>
    <row r="62" spans="1:11" s="125" customFormat="1">
      <c r="A62" s="120"/>
      <c r="B62" s="121"/>
      <c r="C62" s="122" t="s">
        <v>1354</v>
      </c>
      <c r="D62" s="121">
        <f>G36</f>
        <v>3.7800000000000002</v>
      </c>
      <c r="E62" s="128" t="s">
        <v>1359</v>
      </c>
      <c r="F62" s="121" t="s">
        <v>1360</v>
      </c>
      <c r="G62" s="127">
        <v>0.05</v>
      </c>
      <c r="H62" s="121" t="s">
        <v>1360</v>
      </c>
      <c r="I62" s="127">
        <f>G62*D62</f>
        <v>0.18900000000000003</v>
      </c>
      <c r="J62" s="130" t="s">
        <v>1352</v>
      </c>
      <c r="K62" s="124"/>
    </row>
    <row r="63" spans="1:11" s="125" customFormat="1">
      <c r="A63" s="120"/>
      <c r="B63" s="121"/>
      <c r="C63" s="122" t="s">
        <v>1355</v>
      </c>
      <c r="D63" s="121">
        <f>G39</f>
        <v>19.012499999999999</v>
      </c>
      <c r="E63" s="128" t="s">
        <v>1359</v>
      </c>
      <c r="F63" s="121" t="s">
        <v>1360</v>
      </c>
      <c r="G63" s="127">
        <v>0.05</v>
      </c>
      <c r="H63" s="121" t="s">
        <v>1360</v>
      </c>
      <c r="I63" s="127">
        <f>G63*D63</f>
        <v>0.95062500000000005</v>
      </c>
      <c r="J63" s="130" t="s">
        <v>1352</v>
      </c>
      <c r="K63" s="124"/>
    </row>
    <row r="64" spans="1:11" s="125" customFormat="1">
      <c r="A64" s="120"/>
      <c r="B64" s="121"/>
      <c r="C64" s="122" t="s">
        <v>1356</v>
      </c>
      <c r="D64" s="121">
        <f>G42</f>
        <v>50.819999999999993</v>
      </c>
      <c r="E64" s="128" t="s">
        <v>1352</v>
      </c>
      <c r="F64" s="121"/>
      <c r="G64" s="127"/>
      <c r="H64" s="127"/>
      <c r="I64" s="127"/>
      <c r="J64" s="123"/>
      <c r="K64" s="124"/>
    </row>
    <row r="65" spans="1:11" s="125" customFormat="1">
      <c r="A65" s="120"/>
      <c r="B65" s="121"/>
      <c r="C65" s="122" t="s">
        <v>1357</v>
      </c>
      <c r="D65" s="121">
        <f>G48</f>
        <v>23.8125</v>
      </c>
      <c r="E65" s="128" t="s">
        <v>1352</v>
      </c>
      <c r="F65" s="121"/>
      <c r="G65" s="127"/>
      <c r="H65" s="127"/>
      <c r="I65" s="127"/>
      <c r="J65" s="123"/>
      <c r="K65" s="124"/>
    </row>
    <row r="66" spans="1:11" s="125" customFormat="1">
      <c r="A66" s="120"/>
      <c r="B66" s="121"/>
      <c r="C66" s="122" t="s">
        <v>1358</v>
      </c>
      <c r="D66" s="121">
        <f>G51</f>
        <v>1.806</v>
      </c>
      <c r="E66" s="128" t="s">
        <v>1352</v>
      </c>
      <c r="F66" s="121"/>
      <c r="G66" s="127"/>
      <c r="H66" s="127"/>
      <c r="I66" s="127"/>
      <c r="J66" s="123"/>
      <c r="K66" s="124"/>
    </row>
    <row r="67" spans="1:11" s="125" customFormat="1">
      <c r="A67" s="120"/>
      <c r="B67" s="121"/>
      <c r="C67" s="122" t="s">
        <v>1361</v>
      </c>
      <c r="D67" s="121">
        <v>1.4</v>
      </c>
      <c r="E67" s="132" t="s">
        <v>1362</v>
      </c>
      <c r="F67" s="121"/>
      <c r="G67" s="127"/>
      <c r="H67" s="127"/>
      <c r="I67" s="127"/>
      <c r="J67" s="123"/>
      <c r="K67" s="124"/>
    </row>
    <row r="68" spans="1:11" s="125" customFormat="1">
      <c r="A68" s="120"/>
      <c r="B68" s="121"/>
      <c r="C68" s="122"/>
      <c r="D68" s="121"/>
      <c r="E68" s="121"/>
      <c r="F68" s="121"/>
      <c r="G68" s="127"/>
      <c r="H68" s="127"/>
      <c r="I68" s="127"/>
      <c r="J68" s="123"/>
      <c r="K68" s="124"/>
    </row>
    <row r="69" spans="1:11" ht="30">
      <c r="A69" s="89" t="s">
        <v>52</v>
      </c>
      <c r="B69" s="90">
        <v>95875</v>
      </c>
      <c r="C69" s="91" t="s">
        <v>53</v>
      </c>
      <c r="D69" s="90" t="s">
        <v>26</v>
      </c>
      <c r="E69" s="90" t="s">
        <v>1309</v>
      </c>
      <c r="F69" s="90" t="s">
        <v>54</v>
      </c>
      <c r="G69" s="92">
        <f>G70</f>
        <v>1118.6765624999998</v>
      </c>
      <c r="H69" s="93"/>
      <c r="I69" s="93"/>
      <c r="J69" s="94"/>
      <c r="K69" s="88"/>
    </row>
    <row r="70" spans="1:11" s="125" customFormat="1">
      <c r="A70" s="120"/>
      <c r="B70" s="121"/>
      <c r="C70" s="122" t="s">
        <v>1350</v>
      </c>
      <c r="D70" s="121">
        <f>G61</f>
        <v>108.60937499999997</v>
      </c>
      <c r="E70" s="121" t="s">
        <v>1352</v>
      </c>
      <c r="F70" s="121" t="s">
        <v>1353</v>
      </c>
      <c r="G70" s="127">
        <f>D70*D71</f>
        <v>1118.6765624999998</v>
      </c>
      <c r="H70" s="127"/>
      <c r="I70" s="127"/>
      <c r="J70" s="123"/>
      <c r="K70" s="124"/>
    </row>
    <row r="71" spans="1:11" s="125" customFormat="1">
      <c r="A71" s="120"/>
      <c r="B71" s="121"/>
      <c r="C71" s="122" t="s">
        <v>1351</v>
      </c>
      <c r="D71" s="121">
        <v>10.3</v>
      </c>
      <c r="E71" s="121" t="s">
        <v>1396</v>
      </c>
      <c r="F71" s="121"/>
      <c r="G71" s="127"/>
      <c r="H71" s="127"/>
      <c r="I71" s="127"/>
      <c r="J71" s="123"/>
      <c r="K71" s="124"/>
    </row>
    <row r="72" spans="1:11" s="125" customFormat="1">
      <c r="A72" s="120"/>
      <c r="B72" s="121"/>
      <c r="C72" s="126"/>
      <c r="D72" s="121"/>
      <c r="E72" s="121"/>
      <c r="F72" s="121"/>
      <c r="G72" s="127"/>
      <c r="H72" s="127"/>
      <c r="I72" s="127"/>
      <c r="J72" s="123"/>
      <c r="K72" s="124"/>
    </row>
    <row r="73" spans="1:11" ht="20">
      <c r="A73" s="89" t="s">
        <v>55</v>
      </c>
      <c r="B73" s="90" t="s">
        <v>56</v>
      </c>
      <c r="C73" s="91" t="s">
        <v>57</v>
      </c>
      <c r="D73" s="90" t="s">
        <v>13</v>
      </c>
      <c r="E73" s="90" t="s">
        <v>1309</v>
      </c>
      <c r="F73" s="90" t="s">
        <v>58</v>
      </c>
      <c r="G73" s="92">
        <v>1</v>
      </c>
      <c r="H73" s="93"/>
      <c r="I73" s="93"/>
      <c r="J73" s="94"/>
      <c r="K73" s="88"/>
    </row>
    <row r="74" spans="1:11">
      <c r="A74" s="89"/>
      <c r="B74" s="90"/>
      <c r="C74" s="119" t="s">
        <v>1363</v>
      </c>
      <c r="D74" s="90"/>
      <c r="E74" s="90"/>
      <c r="F74" s="90"/>
      <c r="G74" s="93"/>
      <c r="H74" s="93"/>
      <c r="I74" s="93"/>
      <c r="J74" s="94"/>
      <c r="K74" s="88"/>
    </row>
    <row r="75" spans="1:11">
      <c r="A75" s="89"/>
      <c r="B75" s="90"/>
      <c r="C75" s="91"/>
      <c r="D75" s="90"/>
      <c r="E75" s="90"/>
      <c r="F75" s="90"/>
      <c r="G75" s="93"/>
      <c r="H75" s="93"/>
      <c r="I75" s="93"/>
      <c r="J75" s="94"/>
      <c r="K75" s="88"/>
    </row>
    <row r="76" spans="1:11" ht="20">
      <c r="A76" s="89" t="s">
        <v>59</v>
      </c>
      <c r="B76" s="90" t="s">
        <v>60</v>
      </c>
      <c r="C76" s="91" t="s">
        <v>61</v>
      </c>
      <c r="D76" s="90" t="s">
        <v>13</v>
      </c>
      <c r="E76" s="90" t="s">
        <v>1309</v>
      </c>
      <c r="F76" s="90" t="s">
        <v>58</v>
      </c>
      <c r="G76" s="92">
        <v>1</v>
      </c>
      <c r="H76" s="93"/>
      <c r="I76" s="93"/>
      <c r="J76" s="94"/>
      <c r="K76" s="88"/>
    </row>
    <row r="77" spans="1:11">
      <c r="A77" s="89"/>
      <c r="B77" s="90"/>
      <c r="C77" s="119" t="s">
        <v>1364</v>
      </c>
      <c r="D77" s="90"/>
      <c r="E77" s="90"/>
      <c r="F77" s="90"/>
      <c r="G77" s="93"/>
      <c r="H77" s="93"/>
      <c r="I77" s="93"/>
      <c r="J77" s="94"/>
      <c r="K77" s="88"/>
    </row>
    <row r="78" spans="1:11">
      <c r="A78" s="89"/>
      <c r="B78" s="90"/>
      <c r="C78" s="91"/>
      <c r="D78" s="90"/>
      <c r="E78" s="90"/>
      <c r="F78" s="90"/>
      <c r="G78" s="93"/>
      <c r="H78" s="93"/>
      <c r="I78" s="93"/>
      <c r="J78" s="94"/>
      <c r="K78" s="88"/>
    </row>
    <row r="79" spans="1:11">
      <c r="A79" s="85" t="s">
        <v>62</v>
      </c>
      <c r="B79" s="86" t="s">
        <v>63</v>
      </c>
      <c r="C79" s="86"/>
      <c r="D79" s="86"/>
      <c r="E79" s="86"/>
      <c r="F79" s="86"/>
      <c r="G79" s="85"/>
      <c r="H79" s="93"/>
      <c r="I79" s="93"/>
      <c r="J79" s="87"/>
      <c r="K79" s="88"/>
    </row>
    <row r="80" spans="1:11" ht="30">
      <c r="A80" s="89" t="s">
        <v>64</v>
      </c>
      <c r="B80" s="90" t="s">
        <v>65</v>
      </c>
      <c r="C80" s="91" t="s">
        <v>66</v>
      </c>
      <c r="D80" s="90" t="s">
        <v>13</v>
      </c>
      <c r="E80" s="90" t="s">
        <v>1309</v>
      </c>
      <c r="F80" s="90" t="s">
        <v>14</v>
      </c>
      <c r="G80" s="92">
        <v>1</v>
      </c>
      <c r="H80" s="93"/>
      <c r="I80" s="93"/>
      <c r="J80" s="94"/>
      <c r="K80" s="88"/>
    </row>
    <row r="81" spans="1:11" s="118" customFormat="1">
      <c r="A81" s="133"/>
      <c r="B81" s="134"/>
      <c r="C81" s="135" t="s">
        <v>1365</v>
      </c>
      <c r="D81" s="134"/>
      <c r="E81" s="134"/>
      <c r="F81" s="134"/>
      <c r="G81" s="136"/>
      <c r="H81" s="136"/>
      <c r="I81" s="136"/>
      <c r="J81" s="137"/>
      <c r="K81" s="117"/>
    </row>
    <row r="82" spans="1:11">
      <c r="A82" s="89"/>
      <c r="B82" s="90"/>
      <c r="C82" s="91"/>
      <c r="D82" s="90"/>
      <c r="E82" s="90"/>
      <c r="F82" s="90"/>
      <c r="G82" s="93"/>
      <c r="H82" s="93"/>
      <c r="I82" s="93"/>
      <c r="J82" s="94"/>
      <c r="K82" s="88"/>
    </row>
    <row r="83" spans="1:11" ht="30">
      <c r="A83" s="89" t="s">
        <v>67</v>
      </c>
      <c r="B83" s="90" t="s">
        <v>68</v>
      </c>
      <c r="C83" s="91" t="s">
        <v>69</v>
      </c>
      <c r="D83" s="90" t="s">
        <v>13</v>
      </c>
      <c r="E83" s="90" t="s">
        <v>1309</v>
      </c>
      <c r="F83" s="90" t="s">
        <v>70</v>
      </c>
      <c r="G83" s="92">
        <v>415</v>
      </c>
      <c r="H83" s="93"/>
      <c r="I83" s="93"/>
      <c r="J83" s="94"/>
      <c r="K83" s="88"/>
    </row>
    <row r="84" spans="1:11" s="118" customFormat="1" ht="15" customHeight="1">
      <c r="A84" s="133"/>
      <c r="B84" s="134"/>
      <c r="C84" s="135" t="s">
        <v>1366</v>
      </c>
      <c r="D84" s="134"/>
      <c r="E84" s="134"/>
      <c r="F84" s="134"/>
      <c r="G84" s="136"/>
      <c r="H84" s="136"/>
      <c r="I84" s="136"/>
      <c r="J84" s="137"/>
      <c r="K84" s="117"/>
    </row>
    <row r="85" spans="1:11" s="118" customFormat="1" ht="20">
      <c r="A85" s="133"/>
      <c r="B85" s="134"/>
      <c r="C85" s="135" t="s">
        <v>1367</v>
      </c>
      <c r="D85" s="134"/>
      <c r="E85" s="134"/>
      <c r="F85" s="134"/>
      <c r="G85" s="136"/>
      <c r="H85" s="136"/>
      <c r="I85" s="136"/>
      <c r="J85" s="137"/>
      <c r="K85" s="117"/>
    </row>
    <row r="86" spans="1:11" s="118" customFormat="1" ht="15" customHeight="1">
      <c r="A86" s="133"/>
      <c r="B86" s="134"/>
      <c r="C86" s="135" t="s">
        <v>1368</v>
      </c>
      <c r="D86" s="134"/>
      <c r="E86" s="134"/>
      <c r="F86" s="134"/>
      <c r="G86" s="136"/>
      <c r="H86" s="136"/>
      <c r="I86" s="136"/>
      <c r="J86" s="137"/>
      <c r="K86" s="117"/>
    </row>
    <row r="87" spans="1:11">
      <c r="A87" s="89"/>
      <c r="B87" s="90"/>
      <c r="C87" s="91"/>
      <c r="D87" s="90"/>
      <c r="E87" s="90"/>
      <c r="F87" s="90"/>
      <c r="G87" s="93"/>
      <c r="H87" s="93"/>
      <c r="I87" s="93"/>
      <c r="J87" s="94"/>
      <c r="K87" s="88"/>
    </row>
    <row r="88" spans="1:11">
      <c r="A88" s="85" t="s">
        <v>71</v>
      </c>
      <c r="B88" s="86" t="s">
        <v>72</v>
      </c>
      <c r="C88" s="86"/>
      <c r="D88" s="86"/>
      <c r="E88" s="86"/>
      <c r="F88" s="86"/>
      <c r="G88" s="85"/>
      <c r="H88" s="93"/>
      <c r="I88" s="93"/>
      <c r="J88" s="87"/>
      <c r="K88" s="88"/>
    </row>
    <row r="89" spans="1:11" ht="20">
      <c r="A89" s="89" t="s">
        <v>73</v>
      </c>
      <c r="B89" s="90" t="s">
        <v>74</v>
      </c>
      <c r="C89" s="91" t="s">
        <v>75</v>
      </c>
      <c r="D89" s="90" t="s">
        <v>13</v>
      </c>
      <c r="E89" s="90" t="s">
        <v>1309</v>
      </c>
      <c r="F89" s="90" t="s">
        <v>34</v>
      </c>
      <c r="G89" s="92">
        <f>I90</f>
        <v>19.932500000000001</v>
      </c>
      <c r="H89" s="93"/>
      <c r="I89" s="93"/>
      <c r="J89" s="94"/>
      <c r="K89" s="88"/>
    </row>
    <row r="90" spans="1:11" s="118" customFormat="1">
      <c r="A90" s="96"/>
      <c r="B90" s="138"/>
      <c r="C90" s="122" t="s">
        <v>1369</v>
      </c>
      <c r="D90" s="112" t="s">
        <v>1328</v>
      </c>
      <c r="E90" s="114">
        <v>3.35</v>
      </c>
      <c r="F90" s="112" t="s">
        <v>1370</v>
      </c>
      <c r="G90" s="115">
        <v>5.95</v>
      </c>
      <c r="H90" s="115" t="s">
        <v>1330</v>
      </c>
      <c r="I90" s="115">
        <f>G90*E90</f>
        <v>19.932500000000001</v>
      </c>
      <c r="J90" s="139"/>
      <c r="K90" s="117"/>
    </row>
    <row r="91" spans="1:11" s="118" customFormat="1">
      <c r="A91" s="96"/>
      <c r="B91" s="138"/>
      <c r="C91" s="119"/>
      <c r="D91" s="138"/>
      <c r="E91" s="138"/>
      <c r="F91" s="138"/>
      <c r="G91" s="140"/>
      <c r="H91" s="140"/>
      <c r="I91" s="140"/>
      <c r="J91" s="139"/>
      <c r="K91" s="117"/>
    </row>
    <row r="92" spans="1:11" ht="20">
      <c r="A92" s="89" t="s">
        <v>76</v>
      </c>
      <c r="B92" s="90" t="s">
        <v>77</v>
      </c>
      <c r="C92" s="91" t="s">
        <v>78</v>
      </c>
      <c r="D92" s="90" t="s">
        <v>13</v>
      </c>
      <c r="E92" s="90" t="s">
        <v>1309</v>
      </c>
      <c r="F92" s="90" t="s">
        <v>34</v>
      </c>
      <c r="G92" s="92">
        <f>I93</f>
        <v>19.932500000000001</v>
      </c>
      <c r="H92" s="93"/>
      <c r="I92" s="93"/>
      <c r="J92" s="94"/>
      <c r="K92" s="88"/>
    </row>
    <row r="93" spans="1:11" s="118" customFormat="1">
      <c r="A93" s="96"/>
      <c r="B93" s="138"/>
      <c r="C93" s="122" t="s">
        <v>1369</v>
      </c>
      <c r="D93" s="112" t="s">
        <v>1328</v>
      </c>
      <c r="E93" s="114">
        <v>3.35</v>
      </c>
      <c r="F93" s="112" t="s">
        <v>1370</v>
      </c>
      <c r="G93" s="115">
        <v>5.95</v>
      </c>
      <c r="H93" s="115" t="s">
        <v>1330</v>
      </c>
      <c r="I93" s="115">
        <f>G93*E93</f>
        <v>19.932500000000001</v>
      </c>
      <c r="J93" s="139"/>
      <c r="K93" s="117"/>
    </row>
    <row r="94" spans="1:11" s="118" customFormat="1">
      <c r="A94" s="96"/>
      <c r="B94" s="138"/>
      <c r="C94" s="119"/>
      <c r="D94" s="138"/>
      <c r="E94" s="138"/>
      <c r="F94" s="138"/>
      <c r="G94" s="140"/>
      <c r="H94" s="140"/>
      <c r="I94" s="140"/>
      <c r="J94" s="139"/>
      <c r="K94" s="117"/>
    </row>
    <row r="95" spans="1:11" ht="30">
      <c r="A95" s="89" t="s">
        <v>79</v>
      </c>
      <c r="B95" s="90">
        <v>103075</v>
      </c>
      <c r="C95" s="91" t="s">
        <v>80</v>
      </c>
      <c r="D95" s="90" t="s">
        <v>26</v>
      </c>
      <c r="E95" s="90" t="s">
        <v>1309</v>
      </c>
      <c r="F95" s="90" t="s">
        <v>34</v>
      </c>
      <c r="G95" s="92">
        <f>I96</f>
        <v>19.932500000000001</v>
      </c>
      <c r="H95" s="93"/>
      <c r="I95" s="93"/>
      <c r="J95" s="94"/>
      <c r="K95" s="88"/>
    </row>
    <row r="96" spans="1:11" s="118" customFormat="1">
      <c r="A96" s="96"/>
      <c r="B96" s="138"/>
      <c r="C96" s="122" t="s">
        <v>1369</v>
      </c>
      <c r="D96" s="112" t="s">
        <v>1328</v>
      </c>
      <c r="E96" s="114">
        <v>3.35</v>
      </c>
      <c r="F96" s="112" t="s">
        <v>1370</v>
      </c>
      <c r="G96" s="115">
        <v>5.95</v>
      </c>
      <c r="H96" s="115" t="s">
        <v>1330</v>
      </c>
      <c r="I96" s="115">
        <f>G96*E96</f>
        <v>19.932500000000001</v>
      </c>
      <c r="J96" s="139"/>
      <c r="K96" s="117"/>
    </row>
    <row r="97" spans="1:11" s="118" customFormat="1">
      <c r="A97" s="96"/>
      <c r="B97" s="138"/>
      <c r="C97" s="119"/>
      <c r="D97" s="138"/>
      <c r="E97" s="138"/>
      <c r="F97" s="138"/>
      <c r="G97" s="140"/>
      <c r="H97" s="140"/>
      <c r="I97" s="140"/>
      <c r="J97" s="139"/>
      <c r="K97" s="117"/>
    </row>
    <row r="98" spans="1:11" ht="40">
      <c r="A98" s="89" t="s">
        <v>81</v>
      </c>
      <c r="B98" s="90">
        <v>100766</v>
      </c>
      <c r="C98" s="91" t="s">
        <v>82</v>
      </c>
      <c r="D98" s="90" t="s">
        <v>26</v>
      </c>
      <c r="E98" s="90" t="s">
        <v>1309</v>
      </c>
      <c r="F98" s="90" t="s">
        <v>83</v>
      </c>
      <c r="G98" s="92">
        <f>SUM(J99:J102)</f>
        <v>139.16</v>
      </c>
      <c r="H98" s="93">
        <v>151.19999999999999</v>
      </c>
      <c r="I98" s="93"/>
      <c r="J98" s="94"/>
      <c r="K98" s="88"/>
    </row>
    <row r="99" spans="1:11" s="118" customFormat="1">
      <c r="A99" s="96"/>
      <c r="B99" s="138"/>
      <c r="C99" s="122" t="s">
        <v>1375</v>
      </c>
      <c r="D99" s="97" t="s">
        <v>1329</v>
      </c>
      <c r="E99" s="128">
        <v>3.5</v>
      </c>
      <c r="F99" s="97" t="s">
        <v>1371</v>
      </c>
      <c r="G99" s="129">
        <v>9.94</v>
      </c>
      <c r="H99" s="99" t="s">
        <v>1372</v>
      </c>
      <c r="I99" s="129" t="s">
        <v>1373</v>
      </c>
      <c r="J99" s="130">
        <f>G99*E99</f>
        <v>34.79</v>
      </c>
      <c r="K99" s="131" t="s">
        <v>1374</v>
      </c>
    </row>
    <row r="100" spans="1:11" s="118" customFormat="1">
      <c r="A100" s="96"/>
      <c r="B100" s="138"/>
      <c r="C100" s="122" t="s">
        <v>1375</v>
      </c>
      <c r="D100" s="97" t="s">
        <v>1329</v>
      </c>
      <c r="E100" s="128">
        <f>E99</f>
        <v>3.5</v>
      </c>
      <c r="F100" s="97" t="s">
        <v>1371</v>
      </c>
      <c r="G100" s="128">
        <f>G99</f>
        <v>9.94</v>
      </c>
      <c r="H100" s="99" t="s">
        <v>1372</v>
      </c>
      <c r="I100" s="129" t="s">
        <v>1373</v>
      </c>
      <c r="J100" s="130">
        <f t="shared" ref="J100:J102" si="4">G100*E100</f>
        <v>34.79</v>
      </c>
      <c r="K100" s="131" t="s">
        <v>1374</v>
      </c>
    </row>
    <row r="101" spans="1:11" s="118" customFormat="1">
      <c r="A101" s="96"/>
      <c r="B101" s="138"/>
      <c r="C101" s="122" t="s">
        <v>1375</v>
      </c>
      <c r="D101" s="97" t="s">
        <v>1329</v>
      </c>
      <c r="E101" s="128">
        <f t="shared" ref="E101:E102" si="5">E100</f>
        <v>3.5</v>
      </c>
      <c r="F101" s="97" t="s">
        <v>1371</v>
      </c>
      <c r="G101" s="128">
        <f t="shared" ref="G101:G102" si="6">G100</f>
        <v>9.94</v>
      </c>
      <c r="H101" s="99" t="s">
        <v>1372</v>
      </c>
      <c r="I101" s="129" t="s">
        <v>1373</v>
      </c>
      <c r="J101" s="130">
        <f t="shared" si="4"/>
        <v>34.79</v>
      </c>
      <c r="K101" s="131" t="s">
        <v>1374</v>
      </c>
    </row>
    <row r="102" spans="1:11" s="118" customFormat="1">
      <c r="A102" s="96"/>
      <c r="B102" s="138"/>
      <c r="C102" s="122" t="s">
        <v>1375</v>
      </c>
      <c r="D102" s="97" t="s">
        <v>1329</v>
      </c>
      <c r="E102" s="128">
        <f t="shared" si="5"/>
        <v>3.5</v>
      </c>
      <c r="F102" s="97" t="s">
        <v>1371</v>
      </c>
      <c r="G102" s="128">
        <f t="shared" si="6"/>
        <v>9.94</v>
      </c>
      <c r="H102" s="99" t="s">
        <v>1372</v>
      </c>
      <c r="I102" s="129" t="s">
        <v>1373</v>
      </c>
      <c r="J102" s="130">
        <f t="shared" si="4"/>
        <v>34.79</v>
      </c>
      <c r="K102" s="131" t="s">
        <v>1374</v>
      </c>
    </row>
    <row r="103" spans="1:11" s="118" customFormat="1">
      <c r="A103" s="96"/>
      <c r="B103" s="138"/>
      <c r="C103" s="119"/>
      <c r="D103" s="138"/>
      <c r="E103" s="138"/>
      <c r="F103" s="138"/>
      <c r="G103" s="140"/>
      <c r="H103" s="140"/>
      <c r="I103" s="140"/>
      <c r="J103" s="139"/>
      <c r="K103" s="117"/>
    </row>
    <row r="104" spans="1:11" ht="20">
      <c r="A104" s="89" t="s">
        <v>84</v>
      </c>
      <c r="B104" s="90" t="s">
        <v>85</v>
      </c>
      <c r="C104" s="91" t="s">
        <v>86</v>
      </c>
      <c r="D104" s="90" t="s">
        <v>13</v>
      </c>
      <c r="E104" s="90" t="s">
        <v>1309</v>
      </c>
      <c r="F104" s="90" t="s">
        <v>14</v>
      </c>
      <c r="G104" s="92">
        <v>4</v>
      </c>
      <c r="H104" s="93"/>
      <c r="I104" s="93"/>
      <c r="J104" s="94"/>
      <c r="K104" s="88"/>
    </row>
    <row r="105" spans="1:11" s="118" customFormat="1">
      <c r="A105" s="96"/>
      <c r="B105" s="138"/>
      <c r="C105" s="141" t="s">
        <v>1386</v>
      </c>
      <c r="D105" s="138"/>
      <c r="E105" s="138"/>
      <c r="F105" s="138"/>
      <c r="G105" s="140"/>
      <c r="H105" s="140"/>
      <c r="I105" s="140"/>
      <c r="J105" s="139"/>
      <c r="K105" s="117"/>
    </row>
    <row r="106" spans="1:11" s="118" customFormat="1">
      <c r="A106" s="96"/>
      <c r="B106" s="138"/>
      <c r="C106" s="119"/>
      <c r="D106" s="138"/>
      <c r="E106" s="138"/>
      <c r="F106" s="138"/>
      <c r="G106" s="140"/>
      <c r="H106" s="140"/>
      <c r="I106" s="140"/>
      <c r="J106" s="139"/>
      <c r="K106" s="117"/>
    </row>
    <row r="107" spans="1:11" ht="40">
      <c r="A107" s="89" t="s">
        <v>87</v>
      </c>
      <c r="B107" s="90">
        <v>100764</v>
      </c>
      <c r="C107" s="91" t="s">
        <v>88</v>
      </c>
      <c r="D107" s="90" t="s">
        <v>26</v>
      </c>
      <c r="E107" s="90" t="s">
        <v>1309</v>
      </c>
      <c r="F107" s="90" t="s">
        <v>83</v>
      </c>
      <c r="G107" s="92">
        <f>SUM(J108:J111)</f>
        <v>180.90799999999999</v>
      </c>
      <c r="H107" s="93"/>
      <c r="I107" s="93"/>
      <c r="J107" s="94"/>
      <c r="K107" s="88"/>
    </row>
    <row r="108" spans="1:11" s="118" customFormat="1">
      <c r="A108" s="96"/>
      <c r="B108" s="138"/>
      <c r="C108" s="122" t="s">
        <v>1376</v>
      </c>
      <c r="D108" s="97" t="s">
        <v>1334</v>
      </c>
      <c r="E108" s="128">
        <v>3.25</v>
      </c>
      <c r="F108" s="97" t="s">
        <v>1371</v>
      </c>
      <c r="G108" s="129">
        <v>9.94</v>
      </c>
      <c r="H108" s="99" t="s">
        <v>1372</v>
      </c>
      <c r="I108" s="129" t="s">
        <v>1373</v>
      </c>
      <c r="J108" s="130">
        <f>G108*E108</f>
        <v>32.305</v>
      </c>
      <c r="K108" s="131" t="s">
        <v>1374</v>
      </c>
    </row>
    <row r="109" spans="1:11" s="118" customFormat="1">
      <c r="A109" s="96"/>
      <c r="B109" s="138"/>
      <c r="C109" s="122" t="s">
        <v>1377</v>
      </c>
      <c r="D109" s="97" t="s">
        <v>1334</v>
      </c>
      <c r="E109" s="128">
        <f>E108</f>
        <v>3.25</v>
      </c>
      <c r="F109" s="97" t="s">
        <v>1371</v>
      </c>
      <c r="G109" s="128">
        <f>G108</f>
        <v>9.94</v>
      </c>
      <c r="H109" s="99" t="s">
        <v>1372</v>
      </c>
      <c r="I109" s="129" t="s">
        <v>1373</v>
      </c>
      <c r="J109" s="130">
        <f t="shared" ref="J109:J111" si="7">G109*E109</f>
        <v>32.305</v>
      </c>
      <c r="K109" s="131" t="s">
        <v>1374</v>
      </c>
    </row>
    <row r="110" spans="1:11" s="118" customFormat="1">
      <c r="A110" s="96"/>
      <c r="B110" s="138"/>
      <c r="C110" s="122" t="s">
        <v>1378</v>
      </c>
      <c r="D110" s="97" t="s">
        <v>1334</v>
      </c>
      <c r="E110" s="128">
        <v>5.85</v>
      </c>
      <c r="F110" s="97" t="s">
        <v>1371</v>
      </c>
      <c r="G110" s="128">
        <f t="shared" ref="G110:G111" si="8">G109</f>
        <v>9.94</v>
      </c>
      <c r="H110" s="99" t="s">
        <v>1372</v>
      </c>
      <c r="I110" s="129" t="s">
        <v>1373</v>
      </c>
      <c r="J110" s="130">
        <f t="shared" si="7"/>
        <v>58.148999999999994</v>
      </c>
      <c r="K110" s="131" t="s">
        <v>1374</v>
      </c>
    </row>
    <row r="111" spans="1:11" s="118" customFormat="1">
      <c r="A111" s="96"/>
      <c r="B111" s="138"/>
      <c r="C111" s="122" t="s">
        <v>1379</v>
      </c>
      <c r="D111" s="97" t="s">
        <v>1334</v>
      </c>
      <c r="E111" s="128">
        <f>E110</f>
        <v>5.85</v>
      </c>
      <c r="F111" s="97" t="s">
        <v>1371</v>
      </c>
      <c r="G111" s="128">
        <f t="shared" si="8"/>
        <v>9.94</v>
      </c>
      <c r="H111" s="99" t="s">
        <v>1372</v>
      </c>
      <c r="I111" s="129" t="s">
        <v>1373</v>
      </c>
      <c r="J111" s="130">
        <f t="shared" si="7"/>
        <v>58.148999999999994</v>
      </c>
      <c r="K111" s="131" t="s">
        <v>1374</v>
      </c>
    </row>
    <row r="112" spans="1:11" s="118" customFormat="1">
      <c r="A112" s="96"/>
      <c r="B112" s="138"/>
      <c r="C112" s="119"/>
      <c r="D112" s="138"/>
      <c r="E112" s="138"/>
      <c r="F112" s="138"/>
      <c r="G112" s="140"/>
      <c r="H112" s="140"/>
      <c r="I112" s="140"/>
      <c r="J112" s="139"/>
      <c r="K112" s="117"/>
    </row>
    <row r="113" spans="1:11" ht="40">
      <c r="A113" s="89" t="s">
        <v>89</v>
      </c>
      <c r="B113" s="90">
        <v>92580</v>
      </c>
      <c r="C113" s="91" t="s">
        <v>90</v>
      </c>
      <c r="D113" s="90" t="s">
        <v>26</v>
      </c>
      <c r="E113" s="90" t="s">
        <v>1309</v>
      </c>
      <c r="F113" s="90" t="s">
        <v>34</v>
      </c>
      <c r="G113" s="92">
        <v>23.81</v>
      </c>
      <c r="H113" s="93"/>
      <c r="I113" s="93"/>
      <c r="J113" s="94"/>
      <c r="K113" s="88"/>
    </row>
    <row r="114" spans="1:11" s="118" customFormat="1">
      <c r="A114" s="96"/>
      <c r="B114" s="138"/>
      <c r="C114" s="122" t="s">
        <v>1369</v>
      </c>
      <c r="D114" s="112" t="s">
        <v>1328</v>
      </c>
      <c r="E114" s="114">
        <v>3.35</v>
      </c>
      <c r="F114" s="112" t="s">
        <v>1370</v>
      </c>
      <c r="G114" s="115">
        <v>5.95</v>
      </c>
      <c r="H114" s="115" t="s">
        <v>1330</v>
      </c>
      <c r="I114" s="115">
        <f>G114*E114</f>
        <v>19.932500000000001</v>
      </c>
      <c r="J114" s="139"/>
      <c r="K114" s="117"/>
    </row>
    <row r="115" spans="1:11" s="118" customFormat="1">
      <c r="A115" s="96"/>
      <c r="B115" s="138"/>
      <c r="C115" s="119"/>
      <c r="D115" s="138"/>
      <c r="E115" s="138"/>
      <c r="F115" s="138"/>
      <c r="G115" s="140"/>
      <c r="H115" s="140"/>
      <c r="I115" s="140"/>
      <c r="J115" s="139"/>
      <c r="K115" s="117"/>
    </row>
    <row r="116" spans="1:11" ht="20">
      <c r="A116" s="89" t="s">
        <v>91</v>
      </c>
      <c r="B116" s="90">
        <v>94213</v>
      </c>
      <c r="C116" s="91" t="s">
        <v>92</v>
      </c>
      <c r="D116" s="90" t="s">
        <v>26</v>
      </c>
      <c r="E116" s="90" t="s">
        <v>1309</v>
      </c>
      <c r="F116" s="90" t="s">
        <v>34</v>
      </c>
      <c r="G116" s="92">
        <v>23.81</v>
      </c>
      <c r="H116" s="93"/>
      <c r="I116" s="93"/>
      <c r="J116" s="94"/>
      <c r="K116" s="88"/>
    </row>
    <row r="117" spans="1:11" s="118" customFormat="1">
      <c r="A117" s="96"/>
      <c r="B117" s="138"/>
      <c r="C117" s="122" t="s">
        <v>1369</v>
      </c>
      <c r="D117" s="112" t="s">
        <v>1328</v>
      </c>
      <c r="E117" s="114">
        <v>3.35</v>
      </c>
      <c r="F117" s="112" t="s">
        <v>1370</v>
      </c>
      <c r="G117" s="115">
        <v>5.95</v>
      </c>
      <c r="H117" s="115" t="s">
        <v>1330</v>
      </c>
      <c r="I117" s="115">
        <f>G117*E117</f>
        <v>19.932500000000001</v>
      </c>
      <c r="J117" s="139"/>
      <c r="K117" s="117"/>
    </row>
    <row r="118" spans="1:11" s="118" customFormat="1">
      <c r="A118" s="96"/>
      <c r="B118" s="138"/>
      <c r="C118" s="119"/>
      <c r="D118" s="138"/>
      <c r="E118" s="138"/>
      <c r="F118" s="138"/>
      <c r="G118" s="140"/>
      <c r="H118" s="140"/>
      <c r="I118" s="140"/>
      <c r="J118" s="139"/>
      <c r="K118" s="117"/>
    </row>
    <row r="119" spans="1:11" ht="30">
      <c r="A119" s="89" t="s">
        <v>93</v>
      </c>
      <c r="B119" s="90">
        <v>100720</v>
      </c>
      <c r="C119" s="91" t="s">
        <v>94</v>
      </c>
      <c r="D119" s="90" t="s">
        <v>26</v>
      </c>
      <c r="E119" s="90" t="s">
        <v>1309</v>
      </c>
      <c r="F119" s="90" t="s">
        <v>34</v>
      </c>
      <c r="G119" s="92">
        <f>SUM(H121:H122)</f>
        <v>22.54</v>
      </c>
      <c r="H119" s="93"/>
      <c r="I119" s="93"/>
      <c r="J119" s="94"/>
      <c r="K119" s="88"/>
    </row>
    <row r="120" spans="1:11" s="118" customFormat="1">
      <c r="A120" s="96"/>
      <c r="B120" s="138"/>
      <c r="C120" s="119"/>
      <c r="D120" s="138" t="s">
        <v>1339</v>
      </c>
      <c r="E120" s="138"/>
      <c r="F120" s="138" t="s">
        <v>1382</v>
      </c>
      <c r="G120" s="138"/>
      <c r="H120" s="138" t="s">
        <v>1348</v>
      </c>
      <c r="I120" s="140"/>
      <c r="J120" s="139"/>
      <c r="K120" s="117"/>
    </row>
    <row r="121" spans="1:11" s="118" customFormat="1">
      <c r="A121" s="96"/>
      <c r="B121" s="138"/>
      <c r="C121" s="141" t="s">
        <v>1380</v>
      </c>
      <c r="D121" s="142">
        <f>SUM(E99:E102)</f>
        <v>14</v>
      </c>
      <c r="E121" s="97" t="s">
        <v>797</v>
      </c>
      <c r="F121" s="138">
        <v>0.35</v>
      </c>
      <c r="G121" s="99" t="s">
        <v>797</v>
      </c>
      <c r="H121" s="140">
        <f>D121*F121*2</f>
        <v>9.7999999999999989</v>
      </c>
      <c r="I121" s="99" t="s">
        <v>1359</v>
      </c>
      <c r="J121" s="139"/>
      <c r="K121" s="117"/>
    </row>
    <row r="122" spans="1:11" s="118" customFormat="1">
      <c r="A122" s="96"/>
      <c r="B122" s="138"/>
      <c r="C122" s="141" t="s">
        <v>1381</v>
      </c>
      <c r="D122" s="142">
        <f>SUM(E108:E111)</f>
        <v>18.2</v>
      </c>
      <c r="E122" s="97" t="s">
        <v>797</v>
      </c>
      <c r="F122" s="138">
        <v>0.35</v>
      </c>
      <c r="G122" s="99" t="s">
        <v>797</v>
      </c>
      <c r="H122" s="140">
        <f>D122*F122*2</f>
        <v>12.739999999999998</v>
      </c>
      <c r="I122" s="99" t="s">
        <v>1359</v>
      </c>
      <c r="J122" s="139"/>
      <c r="K122" s="117"/>
    </row>
    <row r="123" spans="1:11" s="118" customFormat="1">
      <c r="A123" s="96"/>
      <c r="B123" s="138"/>
      <c r="C123" s="119"/>
      <c r="D123" s="138"/>
      <c r="E123" s="138"/>
      <c r="F123" s="138"/>
      <c r="G123" s="140"/>
      <c r="H123" s="140"/>
      <c r="I123" s="140"/>
      <c r="J123" s="139"/>
      <c r="K123" s="117"/>
    </row>
    <row r="124" spans="1:11" ht="30">
      <c r="A124" s="89" t="s">
        <v>95</v>
      </c>
      <c r="B124" s="90">
        <v>100740</v>
      </c>
      <c r="C124" s="91" t="s">
        <v>96</v>
      </c>
      <c r="D124" s="90" t="s">
        <v>26</v>
      </c>
      <c r="E124" s="90" t="s">
        <v>1309</v>
      </c>
      <c r="F124" s="90" t="s">
        <v>34</v>
      </c>
      <c r="G124" s="92">
        <f>G119</f>
        <v>22.54</v>
      </c>
      <c r="H124" s="93"/>
      <c r="I124" s="93"/>
      <c r="J124" s="94"/>
      <c r="K124" s="88"/>
    </row>
    <row r="125" spans="1:11" s="118" customFormat="1">
      <c r="A125" s="96"/>
      <c r="B125" s="138"/>
      <c r="C125" s="141" t="s">
        <v>1383</v>
      </c>
      <c r="D125" s="138"/>
      <c r="E125" s="138"/>
      <c r="F125" s="138"/>
      <c r="G125" s="140"/>
      <c r="H125" s="140"/>
      <c r="I125" s="140"/>
      <c r="J125" s="139"/>
      <c r="K125" s="117"/>
    </row>
    <row r="126" spans="1:11" s="118" customFormat="1">
      <c r="A126" s="96"/>
      <c r="B126" s="138"/>
      <c r="C126" s="119"/>
      <c r="D126" s="138"/>
      <c r="E126" s="138"/>
      <c r="F126" s="138"/>
      <c r="G126" s="140"/>
      <c r="H126" s="140"/>
      <c r="I126" s="140"/>
      <c r="J126" s="139"/>
      <c r="K126" s="117"/>
    </row>
    <row r="127" spans="1:11">
      <c r="A127" s="85" t="s">
        <v>97</v>
      </c>
      <c r="B127" s="86" t="s">
        <v>98</v>
      </c>
      <c r="C127" s="86"/>
      <c r="D127" s="86"/>
      <c r="E127" s="86"/>
      <c r="F127" s="86"/>
      <c r="G127" s="85"/>
      <c r="H127" s="93"/>
      <c r="I127" s="93"/>
      <c r="J127" s="87"/>
      <c r="K127" s="88"/>
    </row>
    <row r="128" spans="1:11">
      <c r="A128" s="85"/>
      <c r="B128" s="143" t="s">
        <v>1384</v>
      </c>
      <c r="C128" s="86"/>
      <c r="D128" s="86"/>
      <c r="E128" s="86"/>
      <c r="F128" s="86"/>
      <c r="G128" s="85"/>
      <c r="H128" s="93"/>
      <c r="I128" s="93"/>
      <c r="J128" s="87"/>
      <c r="K128" s="88"/>
    </row>
    <row r="129" spans="1:11">
      <c r="A129" s="85"/>
      <c r="B129" s="143"/>
      <c r="C129" s="86"/>
      <c r="D129" s="86"/>
      <c r="E129" s="86"/>
      <c r="F129" s="86"/>
      <c r="G129" s="85"/>
      <c r="H129" s="93"/>
      <c r="I129" s="93"/>
      <c r="J129" s="87"/>
      <c r="K129" s="88"/>
    </row>
    <row r="130" spans="1:11">
      <c r="A130" s="85" t="s">
        <v>99</v>
      </c>
      <c r="B130" s="86" t="s">
        <v>100</v>
      </c>
      <c r="C130" s="86"/>
      <c r="D130" s="86"/>
      <c r="E130" s="86"/>
      <c r="F130" s="86"/>
      <c r="G130" s="85"/>
      <c r="H130" s="93"/>
      <c r="I130" s="93"/>
      <c r="J130" s="87"/>
      <c r="K130" s="88"/>
    </row>
    <row r="131" spans="1:11" ht="30">
      <c r="A131" s="89" t="s">
        <v>101</v>
      </c>
      <c r="B131" s="90" t="s">
        <v>102</v>
      </c>
      <c r="C131" s="91" t="s">
        <v>103</v>
      </c>
      <c r="D131" s="90" t="s">
        <v>13</v>
      </c>
      <c r="E131" s="90" t="s">
        <v>1309</v>
      </c>
      <c r="F131" s="90" t="s">
        <v>70</v>
      </c>
      <c r="G131" s="92">
        <v>355</v>
      </c>
      <c r="H131" s="93"/>
      <c r="I131" s="93"/>
      <c r="J131" s="94"/>
      <c r="K131" s="88"/>
    </row>
    <row r="132" spans="1:11" s="118" customFormat="1">
      <c r="A132" s="144"/>
      <c r="B132" s="145" t="s">
        <v>1385</v>
      </c>
      <c r="C132" s="146"/>
      <c r="D132" s="145"/>
      <c r="E132" s="145"/>
      <c r="F132" s="145"/>
      <c r="G132" s="147"/>
      <c r="H132" s="147"/>
      <c r="I132" s="147"/>
      <c r="J132" s="148"/>
      <c r="K132" s="117"/>
    </row>
    <row r="133" spans="1:11">
      <c r="A133" s="89"/>
      <c r="B133" s="90"/>
      <c r="C133" s="91"/>
      <c r="D133" s="90"/>
      <c r="E133" s="90"/>
      <c r="F133" s="90"/>
      <c r="G133" s="93"/>
      <c r="H133" s="93"/>
      <c r="I133" s="93"/>
      <c r="J133" s="94"/>
      <c r="K133" s="88"/>
    </row>
    <row r="134" spans="1:11" ht="30">
      <c r="A134" s="89" t="s">
        <v>104</v>
      </c>
      <c r="B134" s="90">
        <v>91926</v>
      </c>
      <c r="C134" s="91" t="s">
        <v>105</v>
      </c>
      <c r="D134" s="90" t="s">
        <v>26</v>
      </c>
      <c r="E134" s="90" t="s">
        <v>1309</v>
      </c>
      <c r="F134" s="90" t="s">
        <v>70</v>
      </c>
      <c r="G134" s="92">
        <v>100</v>
      </c>
      <c r="H134" s="93"/>
      <c r="I134" s="93"/>
      <c r="J134" s="94"/>
      <c r="K134" s="88"/>
    </row>
    <row r="135" spans="1:11" ht="30">
      <c r="A135" s="89" t="s">
        <v>106</v>
      </c>
      <c r="B135" s="90">
        <v>91927</v>
      </c>
      <c r="C135" s="91" t="s">
        <v>107</v>
      </c>
      <c r="D135" s="90" t="s">
        <v>26</v>
      </c>
      <c r="E135" s="90" t="s">
        <v>1309</v>
      </c>
      <c r="F135" s="90" t="s">
        <v>70</v>
      </c>
      <c r="G135" s="92">
        <v>100</v>
      </c>
      <c r="H135" s="93"/>
      <c r="I135" s="93"/>
      <c r="J135" s="94"/>
      <c r="K135" s="88"/>
    </row>
    <row r="136" spans="1:11" ht="30">
      <c r="A136" s="89" t="s">
        <v>108</v>
      </c>
      <c r="B136" s="90">
        <v>91929</v>
      </c>
      <c r="C136" s="91" t="s">
        <v>109</v>
      </c>
      <c r="D136" s="90" t="s">
        <v>26</v>
      </c>
      <c r="E136" s="90" t="s">
        <v>1309</v>
      </c>
      <c r="F136" s="90" t="s">
        <v>70</v>
      </c>
      <c r="G136" s="92">
        <v>670</v>
      </c>
      <c r="H136" s="93"/>
      <c r="I136" s="93"/>
      <c r="J136" s="94"/>
      <c r="K136" s="88"/>
    </row>
    <row r="137" spans="1:11" ht="30">
      <c r="A137" s="89" t="s">
        <v>110</v>
      </c>
      <c r="B137" s="90">
        <v>91931</v>
      </c>
      <c r="C137" s="91" t="s">
        <v>111</v>
      </c>
      <c r="D137" s="90" t="s">
        <v>26</v>
      </c>
      <c r="E137" s="90" t="s">
        <v>1309</v>
      </c>
      <c r="F137" s="90" t="s">
        <v>70</v>
      </c>
      <c r="G137" s="92">
        <v>50</v>
      </c>
      <c r="H137" s="93"/>
      <c r="I137" s="93"/>
      <c r="J137" s="94"/>
      <c r="K137" s="88"/>
    </row>
    <row r="138" spans="1:11" ht="30">
      <c r="A138" s="89" t="s">
        <v>112</v>
      </c>
      <c r="B138" s="90">
        <v>91933</v>
      </c>
      <c r="C138" s="91" t="s">
        <v>113</v>
      </c>
      <c r="D138" s="90" t="s">
        <v>26</v>
      </c>
      <c r="E138" s="90" t="s">
        <v>1309</v>
      </c>
      <c r="F138" s="90" t="s">
        <v>70</v>
      </c>
      <c r="G138" s="92">
        <v>300</v>
      </c>
      <c r="H138" s="93"/>
      <c r="I138" s="93"/>
      <c r="J138" s="94"/>
      <c r="K138" s="88"/>
    </row>
    <row r="139" spans="1:11" ht="30">
      <c r="A139" s="89" t="s">
        <v>114</v>
      </c>
      <c r="B139" s="90">
        <v>101887</v>
      </c>
      <c r="C139" s="91" t="s">
        <v>115</v>
      </c>
      <c r="D139" s="90" t="s">
        <v>26</v>
      </c>
      <c r="E139" s="90" t="s">
        <v>1309</v>
      </c>
      <c r="F139" s="90" t="s">
        <v>70</v>
      </c>
      <c r="G139" s="92">
        <v>520</v>
      </c>
      <c r="H139" s="93"/>
      <c r="I139" s="93"/>
      <c r="J139" s="94"/>
      <c r="K139" s="88"/>
    </row>
    <row r="140" spans="1:11" ht="30">
      <c r="A140" s="89" t="s">
        <v>116</v>
      </c>
      <c r="B140" s="90">
        <v>101889</v>
      </c>
      <c r="C140" s="91" t="s">
        <v>117</v>
      </c>
      <c r="D140" s="90" t="s">
        <v>26</v>
      </c>
      <c r="E140" s="90" t="s">
        <v>1309</v>
      </c>
      <c r="F140" s="90" t="s">
        <v>70</v>
      </c>
      <c r="G140" s="92">
        <v>40</v>
      </c>
      <c r="H140" s="93"/>
      <c r="I140" s="93"/>
      <c r="J140" s="94"/>
      <c r="K140" s="88"/>
    </row>
    <row r="141" spans="1:11" ht="30">
      <c r="A141" s="89" t="s">
        <v>118</v>
      </c>
      <c r="B141" s="90">
        <v>101563</v>
      </c>
      <c r="C141" s="91" t="s">
        <v>119</v>
      </c>
      <c r="D141" s="90" t="s">
        <v>26</v>
      </c>
      <c r="E141" s="90" t="s">
        <v>1309</v>
      </c>
      <c r="F141" s="90" t="s">
        <v>70</v>
      </c>
      <c r="G141" s="92">
        <v>440</v>
      </c>
      <c r="H141" s="93"/>
      <c r="I141" s="93"/>
      <c r="J141" s="94"/>
      <c r="K141" s="88"/>
    </row>
    <row r="142" spans="1:11" ht="20">
      <c r="A142" s="89" t="s">
        <v>120</v>
      </c>
      <c r="B142" s="90">
        <v>96978</v>
      </c>
      <c r="C142" s="91" t="s">
        <v>121</v>
      </c>
      <c r="D142" s="90" t="s">
        <v>26</v>
      </c>
      <c r="E142" s="90" t="s">
        <v>1309</v>
      </c>
      <c r="F142" s="90" t="s">
        <v>70</v>
      </c>
      <c r="G142" s="92">
        <v>10</v>
      </c>
      <c r="H142" s="93"/>
      <c r="I142" s="93"/>
      <c r="J142" s="94"/>
      <c r="K142" s="88"/>
    </row>
    <row r="143" spans="1:11" ht="20">
      <c r="A143" s="89" t="s">
        <v>122</v>
      </c>
      <c r="B143" s="90" t="s">
        <v>123</v>
      </c>
      <c r="C143" s="91" t="s">
        <v>124</v>
      </c>
      <c r="D143" s="90" t="s">
        <v>13</v>
      </c>
      <c r="E143" s="90" t="s">
        <v>1309</v>
      </c>
      <c r="F143" s="90" t="s">
        <v>14</v>
      </c>
      <c r="G143" s="92">
        <v>10</v>
      </c>
      <c r="H143" s="93"/>
      <c r="I143" s="93"/>
      <c r="J143" s="94"/>
      <c r="K143" s="88"/>
    </row>
    <row r="144" spans="1:11" ht="20">
      <c r="A144" s="89" t="s">
        <v>125</v>
      </c>
      <c r="B144" s="90" t="s">
        <v>126</v>
      </c>
      <c r="C144" s="91" t="s">
        <v>127</v>
      </c>
      <c r="D144" s="90" t="s">
        <v>13</v>
      </c>
      <c r="E144" s="90" t="s">
        <v>1309</v>
      </c>
      <c r="F144" s="90" t="s">
        <v>14</v>
      </c>
      <c r="G144" s="92">
        <v>65</v>
      </c>
      <c r="H144" s="93"/>
      <c r="I144" s="93"/>
      <c r="J144" s="94"/>
      <c r="K144" s="88"/>
    </row>
    <row r="145" spans="1:11" ht="20">
      <c r="A145" s="89" t="s">
        <v>128</v>
      </c>
      <c r="B145" s="90" t="s">
        <v>129</v>
      </c>
      <c r="C145" s="91" t="s">
        <v>130</v>
      </c>
      <c r="D145" s="90" t="s">
        <v>13</v>
      </c>
      <c r="E145" s="90" t="s">
        <v>1309</v>
      </c>
      <c r="F145" s="90" t="s">
        <v>14</v>
      </c>
      <c r="G145" s="92">
        <v>5</v>
      </c>
      <c r="H145" s="93"/>
      <c r="I145" s="93"/>
      <c r="J145" s="94"/>
      <c r="K145" s="88"/>
    </row>
    <row r="146" spans="1:11" ht="20">
      <c r="A146" s="89" t="s">
        <v>131</v>
      </c>
      <c r="B146" s="90" t="s">
        <v>132</v>
      </c>
      <c r="C146" s="91" t="s">
        <v>133</v>
      </c>
      <c r="D146" s="90" t="s">
        <v>13</v>
      </c>
      <c r="E146" s="90" t="s">
        <v>1309</v>
      </c>
      <c r="F146" s="90" t="s">
        <v>14</v>
      </c>
      <c r="G146" s="92">
        <v>30</v>
      </c>
      <c r="H146" s="93"/>
      <c r="I146" s="93"/>
      <c r="J146" s="94"/>
      <c r="K146" s="88"/>
    </row>
    <row r="147" spans="1:11" ht="20">
      <c r="A147" s="89" t="s">
        <v>134</v>
      </c>
      <c r="B147" s="90" t="s">
        <v>135</v>
      </c>
      <c r="C147" s="91" t="s">
        <v>136</v>
      </c>
      <c r="D147" s="90" t="s">
        <v>13</v>
      </c>
      <c r="E147" s="90" t="s">
        <v>1309</v>
      </c>
      <c r="F147" s="90" t="s">
        <v>14</v>
      </c>
      <c r="G147" s="92">
        <v>52</v>
      </c>
      <c r="H147" s="93"/>
      <c r="I147" s="93"/>
      <c r="J147" s="94"/>
      <c r="K147" s="88"/>
    </row>
    <row r="148" spans="1:11" ht="20">
      <c r="A148" s="89" t="s">
        <v>137</v>
      </c>
      <c r="B148" s="90" t="s">
        <v>138</v>
      </c>
      <c r="C148" s="91" t="s">
        <v>139</v>
      </c>
      <c r="D148" s="90" t="s">
        <v>13</v>
      </c>
      <c r="E148" s="90" t="s">
        <v>1309</v>
      </c>
      <c r="F148" s="90" t="s">
        <v>14</v>
      </c>
      <c r="G148" s="92">
        <v>4</v>
      </c>
      <c r="H148" s="93"/>
      <c r="I148" s="93"/>
      <c r="J148" s="94"/>
      <c r="K148" s="88"/>
    </row>
    <row r="149" spans="1:11" ht="20">
      <c r="A149" s="89" t="s">
        <v>140</v>
      </c>
      <c r="B149" s="90" t="s">
        <v>141</v>
      </c>
      <c r="C149" s="91" t="s">
        <v>142</v>
      </c>
      <c r="D149" s="90" t="s">
        <v>13</v>
      </c>
      <c r="E149" s="90" t="s">
        <v>1309</v>
      </c>
      <c r="F149" s="90" t="s">
        <v>14</v>
      </c>
      <c r="G149" s="92">
        <v>44</v>
      </c>
      <c r="H149" s="93"/>
      <c r="I149" s="93"/>
      <c r="J149" s="94"/>
      <c r="K149" s="88"/>
    </row>
    <row r="150" spans="1:11">
      <c r="A150" s="85" t="s">
        <v>143</v>
      </c>
      <c r="B150" s="86" t="s">
        <v>144</v>
      </c>
      <c r="C150" s="86"/>
      <c r="D150" s="86"/>
      <c r="E150" s="86"/>
      <c r="F150" s="86"/>
      <c r="G150" s="149"/>
      <c r="H150" s="93"/>
      <c r="I150" s="93"/>
      <c r="J150" s="87"/>
      <c r="K150" s="88"/>
    </row>
    <row r="151" spans="1:11" ht="20">
      <c r="A151" s="89" t="s">
        <v>145</v>
      </c>
      <c r="B151" s="90" t="s">
        <v>146</v>
      </c>
      <c r="C151" s="91" t="s">
        <v>147</v>
      </c>
      <c r="D151" s="90" t="s">
        <v>13</v>
      </c>
      <c r="E151" s="90" t="s">
        <v>1309</v>
      </c>
      <c r="F151" s="90" t="s">
        <v>70</v>
      </c>
      <c r="G151" s="92">
        <v>15</v>
      </c>
      <c r="H151" s="93"/>
      <c r="I151" s="93"/>
      <c r="J151" s="94"/>
      <c r="K151" s="88"/>
    </row>
    <row r="152" spans="1:11" ht="20">
      <c r="A152" s="89" t="s">
        <v>148</v>
      </c>
      <c r="B152" s="90" t="s">
        <v>149</v>
      </c>
      <c r="C152" s="91" t="s">
        <v>150</v>
      </c>
      <c r="D152" s="90" t="s">
        <v>13</v>
      </c>
      <c r="E152" s="90" t="s">
        <v>1309</v>
      </c>
      <c r="F152" s="90" t="s">
        <v>70</v>
      </c>
      <c r="G152" s="92">
        <v>3</v>
      </c>
      <c r="H152" s="93"/>
      <c r="I152" s="93"/>
      <c r="J152" s="94"/>
      <c r="K152" s="88"/>
    </row>
    <row r="153" spans="1:11" ht="40">
      <c r="A153" s="89" t="s">
        <v>151</v>
      </c>
      <c r="B153" s="90">
        <v>104785</v>
      </c>
      <c r="C153" s="91" t="s">
        <v>152</v>
      </c>
      <c r="D153" s="90" t="s">
        <v>26</v>
      </c>
      <c r="E153" s="90" t="s">
        <v>1309</v>
      </c>
      <c r="F153" s="90" t="s">
        <v>70</v>
      </c>
      <c r="G153" s="92">
        <v>18</v>
      </c>
      <c r="H153" s="93"/>
      <c r="I153" s="93"/>
      <c r="J153" s="94"/>
      <c r="K153" s="88"/>
    </row>
    <row r="154" spans="1:11" ht="20">
      <c r="A154" s="89" t="s">
        <v>153</v>
      </c>
      <c r="B154" s="90" t="s">
        <v>154</v>
      </c>
      <c r="C154" s="91" t="s">
        <v>155</v>
      </c>
      <c r="D154" s="90" t="s">
        <v>13</v>
      </c>
      <c r="E154" s="90" t="s">
        <v>1309</v>
      </c>
      <c r="F154" s="90" t="s">
        <v>14</v>
      </c>
      <c r="G154" s="92">
        <v>1</v>
      </c>
      <c r="H154" s="93"/>
      <c r="I154" s="93"/>
      <c r="J154" s="94"/>
      <c r="K154" s="88"/>
    </row>
    <row r="155" spans="1:11" ht="30">
      <c r="A155" s="89" t="s">
        <v>156</v>
      </c>
      <c r="B155" s="90">
        <v>95802</v>
      </c>
      <c r="C155" s="91" t="s">
        <v>157</v>
      </c>
      <c r="D155" s="90" t="s">
        <v>26</v>
      </c>
      <c r="E155" s="90" t="s">
        <v>1309</v>
      </c>
      <c r="F155" s="90" t="s">
        <v>14</v>
      </c>
      <c r="G155" s="92">
        <v>1</v>
      </c>
      <c r="H155" s="93"/>
      <c r="I155" s="93"/>
      <c r="J155" s="94"/>
      <c r="K155" s="88"/>
    </row>
    <row r="156" spans="1:11" ht="30">
      <c r="A156" s="89" t="s">
        <v>158</v>
      </c>
      <c r="B156" s="90">
        <v>95796</v>
      </c>
      <c r="C156" s="91" t="s">
        <v>159</v>
      </c>
      <c r="D156" s="90" t="s">
        <v>26</v>
      </c>
      <c r="E156" s="90" t="s">
        <v>1309</v>
      </c>
      <c r="F156" s="90" t="s">
        <v>14</v>
      </c>
      <c r="G156" s="92">
        <v>3</v>
      </c>
      <c r="H156" s="93"/>
      <c r="I156" s="93"/>
      <c r="J156" s="94"/>
      <c r="K156" s="88"/>
    </row>
    <row r="157" spans="1:11" ht="30">
      <c r="A157" s="89" t="s">
        <v>160</v>
      </c>
      <c r="B157" s="90">
        <v>95791</v>
      </c>
      <c r="C157" s="91" t="s">
        <v>161</v>
      </c>
      <c r="D157" s="90" t="s">
        <v>26</v>
      </c>
      <c r="E157" s="90" t="s">
        <v>1309</v>
      </c>
      <c r="F157" s="90" t="s">
        <v>14</v>
      </c>
      <c r="G157" s="92">
        <v>1</v>
      </c>
      <c r="H157" s="93"/>
      <c r="I157" s="93"/>
      <c r="J157" s="94"/>
      <c r="K157" s="88"/>
    </row>
    <row r="158" spans="1:11" ht="30">
      <c r="A158" s="89" t="s">
        <v>162</v>
      </c>
      <c r="B158" s="90">
        <v>95782</v>
      </c>
      <c r="C158" s="91" t="s">
        <v>163</v>
      </c>
      <c r="D158" s="90" t="s">
        <v>26</v>
      </c>
      <c r="E158" s="90" t="s">
        <v>1309</v>
      </c>
      <c r="F158" s="90" t="s">
        <v>14</v>
      </c>
      <c r="G158" s="92">
        <v>2</v>
      </c>
      <c r="H158" s="93"/>
      <c r="I158" s="93"/>
      <c r="J158" s="94"/>
      <c r="K158" s="88"/>
    </row>
    <row r="159" spans="1:11" ht="30">
      <c r="A159" s="89" t="s">
        <v>164</v>
      </c>
      <c r="B159" s="90">
        <v>95793</v>
      </c>
      <c r="C159" s="91" t="s">
        <v>165</v>
      </c>
      <c r="D159" s="90" t="s">
        <v>26</v>
      </c>
      <c r="E159" s="90" t="s">
        <v>1309</v>
      </c>
      <c r="F159" s="90" t="s">
        <v>14</v>
      </c>
      <c r="G159" s="92">
        <v>2</v>
      </c>
      <c r="H159" s="93"/>
      <c r="I159" s="93"/>
      <c r="J159" s="94"/>
      <c r="K159" s="88"/>
    </row>
    <row r="160" spans="1:11">
      <c r="A160" s="85" t="s">
        <v>166</v>
      </c>
      <c r="B160" s="86" t="s">
        <v>167</v>
      </c>
      <c r="C160" s="86"/>
      <c r="D160" s="86"/>
      <c r="E160" s="86"/>
      <c r="F160" s="86"/>
      <c r="G160" s="149"/>
      <c r="H160" s="93"/>
      <c r="I160" s="93"/>
      <c r="J160" s="87"/>
      <c r="K160" s="88"/>
    </row>
    <row r="161" spans="1:11" ht="20">
      <c r="A161" s="89" t="s">
        <v>168</v>
      </c>
      <c r="B161" s="90" t="s">
        <v>169</v>
      </c>
      <c r="C161" s="91" t="s">
        <v>170</v>
      </c>
      <c r="D161" s="90" t="s">
        <v>13</v>
      </c>
      <c r="E161" s="90" t="s">
        <v>1309</v>
      </c>
      <c r="F161" s="90" t="s">
        <v>14</v>
      </c>
      <c r="G161" s="92">
        <v>2</v>
      </c>
      <c r="H161" s="93"/>
      <c r="I161" s="93"/>
      <c r="J161" s="94"/>
      <c r="K161" s="88"/>
    </row>
    <row r="162" spans="1:11" ht="20">
      <c r="A162" s="89" t="s">
        <v>171</v>
      </c>
      <c r="B162" s="90" t="s">
        <v>172</v>
      </c>
      <c r="C162" s="91" t="s">
        <v>173</v>
      </c>
      <c r="D162" s="90" t="s">
        <v>13</v>
      </c>
      <c r="E162" s="90" t="s">
        <v>1309</v>
      </c>
      <c r="F162" s="90" t="s">
        <v>174</v>
      </c>
      <c r="G162" s="92">
        <v>3</v>
      </c>
      <c r="H162" s="93"/>
      <c r="I162" s="93"/>
      <c r="J162" s="94"/>
      <c r="K162" s="88"/>
    </row>
    <row r="163" spans="1:11" ht="30">
      <c r="A163" s="89" t="s">
        <v>175</v>
      </c>
      <c r="B163" s="90" t="s">
        <v>176</v>
      </c>
      <c r="C163" s="91" t="s">
        <v>177</v>
      </c>
      <c r="D163" s="90" t="s">
        <v>13</v>
      </c>
      <c r="E163" s="90" t="s">
        <v>1309</v>
      </c>
      <c r="F163" s="90" t="s">
        <v>14</v>
      </c>
      <c r="G163" s="92">
        <v>3</v>
      </c>
      <c r="H163" s="93"/>
      <c r="I163" s="93"/>
      <c r="J163" s="94"/>
      <c r="K163" s="88"/>
    </row>
    <row r="164" spans="1:11" ht="20">
      <c r="A164" s="89" t="s">
        <v>178</v>
      </c>
      <c r="B164" s="90" t="s">
        <v>179</v>
      </c>
      <c r="C164" s="91" t="s">
        <v>180</v>
      </c>
      <c r="D164" s="90" t="s">
        <v>13</v>
      </c>
      <c r="E164" s="90" t="s">
        <v>1309</v>
      </c>
      <c r="F164" s="90" t="s">
        <v>14</v>
      </c>
      <c r="G164" s="92">
        <v>1</v>
      </c>
      <c r="H164" s="93"/>
      <c r="I164" s="93"/>
      <c r="J164" s="94"/>
      <c r="K164" s="88"/>
    </row>
    <row r="165" spans="1:11" ht="20">
      <c r="A165" s="89" t="s">
        <v>181</v>
      </c>
      <c r="B165" s="90">
        <v>97599</v>
      </c>
      <c r="C165" s="91" t="s">
        <v>182</v>
      </c>
      <c r="D165" s="90" t="s">
        <v>26</v>
      </c>
      <c r="E165" s="90" t="s">
        <v>1309</v>
      </c>
      <c r="F165" s="90" t="s">
        <v>14</v>
      </c>
      <c r="G165" s="92">
        <v>4</v>
      </c>
      <c r="H165" s="93"/>
      <c r="I165" s="93"/>
      <c r="J165" s="94"/>
      <c r="K165" s="88"/>
    </row>
    <row r="166" spans="1:11" ht="20">
      <c r="A166" s="89" t="s">
        <v>183</v>
      </c>
      <c r="B166" s="90">
        <v>91959</v>
      </c>
      <c r="C166" s="91" t="s">
        <v>184</v>
      </c>
      <c r="D166" s="90" t="s">
        <v>26</v>
      </c>
      <c r="E166" s="90" t="s">
        <v>1309</v>
      </c>
      <c r="F166" s="90" t="s">
        <v>14</v>
      </c>
      <c r="G166" s="92">
        <v>1</v>
      </c>
      <c r="H166" s="93"/>
      <c r="I166" s="93"/>
      <c r="J166" s="94"/>
      <c r="K166" s="88"/>
    </row>
    <row r="167" spans="1:11" ht="20">
      <c r="A167" s="89" t="s">
        <v>185</v>
      </c>
      <c r="B167" s="90">
        <v>92013</v>
      </c>
      <c r="C167" s="91" t="s">
        <v>186</v>
      </c>
      <c r="D167" s="90" t="s">
        <v>26</v>
      </c>
      <c r="E167" s="90" t="s">
        <v>1309</v>
      </c>
      <c r="F167" s="90" t="s">
        <v>14</v>
      </c>
      <c r="G167" s="92">
        <v>2</v>
      </c>
      <c r="H167" s="93"/>
      <c r="I167" s="93"/>
      <c r="J167" s="94"/>
      <c r="K167" s="88"/>
    </row>
    <row r="168" spans="1:11" ht="20">
      <c r="A168" s="89" t="s">
        <v>187</v>
      </c>
      <c r="B168" s="90">
        <v>92012</v>
      </c>
      <c r="C168" s="91" t="s">
        <v>188</v>
      </c>
      <c r="D168" s="90" t="s">
        <v>26</v>
      </c>
      <c r="E168" s="90" t="s">
        <v>1309</v>
      </c>
      <c r="F168" s="90" t="s">
        <v>14</v>
      </c>
      <c r="G168" s="92">
        <v>1</v>
      </c>
      <c r="H168" s="93"/>
      <c r="I168" s="93"/>
      <c r="J168" s="94"/>
      <c r="K168" s="88"/>
    </row>
    <row r="169" spans="1:11" ht="40">
      <c r="A169" s="89" t="s">
        <v>189</v>
      </c>
      <c r="B169" s="90">
        <v>101878</v>
      </c>
      <c r="C169" s="91" t="s">
        <v>190</v>
      </c>
      <c r="D169" s="90" t="s">
        <v>26</v>
      </c>
      <c r="E169" s="90" t="s">
        <v>1309</v>
      </c>
      <c r="F169" s="90" t="s">
        <v>14</v>
      </c>
      <c r="G169" s="92">
        <v>1</v>
      </c>
      <c r="H169" s="93"/>
      <c r="I169" s="93"/>
      <c r="J169" s="94"/>
      <c r="K169" s="88"/>
    </row>
    <row r="170" spans="1:11" ht="20">
      <c r="A170" s="89" t="s">
        <v>191</v>
      </c>
      <c r="B170" s="90" t="s">
        <v>192</v>
      </c>
      <c r="C170" s="91" t="s">
        <v>193</v>
      </c>
      <c r="D170" s="90" t="s">
        <v>13</v>
      </c>
      <c r="E170" s="90" t="s">
        <v>1309</v>
      </c>
      <c r="F170" s="90" t="s">
        <v>14</v>
      </c>
      <c r="G170" s="92">
        <v>1</v>
      </c>
      <c r="H170" s="93"/>
      <c r="I170" s="93"/>
      <c r="J170" s="94"/>
      <c r="K170" s="88"/>
    </row>
    <row r="171" spans="1:11" ht="20">
      <c r="A171" s="89" t="s">
        <v>194</v>
      </c>
      <c r="B171" s="90" t="s">
        <v>195</v>
      </c>
      <c r="C171" s="91" t="s">
        <v>196</v>
      </c>
      <c r="D171" s="90" t="s">
        <v>13</v>
      </c>
      <c r="E171" s="90" t="s">
        <v>1309</v>
      </c>
      <c r="F171" s="90" t="s">
        <v>14</v>
      </c>
      <c r="G171" s="92">
        <v>3</v>
      </c>
      <c r="H171" s="93"/>
      <c r="I171" s="93"/>
      <c r="J171" s="94"/>
      <c r="K171" s="88"/>
    </row>
    <row r="172" spans="1:11" ht="20">
      <c r="A172" s="89" t="s">
        <v>197</v>
      </c>
      <c r="B172" s="90">
        <v>101909</v>
      </c>
      <c r="C172" s="91" t="s">
        <v>198</v>
      </c>
      <c r="D172" s="90" t="s">
        <v>26</v>
      </c>
      <c r="E172" s="90" t="s">
        <v>1309</v>
      </c>
      <c r="F172" s="90" t="s">
        <v>14</v>
      </c>
      <c r="G172" s="92">
        <v>1</v>
      </c>
      <c r="H172" s="93"/>
      <c r="I172" s="93"/>
      <c r="J172" s="94"/>
      <c r="K172" s="88"/>
    </row>
    <row r="173" spans="1:11" ht="20">
      <c r="A173" s="89" t="s">
        <v>199</v>
      </c>
      <c r="B173" s="90" t="s">
        <v>200</v>
      </c>
      <c r="C173" s="91" t="s">
        <v>201</v>
      </c>
      <c r="D173" s="90" t="s">
        <v>13</v>
      </c>
      <c r="E173" s="90" t="s">
        <v>1309</v>
      </c>
      <c r="F173" s="90" t="s">
        <v>14</v>
      </c>
      <c r="G173" s="92">
        <v>3</v>
      </c>
      <c r="H173" s="93"/>
      <c r="I173" s="93"/>
      <c r="J173" s="94"/>
      <c r="K173" s="88"/>
    </row>
    <row r="174" spans="1:11" ht="20">
      <c r="A174" s="89" t="s">
        <v>202</v>
      </c>
      <c r="B174" s="90">
        <v>96985</v>
      </c>
      <c r="C174" s="91" t="s">
        <v>203</v>
      </c>
      <c r="D174" s="90" t="s">
        <v>26</v>
      </c>
      <c r="E174" s="90" t="s">
        <v>1309</v>
      </c>
      <c r="F174" s="90" t="s">
        <v>14</v>
      </c>
      <c r="G174" s="92">
        <v>3</v>
      </c>
      <c r="H174" s="93"/>
      <c r="I174" s="93"/>
      <c r="J174" s="94"/>
      <c r="K174" s="88"/>
    </row>
    <row r="175" spans="1:11" ht="30">
      <c r="A175" s="89" t="s">
        <v>204</v>
      </c>
      <c r="B175" s="90" t="s">
        <v>205</v>
      </c>
      <c r="C175" s="91" t="s">
        <v>206</v>
      </c>
      <c r="D175" s="90" t="s">
        <v>13</v>
      </c>
      <c r="E175" s="90" t="s">
        <v>1309</v>
      </c>
      <c r="F175" s="90" t="s">
        <v>207</v>
      </c>
      <c r="G175" s="92">
        <v>1</v>
      </c>
      <c r="H175" s="93"/>
      <c r="I175" s="93"/>
      <c r="J175" s="94"/>
      <c r="K175" s="88"/>
    </row>
    <row r="176" spans="1:11">
      <c r="A176" s="85" t="s">
        <v>208</v>
      </c>
      <c r="B176" s="86" t="s">
        <v>209</v>
      </c>
      <c r="C176" s="86"/>
      <c r="D176" s="86"/>
      <c r="E176" s="86"/>
      <c r="F176" s="86"/>
      <c r="G176" s="85"/>
      <c r="H176" s="93"/>
      <c r="I176" s="93"/>
      <c r="J176" s="87"/>
      <c r="K176" s="88"/>
    </row>
    <row r="177" spans="1:13" ht="20">
      <c r="A177" s="89" t="s">
        <v>210</v>
      </c>
      <c r="B177" s="90">
        <v>104789</v>
      </c>
      <c r="C177" s="91" t="s">
        <v>211</v>
      </c>
      <c r="D177" s="90" t="s">
        <v>26</v>
      </c>
      <c r="E177" s="90" t="s">
        <v>1309</v>
      </c>
      <c r="F177" s="90" t="s">
        <v>45</v>
      </c>
      <c r="G177" s="92">
        <v>0.9</v>
      </c>
      <c r="H177" s="93"/>
      <c r="I177" s="93"/>
      <c r="J177" s="94"/>
      <c r="K177" s="88"/>
    </row>
    <row r="178" spans="1:13" ht="20">
      <c r="A178" s="89" t="s">
        <v>212</v>
      </c>
      <c r="B178" s="90" t="s">
        <v>213</v>
      </c>
      <c r="C178" s="91" t="s">
        <v>214</v>
      </c>
      <c r="D178" s="90" t="s">
        <v>13</v>
      </c>
      <c r="E178" s="90" t="s">
        <v>1309</v>
      </c>
      <c r="F178" s="90" t="s">
        <v>70</v>
      </c>
      <c r="G178" s="92">
        <v>15</v>
      </c>
      <c r="H178" s="93"/>
      <c r="I178" s="93"/>
      <c r="J178" s="94"/>
      <c r="K178" s="88"/>
    </row>
    <row r="179" spans="1:13">
      <c r="A179" s="85" t="s">
        <v>215</v>
      </c>
      <c r="B179" s="86" t="s">
        <v>216</v>
      </c>
      <c r="C179" s="86"/>
      <c r="D179" s="86"/>
      <c r="E179" s="86"/>
      <c r="F179" s="86"/>
      <c r="G179" s="85"/>
      <c r="H179" s="93"/>
      <c r="I179" s="93"/>
      <c r="J179" s="87"/>
      <c r="K179" s="88"/>
    </row>
    <row r="180" spans="1:13" ht="30">
      <c r="A180" s="89" t="s">
        <v>217</v>
      </c>
      <c r="B180" s="90" t="s">
        <v>218</v>
      </c>
      <c r="C180" s="91" t="s">
        <v>219</v>
      </c>
      <c r="D180" s="90" t="s">
        <v>13</v>
      </c>
      <c r="E180" s="90" t="s">
        <v>1310</v>
      </c>
      <c r="F180" s="90" t="s">
        <v>207</v>
      </c>
      <c r="G180" s="92">
        <v>1</v>
      </c>
      <c r="H180" s="93"/>
      <c r="I180" s="93"/>
      <c r="J180" s="94"/>
      <c r="K180" s="88"/>
    </row>
    <row r="181" spans="1:13" ht="20">
      <c r="A181" s="89" t="s">
        <v>220</v>
      </c>
      <c r="B181" s="90" t="s">
        <v>221</v>
      </c>
      <c r="C181" s="91" t="s">
        <v>222</v>
      </c>
      <c r="D181" s="90" t="s">
        <v>13</v>
      </c>
      <c r="E181" s="90" t="s">
        <v>1310</v>
      </c>
      <c r="F181" s="90" t="s">
        <v>207</v>
      </c>
      <c r="G181" s="92">
        <v>1</v>
      </c>
      <c r="H181" s="93"/>
      <c r="I181" s="93"/>
      <c r="J181" s="94"/>
      <c r="K181" s="88"/>
    </row>
    <row r="182" spans="1:13" ht="30">
      <c r="A182" s="89" t="s">
        <v>223</v>
      </c>
      <c r="B182" s="90">
        <v>39250</v>
      </c>
      <c r="C182" s="91" t="s">
        <v>224</v>
      </c>
      <c r="D182" s="90" t="s">
        <v>26</v>
      </c>
      <c r="E182" s="90" t="s">
        <v>1310</v>
      </c>
      <c r="F182" s="90" t="s">
        <v>70</v>
      </c>
      <c r="G182" s="92">
        <v>421.22</v>
      </c>
      <c r="H182" s="93"/>
      <c r="I182" s="93"/>
      <c r="J182" s="94"/>
      <c r="K182" s="88"/>
    </row>
    <row r="183" spans="1:13">
      <c r="A183" s="85" t="s">
        <v>225</v>
      </c>
      <c r="B183" s="86" t="s">
        <v>226</v>
      </c>
      <c r="C183" s="86"/>
      <c r="D183" s="86"/>
      <c r="E183" s="86"/>
      <c r="F183" s="86"/>
      <c r="G183" s="85"/>
      <c r="H183" s="93"/>
      <c r="I183" s="93"/>
      <c r="J183" s="87"/>
      <c r="K183" s="88"/>
    </row>
    <row r="184" spans="1:13" ht="40">
      <c r="A184" s="89" t="s">
        <v>227</v>
      </c>
      <c r="B184" s="90" t="s">
        <v>65</v>
      </c>
      <c r="C184" s="91" t="s">
        <v>228</v>
      </c>
      <c r="D184" s="90" t="s">
        <v>13</v>
      </c>
      <c r="E184" s="90" t="s">
        <v>1309</v>
      </c>
      <c r="F184" s="90" t="s">
        <v>14</v>
      </c>
      <c r="G184" s="92">
        <v>1</v>
      </c>
      <c r="H184" s="93"/>
      <c r="I184" s="93"/>
      <c r="J184" s="94"/>
      <c r="K184" s="88"/>
    </row>
    <row r="185" spans="1:13" ht="20">
      <c r="A185" s="89" t="s">
        <v>229</v>
      </c>
      <c r="B185" s="90" t="s">
        <v>230</v>
      </c>
      <c r="C185" s="91" t="s">
        <v>231</v>
      </c>
      <c r="D185" s="90" t="s">
        <v>13</v>
      </c>
      <c r="E185" s="90" t="s">
        <v>1309</v>
      </c>
      <c r="F185" s="90" t="s">
        <v>14</v>
      </c>
      <c r="G185" s="92">
        <v>1</v>
      </c>
      <c r="H185" s="93"/>
      <c r="I185" s="93"/>
      <c r="J185" s="94"/>
      <c r="K185" s="88"/>
    </row>
    <row r="186" spans="1:13" ht="40">
      <c r="A186" s="89" t="s">
        <v>232</v>
      </c>
      <c r="B186" s="90">
        <v>91635</v>
      </c>
      <c r="C186" s="91" t="s">
        <v>233</v>
      </c>
      <c r="D186" s="90" t="s">
        <v>26</v>
      </c>
      <c r="E186" s="90" t="s">
        <v>1309</v>
      </c>
      <c r="F186" s="90" t="s">
        <v>234</v>
      </c>
      <c r="G186" s="92">
        <v>4</v>
      </c>
      <c r="H186" s="93"/>
      <c r="I186" s="93"/>
      <c r="J186" s="94"/>
      <c r="K186" s="88"/>
    </row>
    <row r="187" spans="1:13" ht="40">
      <c r="A187" s="89" t="s">
        <v>235</v>
      </c>
      <c r="B187" s="90">
        <v>91634</v>
      </c>
      <c r="C187" s="91" t="s">
        <v>236</v>
      </c>
      <c r="D187" s="90" t="s">
        <v>26</v>
      </c>
      <c r="E187" s="90" t="s">
        <v>1309</v>
      </c>
      <c r="F187" s="90" t="s">
        <v>237</v>
      </c>
      <c r="G187" s="92">
        <v>8</v>
      </c>
      <c r="H187" s="93"/>
      <c r="I187" s="93"/>
      <c r="J187" s="94"/>
      <c r="K187" s="88"/>
    </row>
    <row r="188" spans="1:13">
      <c r="A188" s="85" t="s">
        <v>238</v>
      </c>
      <c r="B188" s="86" t="s">
        <v>239</v>
      </c>
      <c r="C188" s="86"/>
      <c r="D188" s="86"/>
      <c r="E188" s="86"/>
      <c r="F188" s="150"/>
      <c r="G188" s="151"/>
      <c r="H188" s="152"/>
      <c r="I188" s="152"/>
      <c r="J188" s="153"/>
      <c r="K188" s="88"/>
    </row>
    <row r="189" spans="1:13" ht="20">
      <c r="A189" s="89" t="s">
        <v>240</v>
      </c>
      <c r="B189" s="90">
        <v>97637</v>
      </c>
      <c r="C189" s="91" t="s">
        <v>241</v>
      </c>
      <c r="D189" s="90" t="s">
        <v>26</v>
      </c>
      <c r="E189" s="154" t="s">
        <v>1309</v>
      </c>
      <c r="F189" s="155" t="s">
        <v>34</v>
      </c>
      <c r="G189" s="156">
        <v>36.299999999999997</v>
      </c>
      <c r="H189" s="157"/>
      <c r="I189" s="157"/>
      <c r="J189" s="158"/>
      <c r="K189" s="88"/>
    </row>
    <row r="190" spans="1:13">
      <c r="A190" s="89"/>
      <c r="B190" s="90"/>
      <c r="C190" s="119" t="s">
        <v>1332</v>
      </c>
      <c r="D190" s="112" t="s">
        <v>1331</v>
      </c>
      <c r="E190" s="114">
        <v>18.149999999999999</v>
      </c>
      <c r="F190" s="112" t="s">
        <v>1329</v>
      </c>
      <c r="G190" s="115">
        <v>2</v>
      </c>
      <c r="H190" s="115" t="s">
        <v>1330</v>
      </c>
      <c r="I190" s="115">
        <f>G190*E190</f>
        <v>36.299999999999997</v>
      </c>
      <c r="J190" s="94"/>
      <c r="K190" s="88"/>
    </row>
    <row r="191" spans="1:13">
      <c r="A191" s="159"/>
      <c r="B191" s="160"/>
      <c r="C191" s="160"/>
      <c r="D191" s="160"/>
      <c r="E191" s="161"/>
      <c r="F191" s="161"/>
      <c r="G191" s="162"/>
      <c r="H191" s="162"/>
      <c r="I191" s="163"/>
      <c r="J191" s="164"/>
      <c r="K191" s="88"/>
      <c r="M191" s="165"/>
    </row>
    <row r="192" spans="1:13" ht="15" customHeight="1">
      <c r="A192" s="82"/>
      <c r="B192" s="82"/>
      <c r="C192" s="82"/>
      <c r="D192" s="82"/>
      <c r="E192" s="82"/>
      <c r="F192" s="166"/>
      <c r="G192" s="2"/>
      <c r="H192" s="2"/>
      <c r="I192" s="2"/>
      <c r="J192" s="6"/>
    </row>
    <row r="193" spans="1:10" ht="15" customHeight="1">
      <c r="A193" s="82"/>
      <c r="B193" s="82"/>
      <c r="C193" s="82"/>
      <c r="D193" s="82"/>
      <c r="E193" s="82"/>
      <c r="F193" s="166"/>
      <c r="G193" s="2"/>
      <c r="H193" s="2"/>
      <c r="I193" s="2"/>
      <c r="J193" s="6"/>
    </row>
    <row r="194" spans="1:10" ht="15" customHeight="1">
      <c r="A194" s="82"/>
      <c r="B194" s="82"/>
      <c r="C194" s="82"/>
      <c r="D194" s="82"/>
      <c r="E194" s="82"/>
      <c r="F194" s="166"/>
      <c r="G194" s="2"/>
      <c r="H194" s="2"/>
      <c r="I194" s="2"/>
      <c r="J194" s="6"/>
    </row>
  </sheetData>
  <phoneticPr fontId="11" type="noConversion"/>
  <conditionalFormatting sqref="H2:H4 J5:J9 H10:H61 H64:H119 H121:H1048576">
    <cfRule type="cellIs" dxfId="2" priority="2" operator="equal">
      <formula>0</formula>
    </cfRule>
  </conditionalFormatting>
  <conditionalFormatting sqref="I3:I10 I12:I52 I56:I1048576">
    <cfRule type="cellIs" dxfId="1" priority="3" operator="equal">
      <formula>0</formula>
    </cfRule>
  </conditionalFormatting>
  <conditionalFormatting sqref="I11">
    <cfRule type="cellIs" dxfId="0" priority="1" operator="equal">
      <formula>0</formula>
    </cfRule>
  </conditionalFormatting>
  <printOptions horizontalCentered="1"/>
  <pageMargins left="0.51181102362204722" right="0.51181102362204722" top="0.51181102362204722" bottom="0.70866141732283472" header="0" footer="0.19685039370078741"/>
  <pageSetup paperSize="9" scale="90" orientation="landscape" r:id="rId1"/>
  <headerFooter>
    <oddFooter>&amp;L&amp;9&amp;A&amp;R&amp;9Página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outlinePr summaryBelow="0"/>
  </sheetPr>
  <dimension ref="A1:AA110"/>
  <sheetViews>
    <sheetView view="pageBreakPreview" topLeftCell="A101" zoomScale="70" zoomScaleNormal="100" zoomScaleSheetLayoutView="70" workbookViewId="0">
      <selection activeCell="G115" sqref="G115"/>
    </sheetView>
  </sheetViews>
  <sheetFormatPr defaultColWidth="9.1640625" defaultRowHeight="14"/>
  <cols>
    <col min="1" max="1" width="9.25" style="347" customWidth="1"/>
    <col min="2" max="2" width="10.25" style="347" customWidth="1"/>
    <col min="3" max="3" width="42.75" style="347" bestFit="1"/>
    <col min="4" max="4" width="9.25" style="347" customWidth="1"/>
    <col min="5" max="5" width="10.25" style="347" customWidth="1"/>
    <col min="6" max="6" width="7.75" style="347" customWidth="1"/>
    <col min="7" max="10" width="10.75" style="347" customWidth="1"/>
    <col min="11" max="11" width="12" style="366" bestFit="1" customWidth="1"/>
    <col min="12" max="12" width="10.25" style="347" bestFit="1" customWidth="1"/>
    <col min="13" max="19" width="12.75" style="347" customWidth="1"/>
    <col min="20" max="20" width="16.25" style="347" customWidth="1"/>
    <col min="21" max="21" width="13.25" style="381" bestFit="1" customWidth="1"/>
    <col min="22" max="22" width="9.1640625" style="379"/>
    <col min="23" max="16384" width="9.1640625" style="347"/>
  </cols>
  <sheetData>
    <row r="1" spans="1:22" ht="50.15" customHeight="1"/>
    <row r="2" spans="1:22" ht="25" customHeight="1">
      <c r="A2" s="8" t="s">
        <v>873</v>
      </c>
      <c r="B2" s="8"/>
      <c r="C2" s="8"/>
      <c r="D2" s="8"/>
      <c r="E2" s="8"/>
      <c r="F2" s="8"/>
      <c r="G2" s="8"/>
      <c r="H2" s="346"/>
      <c r="I2" s="346"/>
      <c r="J2" s="346"/>
      <c r="K2" s="368"/>
    </row>
    <row r="3" spans="1:22" ht="5.15" customHeight="1">
      <c r="A3" s="11"/>
      <c r="B3" s="11"/>
      <c r="C3" s="11"/>
      <c r="D3" s="11"/>
      <c r="E3" s="11"/>
      <c r="F3" s="11"/>
      <c r="G3" s="11"/>
    </row>
    <row r="4" spans="1:22" s="11" customFormat="1" ht="15" customHeight="1">
      <c r="A4" s="14" t="s">
        <v>858</v>
      </c>
      <c r="B4" s="15" t="str">
        <f>RESUMO!B4</f>
        <v>MODERNIZAÇÃO DA SUBESTAÇÃO DE ENERGIA ELÉTRICA DA SEDE DA JUSTIÇA FEDERAL NA PARAIBA</v>
      </c>
      <c r="C4" s="15"/>
      <c r="D4" s="15"/>
      <c r="E4" s="15"/>
      <c r="F4" s="15"/>
      <c r="G4" s="15"/>
      <c r="H4" s="15"/>
      <c r="I4" s="15"/>
      <c r="J4" s="15"/>
      <c r="K4" s="81"/>
      <c r="U4" s="382"/>
      <c r="V4" s="380"/>
    </row>
    <row r="5" spans="1:22" s="11" customFormat="1" ht="15" customHeight="1">
      <c r="A5" s="17" t="s">
        <v>863</v>
      </c>
      <c r="B5" s="41" t="str">
        <f>RESUMO!B5</f>
        <v>R3 - 15/04/2025</v>
      </c>
      <c r="C5" s="41"/>
      <c r="D5" s="41"/>
      <c r="E5" s="41"/>
      <c r="F5" s="41"/>
      <c r="G5" s="18"/>
      <c r="H5" s="17" t="s">
        <v>874</v>
      </c>
      <c r="I5" s="19"/>
      <c r="J5" s="17" t="s">
        <v>869</v>
      </c>
      <c r="K5" s="20">
        <f>RESUMO!$F$5</f>
        <v>45762</v>
      </c>
      <c r="U5" s="382"/>
      <c r="V5" s="380"/>
    </row>
    <row r="6" spans="1:22" s="11" customFormat="1" ht="15" customHeight="1">
      <c r="A6" s="21" t="s">
        <v>859</v>
      </c>
      <c r="B6" s="44" t="str">
        <f>RESUMO!B6</f>
        <v>RUA JOÃO TEIXEIRA DE CARVALHO, 480, PEDRO GONDIM, JOÃO PESSOA/PB</v>
      </c>
      <c r="C6" s="44"/>
      <c r="D6" s="44"/>
      <c r="E6" s="44"/>
      <c r="F6" s="44"/>
      <c r="G6" s="22"/>
      <c r="H6" s="23" t="str">
        <f>RESUMO!$C$6</f>
        <v>SINAPI</v>
      </c>
      <c r="I6" s="24" t="str">
        <f>RESUMO!$D$6</f>
        <v>2025/02</v>
      </c>
      <c r="J6" s="21" t="s">
        <v>1308</v>
      </c>
      <c r="K6" s="24">
        <f>RESUMO!$F$6</f>
        <v>0.23530000000000001</v>
      </c>
      <c r="U6" s="382"/>
      <c r="V6" s="380"/>
    </row>
    <row r="7" spans="1:22" s="11" customFormat="1" ht="15" customHeight="1">
      <c r="A7" s="21" t="s">
        <v>860</v>
      </c>
      <c r="B7" s="44" t="str">
        <f>RESUMO!B7</f>
        <v>JUSTIÇA FEDERAL NA PARAÍBA</v>
      </c>
      <c r="C7" s="44"/>
      <c r="D7" s="44"/>
      <c r="E7" s="44"/>
      <c r="F7" s="44"/>
      <c r="G7" s="22"/>
      <c r="H7" s="23" t="str">
        <f>RESUMO!$C$7</f>
        <v>SICRO</v>
      </c>
      <c r="I7" s="24" t="str">
        <f>RESUMO!$D$7</f>
        <v>2025/01</v>
      </c>
      <c r="J7" s="21" t="s">
        <v>870</v>
      </c>
      <c r="K7" s="24">
        <f>RESUMO!$F$7</f>
        <v>0.1527</v>
      </c>
      <c r="U7" s="382"/>
      <c r="V7" s="380"/>
    </row>
    <row r="8" spans="1:22" s="11" customFormat="1" ht="15" customHeight="1">
      <c r="A8" s="21" t="s">
        <v>868</v>
      </c>
      <c r="B8" s="44" t="str">
        <f>RESUMO!B8</f>
        <v>MAYRTHON PAULO COSTA JUNIOR</v>
      </c>
      <c r="C8" s="44"/>
      <c r="D8" s="44"/>
      <c r="E8" s="44"/>
      <c r="F8" s="44"/>
      <c r="G8" s="22"/>
      <c r="H8" s="23" t="str">
        <f>RESUMO!$C$8</f>
        <v>-</v>
      </c>
      <c r="I8" s="24">
        <f>RESUMO!$D$8</f>
        <v>0</v>
      </c>
      <c r="J8" s="21" t="s">
        <v>871</v>
      </c>
      <c r="K8" s="24">
        <f>RESUMO!$F$8</f>
        <v>1.1359999999999999</v>
      </c>
      <c r="U8" s="382"/>
      <c r="V8" s="380"/>
    </row>
    <row r="9" spans="1:22" s="11" customFormat="1" ht="15" customHeight="1">
      <c r="A9" s="25" t="s">
        <v>861</v>
      </c>
      <c r="B9" s="47" t="str">
        <f>RESUMO!B9</f>
        <v>ENGENHEIRO ELETRICISTA - CREA 060191712-0</v>
      </c>
      <c r="C9" s="47"/>
      <c r="D9" s="47"/>
      <c r="E9" s="47"/>
      <c r="F9" s="47"/>
      <c r="G9" s="26"/>
      <c r="H9" s="25" t="s">
        <v>863</v>
      </c>
      <c r="I9" s="27" t="str">
        <f>RESUMO!$D$9</f>
        <v>R3</v>
      </c>
      <c r="J9" s="25" t="s">
        <v>872</v>
      </c>
      <c r="K9" s="27">
        <f>RESUMO!$F$9</f>
        <v>0.6984999999999999</v>
      </c>
      <c r="U9" s="382"/>
      <c r="V9" s="380"/>
    </row>
    <row r="10" spans="1:22" ht="5.15" customHeight="1">
      <c r="A10" s="369"/>
      <c r="B10" s="1" t="s">
        <v>0</v>
      </c>
      <c r="C10" s="1"/>
      <c r="D10" s="1"/>
      <c r="E10" s="1"/>
      <c r="F10" s="1"/>
      <c r="G10" s="1"/>
      <c r="H10" s="1"/>
      <c r="I10" s="1"/>
      <c r="J10" s="369"/>
    </row>
    <row r="11" spans="1:22" ht="22" customHeight="1">
      <c r="A11" s="83" t="s">
        <v>1</v>
      </c>
      <c r="B11" s="83" t="s">
        <v>2</v>
      </c>
      <c r="C11" s="83" t="s">
        <v>3</v>
      </c>
      <c r="D11" s="83" t="s">
        <v>4</v>
      </c>
      <c r="E11" s="83" t="s">
        <v>1306</v>
      </c>
      <c r="F11" s="83" t="s">
        <v>5</v>
      </c>
      <c r="G11" s="83" t="s">
        <v>6</v>
      </c>
      <c r="H11" s="83" t="s">
        <v>1393</v>
      </c>
      <c r="I11" s="83" t="s">
        <v>1307</v>
      </c>
      <c r="J11" s="83" t="s">
        <v>7</v>
      </c>
      <c r="K11" s="84" t="s">
        <v>1312</v>
      </c>
    </row>
    <row r="12" spans="1:22" ht="20.149999999999999" customHeight="1">
      <c r="A12" s="308" t="s">
        <v>8</v>
      </c>
      <c r="B12" s="320" t="s">
        <v>9</v>
      </c>
      <c r="C12" s="321"/>
      <c r="D12" s="321"/>
      <c r="E12" s="321"/>
      <c r="F12" s="321"/>
      <c r="G12" s="322"/>
      <c r="H12" s="322"/>
      <c r="I12" s="323"/>
      <c r="J12" s="309">
        <f>ROUND(SUM(J13:J13),2)</f>
        <v>116473.47</v>
      </c>
      <c r="K12" s="310"/>
    </row>
    <row r="13" spans="1:22" ht="30">
      <c r="A13" s="89" t="s">
        <v>10</v>
      </c>
      <c r="B13" s="90" t="s">
        <v>11</v>
      </c>
      <c r="C13" s="91" t="s">
        <v>12</v>
      </c>
      <c r="D13" s="90" t="s">
        <v>13</v>
      </c>
      <c r="E13" s="90" t="s">
        <v>1309</v>
      </c>
      <c r="F13" s="90" t="s">
        <v>14</v>
      </c>
      <c r="G13" s="93">
        <f>TRUNC(_xlfn.XLOOKUP(B13,QUANT!$B$12:$B$190,QUANT!$G$12:$G$190,"erro"),2)</f>
        <v>1</v>
      </c>
      <c r="H13" s="93">
        <f>TRUNC(_xlfn.XLOOKUP(B13,COMP_GERAL!$F$11:$F$824,COMP_GERAL!$G$11:$G$824),2)</f>
        <v>94287.6</v>
      </c>
      <c r="I13" s="93">
        <f>TRUNC(H13*(IF(E13="GERAL",1+$K$6,1+$K$7)),2)</f>
        <v>116473.47</v>
      </c>
      <c r="J13" s="94">
        <f>TRUNC(G13*I13,2)</f>
        <v>116473.47</v>
      </c>
      <c r="K13" s="88">
        <f t="shared" ref="K13:K75" si="0">J13/$J$107</f>
        <v>8.7679778087866034E-2</v>
      </c>
      <c r="L13" s="370"/>
      <c r="M13" s="370"/>
      <c r="N13" s="370"/>
      <c r="O13" s="370"/>
      <c r="P13" s="370"/>
      <c r="Q13" s="370"/>
      <c r="R13" s="370"/>
      <c r="S13" s="370"/>
      <c r="T13" s="370"/>
    </row>
    <row r="14" spans="1:22" ht="20.149999999999999" customHeight="1">
      <c r="A14" s="308" t="s">
        <v>15</v>
      </c>
      <c r="B14" s="320" t="s">
        <v>16</v>
      </c>
      <c r="C14" s="321"/>
      <c r="D14" s="321"/>
      <c r="E14" s="321"/>
      <c r="F14" s="321"/>
      <c r="G14" s="322"/>
      <c r="H14" s="322"/>
      <c r="I14" s="323"/>
      <c r="J14" s="309">
        <f>ROUND(J15+J17,2)</f>
        <v>15428.69</v>
      </c>
      <c r="K14" s="310"/>
    </row>
    <row r="15" spans="1:22" ht="20.149999999999999" customHeight="1">
      <c r="A15" s="313" t="s">
        <v>17</v>
      </c>
      <c r="B15" s="316" t="s">
        <v>18</v>
      </c>
      <c r="C15" s="317"/>
      <c r="D15" s="317"/>
      <c r="E15" s="317"/>
      <c r="F15" s="317"/>
      <c r="G15" s="318"/>
      <c r="H15" s="318"/>
      <c r="I15" s="319"/>
      <c r="J15" s="314">
        <f>ROUND(SUM(J16:J16),2)</f>
        <v>324.32</v>
      </c>
      <c r="K15" s="315"/>
    </row>
    <row r="16" spans="1:22" ht="20">
      <c r="A16" s="89" t="s">
        <v>19</v>
      </c>
      <c r="B16" s="90" t="s">
        <v>20</v>
      </c>
      <c r="C16" s="91" t="s">
        <v>21</v>
      </c>
      <c r="D16" s="90" t="s">
        <v>13</v>
      </c>
      <c r="E16" s="90" t="s">
        <v>1309</v>
      </c>
      <c r="F16" s="90" t="s">
        <v>14</v>
      </c>
      <c r="G16" s="93">
        <f>TRUNC(_xlfn.XLOOKUP(B16,QUANT!$B$12:$B$190,QUANT!$G$12:$G$190,"erro"),2)</f>
        <v>1</v>
      </c>
      <c r="H16" s="93">
        <f>TRUNC(_xlfn.XLOOKUP(B16,COMP_GERAL!$F$11:$F$824,COMP_GERAL!$G$11:$G$824),2)</f>
        <v>262.55</v>
      </c>
      <c r="I16" s="93">
        <f t="shared" ref="I16:I77" si="1">TRUNC(H16*(IF(E16="GERAL",1+$K$6,1+$K$7)),2)</f>
        <v>324.32</v>
      </c>
      <c r="J16" s="94">
        <f>TRUNC(G16*I16,2)</f>
        <v>324.32</v>
      </c>
      <c r="K16" s="88">
        <f t="shared" si="0"/>
        <v>2.4414405812290743E-4</v>
      </c>
    </row>
    <row r="17" spans="1:11" ht="20.149999999999999" customHeight="1">
      <c r="A17" s="313" t="s">
        <v>22</v>
      </c>
      <c r="B17" s="316" t="s">
        <v>23</v>
      </c>
      <c r="C17" s="317"/>
      <c r="D17" s="317"/>
      <c r="E17" s="317"/>
      <c r="F17" s="317"/>
      <c r="G17" s="318"/>
      <c r="H17" s="318"/>
      <c r="I17" s="319"/>
      <c r="J17" s="314">
        <f>ROUND(SUM(J18:J22),2)</f>
        <v>15104.37</v>
      </c>
      <c r="K17" s="315"/>
    </row>
    <row r="18" spans="1:11" ht="20">
      <c r="A18" s="89" t="s">
        <v>24</v>
      </c>
      <c r="B18" s="90">
        <v>105115</v>
      </c>
      <c r="C18" s="91" t="s">
        <v>25</v>
      </c>
      <c r="D18" s="90" t="s">
        <v>26</v>
      </c>
      <c r="E18" s="90" t="s">
        <v>1309</v>
      </c>
      <c r="F18" s="90" t="s">
        <v>14</v>
      </c>
      <c r="G18" s="93">
        <f>TRUNC(_xlfn.XLOOKUP(B18,QUANT!$B$12:$B$190,QUANT!$G$12:$G$190,"erro"),2)</f>
        <v>2</v>
      </c>
      <c r="H18" s="93">
        <f>TRUNC(_xlfn.XLOOKUP(B18,COMP_GERAL!$F$11:$F$824,COMP_GERAL!$G$11:$G$824),2)</f>
        <v>121.26</v>
      </c>
      <c r="I18" s="93">
        <f t="shared" si="1"/>
        <v>149.79</v>
      </c>
      <c r="J18" s="94">
        <f>TRUNC(G18*I18,2)</f>
        <v>299.58</v>
      </c>
      <c r="K18" s="88">
        <f t="shared" si="0"/>
        <v>2.2552009414300876E-4</v>
      </c>
    </row>
    <row r="19" spans="1:11" ht="30">
      <c r="A19" s="89" t="s">
        <v>27</v>
      </c>
      <c r="B19" s="90">
        <v>10776</v>
      </c>
      <c r="C19" s="91" t="s">
        <v>28</v>
      </c>
      <c r="D19" s="90" t="s">
        <v>26</v>
      </c>
      <c r="E19" s="90" t="s">
        <v>1309</v>
      </c>
      <c r="F19" s="90" t="s">
        <v>29</v>
      </c>
      <c r="G19" s="93">
        <f>TRUNC(_xlfn.XLOOKUP(B19,QUANT!$B$12:$B$190,QUANT!$G$12:$G$190,"erro"),2)</f>
        <v>4</v>
      </c>
      <c r="H19" s="93">
        <f>TRUNC(_xlfn.XLOOKUP(B19,COMP_GERAL!$F$11:$F$824,COMP_GERAL!$G$11:$G$824),2)</f>
        <v>662.1</v>
      </c>
      <c r="I19" s="93">
        <f t="shared" si="1"/>
        <v>817.89</v>
      </c>
      <c r="J19" s="94">
        <f>TRUNC(G19*I19,2)</f>
        <v>3271.56</v>
      </c>
      <c r="K19" s="88">
        <f t="shared" si="0"/>
        <v>2.4627896361389336E-3</v>
      </c>
    </row>
    <row r="20" spans="1:11" ht="30">
      <c r="A20" s="89" t="s">
        <v>30</v>
      </c>
      <c r="B20" s="90">
        <v>10778</v>
      </c>
      <c r="C20" s="91" t="s">
        <v>31</v>
      </c>
      <c r="D20" s="90" t="s">
        <v>26</v>
      </c>
      <c r="E20" s="90" t="s">
        <v>1309</v>
      </c>
      <c r="F20" s="90" t="s">
        <v>29</v>
      </c>
      <c r="G20" s="93">
        <f>TRUNC(_xlfn.XLOOKUP(B20,QUANT!$B$12:$B$190,QUANT!$G$12:$G$190,"erro"),2)</f>
        <v>4</v>
      </c>
      <c r="H20" s="93">
        <f>TRUNC(_xlfn.XLOOKUP(B20,COMP_GERAL!$F$11:$F$824,COMP_GERAL!$G$11:$G$824),2)</f>
        <v>1059.3699999999999</v>
      </c>
      <c r="I20" s="93">
        <f t="shared" si="1"/>
        <v>1308.6300000000001</v>
      </c>
      <c r="J20" s="94">
        <f>TRUNC(G20*I20,2)</f>
        <v>5234.5200000000004</v>
      </c>
      <c r="K20" s="88">
        <f t="shared" si="0"/>
        <v>3.9404814847234871E-3</v>
      </c>
    </row>
    <row r="21" spans="1:11" ht="30">
      <c r="A21" s="89" t="s">
        <v>32</v>
      </c>
      <c r="B21" s="90">
        <v>103689</v>
      </c>
      <c r="C21" s="91" t="s">
        <v>33</v>
      </c>
      <c r="D21" s="90" t="s">
        <v>26</v>
      </c>
      <c r="E21" s="90" t="s">
        <v>1309</v>
      </c>
      <c r="F21" s="90" t="s">
        <v>34</v>
      </c>
      <c r="G21" s="93">
        <f>TRUNC(_xlfn.XLOOKUP(B21,QUANT!$B$12:$B$190,QUANT!$G$12:$G$190,"erro"),2)</f>
        <v>3.75</v>
      </c>
      <c r="H21" s="93">
        <f>TRUNC(_xlfn.XLOOKUP(B21,COMP_GERAL!$F$11:$F$824,COMP_GERAL!$G$11:$G$824),2)</f>
        <v>462.25</v>
      </c>
      <c r="I21" s="93">
        <f t="shared" si="1"/>
        <v>571.01</v>
      </c>
      <c r="J21" s="94">
        <f>TRUNC(G21*I21,2)</f>
        <v>2141.2800000000002</v>
      </c>
      <c r="K21" s="88">
        <f t="shared" si="0"/>
        <v>1.6119289244493687E-3</v>
      </c>
    </row>
    <row r="22" spans="1:11">
      <c r="A22" s="89" t="s">
        <v>35</v>
      </c>
      <c r="B22" s="90">
        <v>98459</v>
      </c>
      <c r="C22" s="91" t="s">
        <v>36</v>
      </c>
      <c r="D22" s="90" t="s">
        <v>26</v>
      </c>
      <c r="E22" s="90" t="s">
        <v>1309</v>
      </c>
      <c r="F22" s="90" t="s">
        <v>34</v>
      </c>
      <c r="G22" s="93">
        <f>TRUNC(_xlfn.XLOOKUP(B22,QUANT!$B$12:$B$190,QUANT!$G$12:$G$190,"erro"),2)</f>
        <v>36.299999999999997</v>
      </c>
      <c r="H22" s="93">
        <f>TRUNC(_xlfn.XLOOKUP(B22,COMP_GERAL!$F$11:$F$824,COMP_GERAL!$G$11:$G$824),2)</f>
        <v>92.72</v>
      </c>
      <c r="I22" s="93">
        <f t="shared" si="1"/>
        <v>114.53</v>
      </c>
      <c r="J22" s="94">
        <f>TRUNC(G22*I22,2)</f>
        <v>4157.43</v>
      </c>
      <c r="K22" s="88">
        <f t="shared" si="0"/>
        <v>3.1296615428031546E-3</v>
      </c>
    </row>
    <row r="23" spans="1:11" ht="20.149999999999999" customHeight="1">
      <c r="A23" s="308" t="s">
        <v>37</v>
      </c>
      <c r="B23" s="320" t="s">
        <v>38</v>
      </c>
      <c r="C23" s="321"/>
      <c r="D23" s="321"/>
      <c r="E23" s="321"/>
      <c r="F23" s="321"/>
      <c r="G23" s="322"/>
      <c r="H23" s="322"/>
      <c r="I23" s="323"/>
      <c r="J23" s="309">
        <f>ROUND(SUM(J24:J32),2)</f>
        <v>22024.47</v>
      </c>
      <c r="K23" s="310"/>
    </row>
    <row r="24" spans="1:11" ht="20">
      <c r="A24" s="89" t="s">
        <v>39</v>
      </c>
      <c r="B24" s="90">
        <v>97644</v>
      </c>
      <c r="C24" s="91" t="s">
        <v>40</v>
      </c>
      <c r="D24" s="90" t="s">
        <v>26</v>
      </c>
      <c r="E24" s="90" t="s">
        <v>1309</v>
      </c>
      <c r="F24" s="90" t="s">
        <v>34</v>
      </c>
      <c r="G24" s="93">
        <f>TRUNC(_xlfn.XLOOKUP(B24,QUANT!$B$12:$B$190,QUANT!$G$12:$G$190,"erro"),2)</f>
        <v>3.78</v>
      </c>
      <c r="H24" s="93">
        <f>TRUNC(_xlfn.XLOOKUP(B24,COMP_GERAL!$F$11:$F$824,COMP_GERAL!$G$11:$G$824),2)</f>
        <v>8.9700000000000006</v>
      </c>
      <c r="I24" s="93">
        <f t="shared" si="1"/>
        <v>11.08</v>
      </c>
      <c r="J24" s="94">
        <f>TRUNC(G24*I24,2)</f>
        <v>41.88</v>
      </c>
      <c r="K24" s="88">
        <f t="shared" si="0"/>
        <v>3.1526742581978793E-5</v>
      </c>
    </row>
    <row r="25" spans="1:11" ht="30">
      <c r="A25" s="89" t="s">
        <v>41</v>
      </c>
      <c r="B25" s="90">
        <v>97647</v>
      </c>
      <c r="C25" s="91" t="s">
        <v>42</v>
      </c>
      <c r="D25" s="90" t="s">
        <v>26</v>
      </c>
      <c r="E25" s="90" t="s">
        <v>1309</v>
      </c>
      <c r="F25" s="90" t="s">
        <v>34</v>
      </c>
      <c r="G25" s="93">
        <f>TRUNC(_xlfn.XLOOKUP(B25,QUANT!$B$12:$B$190,QUANT!$G$12:$G$190,"erro"),2)</f>
        <v>19.010000000000002</v>
      </c>
      <c r="H25" s="93">
        <f>TRUNC(_xlfn.XLOOKUP(B25,COMP_GERAL!$F$11:$F$824,COMP_GERAL!$G$11:$G$824),2)</f>
        <v>3.32</v>
      </c>
      <c r="I25" s="93">
        <f t="shared" si="1"/>
        <v>4.0999999999999996</v>
      </c>
      <c r="J25" s="94">
        <f t="shared" ref="J25:J46" si="2">TRUNC(G25*I25,2)</f>
        <v>77.94</v>
      </c>
      <c r="K25" s="88">
        <f t="shared" si="0"/>
        <v>5.8672261624628154E-5</v>
      </c>
    </row>
    <row r="26" spans="1:11" ht="20">
      <c r="A26" s="89" t="s">
        <v>43</v>
      </c>
      <c r="B26" s="90">
        <v>97622</v>
      </c>
      <c r="C26" s="91" t="s">
        <v>44</v>
      </c>
      <c r="D26" s="90" t="s">
        <v>26</v>
      </c>
      <c r="E26" s="90" t="s">
        <v>1309</v>
      </c>
      <c r="F26" s="90" t="s">
        <v>45</v>
      </c>
      <c r="G26" s="93">
        <f>TRUNC(_xlfn.XLOOKUP(B26,QUANT!$B$12:$B$190,QUANT!$G$12:$G$190,"erro"),2)</f>
        <v>50.82</v>
      </c>
      <c r="H26" s="93">
        <f>TRUNC(_xlfn.XLOOKUP(B26,COMP_GERAL!$F$11:$F$824,COMP_GERAL!$G$11:$G$824),2)</f>
        <v>52.76</v>
      </c>
      <c r="I26" s="93">
        <f t="shared" si="1"/>
        <v>65.17</v>
      </c>
      <c r="J26" s="94">
        <f t="shared" si="2"/>
        <v>3311.93</v>
      </c>
      <c r="K26" s="88">
        <f t="shared" si="0"/>
        <v>2.4931796695208458E-3</v>
      </c>
    </row>
    <row r="27" spans="1:11" ht="20">
      <c r="A27" s="89" t="s">
        <v>46</v>
      </c>
      <c r="B27" s="90">
        <v>97628</v>
      </c>
      <c r="C27" s="91" t="s">
        <v>47</v>
      </c>
      <c r="D27" s="90" t="s">
        <v>26</v>
      </c>
      <c r="E27" s="90" t="s">
        <v>1309</v>
      </c>
      <c r="F27" s="90" t="s">
        <v>45</v>
      </c>
      <c r="G27" s="93">
        <f>TRUNC(_xlfn.XLOOKUP(B27,QUANT!$B$12:$B$190,QUANT!$G$12:$G$190,"erro"),2)</f>
        <v>23.81</v>
      </c>
      <c r="H27" s="93">
        <f>TRUNC(_xlfn.XLOOKUP(B27,COMP_GERAL!$F$11:$F$824,COMP_GERAL!$G$11:$G$824),2)</f>
        <v>250.07</v>
      </c>
      <c r="I27" s="93">
        <f t="shared" si="1"/>
        <v>308.91000000000003</v>
      </c>
      <c r="J27" s="94">
        <f t="shared" si="2"/>
        <v>7355.14</v>
      </c>
      <c r="K27" s="88">
        <f t="shared" si="0"/>
        <v>5.5368578183957861E-3</v>
      </c>
    </row>
    <row r="28" spans="1:11" ht="20">
      <c r="A28" s="89" t="s">
        <v>48</v>
      </c>
      <c r="B28" s="90">
        <v>97626</v>
      </c>
      <c r="C28" s="91" t="s">
        <v>49</v>
      </c>
      <c r="D28" s="90" t="s">
        <v>26</v>
      </c>
      <c r="E28" s="90" t="s">
        <v>1309</v>
      </c>
      <c r="F28" s="90" t="s">
        <v>45</v>
      </c>
      <c r="G28" s="93">
        <f>TRUNC(_xlfn.XLOOKUP(B28,QUANT!$B$12:$B$190,QUANT!$G$12:$G$190,"erro"),2)</f>
        <v>1.8</v>
      </c>
      <c r="H28" s="93">
        <f>TRUNC(_xlfn.XLOOKUP(B28,COMP_GERAL!$F$11:$F$824,COMP_GERAL!$G$11:$G$824),2)</f>
        <v>536.92999999999995</v>
      </c>
      <c r="I28" s="93">
        <f t="shared" si="1"/>
        <v>663.26</v>
      </c>
      <c r="J28" s="94">
        <f t="shared" si="2"/>
        <v>1193.8599999999999</v>
      </c>
      <c r="K28" s="88">
        <f t="shared" si="0"/>
        <v>8.987229441003152E-4</v>
      </c>
    </row>
    <row r="29" spans="1:11" ht="40">
      <c r="A29" s="89" t="s">
        <v>50</v>
      </c>
      <c r="B29" s="90">
        <v>100982</v>
      </c>
      <c r="C29" s="91" t="s">
        <v>51</v>
      </c>
      <c r="D29" s="90" t="s">
        <v>26</v>
      </c>
      <c r="E29" s="90" t="s">
        <v>1309</v>
      </c>
      <c r="F29" s="90" t="s">
        <v>45</v>
      </c>
      <c r="G29" s="93">
        <f>TRUNC(_xlfn.XLOOKUP(B29,QUANT!$B$12:$B$190,QUANT!$G$12:$G$190,"erro"),2)</f>
        <v>108.6</v>
      </c>
      <c r="H29" s="93">
        <f>TRUNC(_xlfn.XLOOKUP(B29,COMP_GERAL!$F$11:$F$824,COMP_GERAL!$G$11:$G$824),2)</f>
        <v>9.07</v>
      </c>
      <c r="I29" s="93">
        <f t="shared" si="1"/>
        <v>11.2</v>
      </c>
      <c r="J29" s="94">
        <f t="shared" si="2"/>
        <v>1216.32</v>
      </c>
      <c r="K29" s="88">
        <f t="shared" si="0"/>
        <v>9.1563055246686833E-4</v>
      </c>
    </row>
    <row r="30" spans="1:11" ht="30">
      <c r="A30" s="89" t="s">
        <v>52</v>
      </c>
      <c r="B30" s="90">
        <v>95875</v>
      </c>
      <c r="C30" s="91" t="s">
        <v>53</v>
      </c>
      <c r="D30" s="90" t="s">
        <v>26</v>
      </c>
      <c r="E30" s="90" t="s">
        <v>1309</v>
      </c>
      <c r="F30" s="90" t="s">
        <v>54</v>
      </c>
      <c r="G30" s="93">
        <f>TRUNC(_xlfn.XLOOKUP(B30,QUANT!$B$12:$B$190,QUANT!$G$12:$G$190,"erro"),2)</f>
        <v>1118.67</v>
      </c>
      <c r="H30" s="93">
        <f>TRUNC(_xlfn.XLOOKUP(B30,COMP_GERAL!$F$11:$F$824,COMP_GERAL!$G$11:$G$824),2)</f>
        <v>2.52</v>
      </c>
      <c r="I30" s="93">
        <f t="shared" si="1"/>
        <v>3.11</v>
      </c>
      <c r="J30" s="94">
        <f t="shared" si="2"/>
        <v>3479.06</v>
      </c>
      <c r="K30" s="88">
        <f t="shared" si="0"/>
        <v>2.618993052704373E-3</v>
      </c>
    </row>
    <row r="31" spans="1:11" ht="20">
      <c r="A31" s="89" t="s">
        <v>55</v>
      </c>
      <c r="B31" s="90" t="s">
        <v>56</v>
      </c>
      <c r="C31" s="91" t="s">
        <v>57</v>
      </c>
      <c r="D31" s="90" t="s">
        <v>13</v>
      </c>
      <c r="E31" s="90" t="s">
        <v>1309</v>
      </c>
      <c r="F31" s="90" t="s">
        <v>58</v>
      </c>
      <c r="G31" s="93">
        <f>TRUNC(_xlfn.XLOOKUP(B31,QUANT!$B$12:$B$190,QUANT!$G$12:$G$190,"erro"),2)</f>
        <v>1</v>
      </c>
      <c r="H31" s="93">
        <f>TRUNC(_xlfn.XLOOKUP(B31,COMP_GERAL!$F$11:$F$824,COMP_GERAL!$G$11:$G$824),2)</f>
        <v>1642.2</v>
      </c>
      <c r="I31" s="93">
        <f t="shared" si="1"/>
        <v>2028.6</v>
      </c>
      <c r="J31" s="94">
        <f t="shared" si="2"/>
        <v>2028.6</v>
      </c>
      <c r="K31" s="88">
        <f t="shared" si="0"/>
        <v>1.5271048233477121E-3</v>
      </c>
    </row>
    <row r="32" spans="1:11" ht="20">
      <c r="A32" s="89" t="s">
        <v>59</v>
      </c>
      <c r="B32" s="90" t="s">
        <v>60</v>
      </c>
      <c r="C32" s="91" t="s">
        <v>61</v>
      </c>
      <c r="D32" s="90" t="s">
        <v>13</v>
      </c>
      <c r="E32" s="90" t="s">
        <v>1309</v>
      </c>
      <c r="F32" s="90" t="s">
        <v>58</v>
      </c>
      <c r="G32" s="93">
        <f>TRUNC(_xlfn.XLOOKUP(B32,QUANT!$B$12:$B$190,QUANT!$G$12:$G$190,"erro"),2)</f>
        <v>1</v>
      </c>
      <c r="H32" s="93">
        <f>TRUNC(_xlfn.XLOOKUP(B32,COMP_GERAL!$F$11:$F$824,COMP_GERAL!$G$11:$G$824),2)</f>
        <v>2687.4</v>
      </c>
      <c r="I32" s="93">
        <f t="shared" si="1"/>
        <v>3319.74</v>
      </c>
      <c r="J32" s="94">
        <f t="shared" si="2"/>
        <v>3319.74</v>
      </c>
      <c r="K32" s="88">
        <f t="shared" si="0"/>
        <v>2.4990589402841042E-3</v>
      </c>
    </row>
    <row r="33" spans="1:11" ht="20.149999999999999" customHeight="1">
      <c r="A33" s="308" t="s">
        <v>62</v>
      </c>
      <c r="B33" s="320" t="s">
        <v>63</v>
      </c>
      <c r="C33" s="321"/>
      <c r="D33" s="321"/>
      <c r="E33" s="321"/>
      <c r="F33" s="321"/>
      <c r="G33" s="322"/>
      <c r="H33" s="322"/>
      <c r="I33" s="323"/>
      <c r="J33" s="309">
        <f>ROUND(SUM(J34:J35),2)</f>
        <v>12658.42</v>
      </c>
      <c r="K33" s="310"/>
    </row>
    <row r="34" spans="1:11" ht="30">
      <c r="A34" s="89" t="s">
        <v>64</v>
      </c>
      <c r="B34" s="90" t="s">
        <v>65</v>
      </c>
      <c r="C34" s="91" t="s">
        <v>66</v>
      </c>
      <c r="D34" s="90" t="s">
        <v>13</v>
      </c>
      <c r="E34" s="90" t="s">
        <v>1309</v>
      </c>
      <c r="F34" s="90" t="s">
        <v>14</v>
      </c>
      <c r="G34" s="93">
        <f>TRUNC(_xlfn.XLOOKUP(B34,QUANT!$B$12:$B$190,QUANT!$G$12:$G$190,"erro"),2)</f>
        <v>1</v>
      </c>
      <c r="H34" s="93">
        <f>TRUNC(_xlfn.XLOOKUP(B34,COMP_GERAL!$F$11:$F$824,COMP_GERAL!$G$11:$G$824),2)</f>
        <v>4294.2</v>
      </c>
      <c r="I34" s="93">
        <f t="shared" si="1"/>
        <v>5304.62</v>
      </c>
      <c r="J34" s="94">
        <f t="shared" si="2"/>
        <v>5304.62</v>
      </c>
      <c r="K34" s="88">
        <f t="shared" si="0"/>
        <v>3.9932518919583654E-3</v>
      </c>
    </row>
    <row r="35" spans="1:11" ht="40">
      <c r="A35" s="89" t="s">
        <v>67</v>
      </c>
      <c r="B35" s="90" t="s">
        <v>68</v>
      </c>
      <c r="C35" s="91" t="s">
        <v>69</v>
      </c>
      <c r="D35" s="90" t="s">
        <v>13</v>
      </c>
      <c r="E35" s="90" t="s">
        <v>1309</v>
      </c>
      <c r="F35" s="90" t="s">
        <v>70</v>
      </c>
      <c r="G35" s="93">
        <f>TRUNC(_xlfn.XLOOKUP(B35,QUANT!$B$12:$B$190,QUANT!$G$12:$G$190,"erro"),2)</f>
        <v>415</v>
      </c>
      <c r="H35" s="93">
        <f>TRUNC(_xlfn.XLOOKUP(B35,COMP_GERAL!$F$11:$F$824,COMP_GERAL!$G$11:$G$824),2)</f>
        <v>14.35</v>
      </c>
      <c r="I35" s="93">
        <f t="shared" si="1"/>
        <v>17.72</v>
      </c>
      <c r="J35" s="94">
        <f t="shared" si="2"/>
        <v>7353.8</v>
      </c>
      <c r="K35" s="88">
        <f t="shared" si="0"/>
        <v>5.535849083079171E-3</v>
      </c>
    </row>
    <row r="36" spans="1:11" ht="20.149999999999999" customHeight="1">
      <c r="A36" s="308" t="s">
        <v>71</v>
      </c>
      <c r="B36" s="320" t="s">
        <v>72</v>
      </c>
      <c r="C36" s="321"/>
      <c r="D36" s="321"/>
      <c r="E36" s="321"/>
      <c r="F36" s="321"/>
      <c r="G36" s="322"/>
      <c r="H36" s="322"/>
      <c r="I36" s="323"/>
      <c r="J36" s="309">
        <f>ROUND(SUM(J37:J46),2)</f>
        <v>16638.45</v>
      </c>
      <c r="K36" s="310"/>
    </row>
    <row r="37" spans="1:11" ht="20">
      <c r="A37" s="89" t="s">
        <v>73</v>
      </c>
      <c r="B37" s="90" t="s">
        <v>74</v>
      </c>
      <c r="C37" s="91" t="s">
        <v>75</v>
      </c>
      <c r="D37" s="90" t="s">
        <v>13</v>
      </c>
      <c r="E37" s="90" t="s">
        <v>1309</v>
      </c>
      <c r="F37" s="90" t="s">
        <v>34</v>
      </c>
      <c r="G37" s="93">
        <f>TRUNC(_xlfn.XLOOKUP(B37,QUANT!$B$12:$B$190,QUANT!$G$12:$G$190,"erro"),2)</f>
        <v>19.93</v>
      </c>
      <c r="H37" s="93">
        <f>TRUNC(_xlfn.XLOOKUP(B37,COMP_GERAL!$F$11:$F$824,COMP_GERAL!$G$11:$G$824),2)</f>
        <v>20.27</v>
      </c>
      <c r="I37" s="93">
        <f t="shared" si="1"/>
        <v>25.03</v>
      </c>
      <c r="J37" s="94">
        <f t="shared" si="2"/>
        <v>498.84</v>
      </c>
      <c r="K37" s="88">
        <f t="shared" si="0"/>
        <v>3.7552054129881329E-4</v>
      </c>
    </row>
    <row r="38" spans="1:11" ht="20">
      <c r="A38" s="89" t="s">
        <v>76</v>
      </c>
      <c r="B38" s="90" t="s">
        <v>77</v>
      </c>
      <c r="C38" s="91" t="s">
        <v>78</v>
      </c>
      <c r="D38" s="90" t="s">
        <v>13</v>
      </c>
      <c r="E38" s="90" t="s">
        <v>1309</v>
      </c>
      <c r="F38" s="90" t="s">
        <v>34</v>
      </c>
      <c r="G38" s="93">
        <f>TRUNC(_xlfn.XLOOKUP(B38,QUANT!$B$12:$B$190,QUANT!$G$12:$G$190,"erro"),2)</f>
        <v>19.93</v>
      </c>
      <c r="H38" s="93">
        <f>TRUNC(_xlfn.XLOOKUP(B38,COMP_GERAL!$F$11:$F$824,COMP_GERAL!$G$11:$G$824),2)</f>
        <v>24.59</v>
      </c>
      <c r="I38" s="93">
        <f t="shared" si="1"/>
        <v>30.37</v>
      </c>
      <c r="J38" s="94">
        <f t="shared" si="2"/>
        <v>605.27</v>
      </c>
      <c r="K38" s="88">
        <f t="shared" si="0"/>
        <v>4.5563972021476373E-4</v>
      </c>
    </row>
    <row r="39" spans="1:11" ht="30">
      <c r="A39" s="89" t="s">
        <v>79</v>
      </c>
      <c r="B39" s="90">
        <v>103075</v>
      </c>
      <c r="C39" s="91" t="s">
        <v>80</v>
      </c>
      <c r="D39" s="90" t="s">
        <v>26</v>
      </c>
      <c r="E39" s="90" t="s">
        <v>1309</v>
      </c>
      <c r="F39" s="90" t="s">
        <v>34</v>
      </c>
      <c r="G39" s="93">
        <f>TRUNC(_xlfn.XLOOKUP(B39,QUANT!$B$12:$B$190,QUANT!$G$12:$G$190,"erro"),2)</f>
        <v>19.93</v>
      </c>
      <c r="H39" s="93">
        <f>TRUNC(_xlfn.XLOOKUP(B39,COMP_GERAL!$F$11:$F$824,COMP_GERAL!$G$11:$G$824),2)</f>
        <v>225.53</v>
      </c>
      <c r="I39" s="93">
        <f t="shared" si="1"/>
        <v>278.58999999999997</v>
      </c>
      <c r="J39" s="94">
        <f t="shared" si="2"/>
        <v>5552.29</v>
      </c>
      <c r="K39" s="88">
        <f t="shared" si="0"/>
        <v>4.1796947843957743E-3</v>
      </c>
    </row>
    <row r="40" spans="1:11" ht="40">
      <c r="A40" s="89" t="s">
        <v>81</v>
      </c>
      <c r="B40" s="90">
        <v>100766</v>
      </c>
      <c r="C40" s="91" t="s">
        <v>82</v>
      </c>
      <c r="D40" s="90" t="s">
        <v>26</v>
      </c>
      <c r="E40" s="90" t="s">
        <v>1309</v>
      </c>
      <c r="F40" s="90" t="s">
        <v>83</v>
      </c>
      <c r="G40" s="93">
        <f>TRUNC(_xlfn.XLOOKUP(B40,QUANT!$B$12:$B$190,QUANT!$G$12:$G$190,"erro"),2)</f>
        <v>139.16</v>
      </c>
      <c r="H40" s="93">
        <f>TRUNC(_xlfn.XLOOKUP(B40,COMP_GERAL!$F$11:$F$824,COMP_GERAL!$G$11:$G$824),2)</f>
        <v>13.82</v>
      </c>
      <c r="I40" s="93">
        <f t="shared" si="1"/>
        <v>17.07</v>
      </c>
      <c r="J40" s="94">
        <f t="shared" si="2"/>
        <v>2375.46</v>
      </c>
      <c r="K40" s="88">
        <f t="shared" si="0"/>
        <v>1.7882167128411496E-3</v>
      </c>
    </row>
    <row r="41" spans="1:11" ht="20">
      <c r="A41" s="89" t="s">
        <v>84</v>
      </c>
      <c r="B41" s="90" t="s">
        <v>85</v>
      </c>
      <c r="C41" s="91" t="s">
        <v>86</v>
      </c>
      <c r="D41" s="90" t="s">
        <v>13</v>
      </c>
      <c r="E41" s="90" t="s">
        <v>1309</v>
      </c>
      <c r="F41" s="90" t="s">
        <v>14</v>
      </c>
      <c r="G41" s="93">
        <f>TRUNC(_xlfn.XLOOKUP(B41,QUANT!$B$12:$B$190,QUANT!$G$12:$G$190,"erro"),2)</f>
        <v>4</v>
      </c>
      <c r="H41" s="93">
        <f>TRUNC(_xlfn.XLOOKUP(B41,COMP_GERAL!$F$11:$F$824,COMP_GERAL!$G$11:$G$824),2)</f>
        <v>42.34</v>
      </c>
      <c r="I41" s="93">
        <f t="shared" si="1"/>
        <v>52.3</v>
      </c>
      <c r="J41" s="94">
        <f t="shared" si="2"/>
        <v>209.2</v>
      </c>
      <c r="K41" s="88">
        <f t="shared" si="0"/>
        <v>1.5748315539995138E-4</v>
      </c>
    </row>
    <row r="42" spans="1:11" ht="40">
      <c r="A42" s="89" t="s">
        <v>87</v>
      </c>
      <c r="B42" s="90">
        <v>100764</v>
      </c>
      <c r="C42" s="91" t="s">
        <v>88</v>
      </c>
      <c r="D42" s="90" t="s">
        <v>26</v>
      </c>
      <c r="E42" s="90" t="s">
        <v>1309</v>
      </c>
      <c r="F42" s="90" t="s">
        <v>83</v>
      </c>
      <c r="G42" s="93">
        <f>TRUNC(_xlfn.XLOOKUP(B42,QUANT!$B$12:$B$190,QUANT!$G$12:$G$190,"erro"),2)</f>
        <v>180.9</v>
      </c>
      <c r="H42" s="93">
        <f>TRUNC(_xlfn.XLOOKUP(B42,COMP_GERAL!$F$11:$F$824,COMP_GERAL!$G$11:$G$824),2)</f>
        <v>15.17</v>
      </c>
      <c r="I42" s="93">
        <f t="shared" si="1"/>
        <v>18.73</v>
      </c>
      <c r="J42" s="94">
        <f t="shared" si="2"/>
        <v>3388.25</v>
      </c>
      <c r="K42" s="88">
        <f t="shared" si="0"/>
        <v>2.5506324153149393E-3</v>
      </c>
    </row>
    <row r="43" spans="1:11" ht="40">
      <c r="A43" s="89" t="s">
        <v>89</v>
      </c>
      <c r="B43" s="90">
        <v>92580</v>
      </c>
      <c r="C43" s="91" t="s">
        <v>90</v>
      </c>
      <c r="D43" s="90" t="s">
        <v>26</v>
      </c>
      <c r="E43" s="90" t="s">
        <v>1309</v>
      </c>
      <c r="F43" s="90" t="s">
        <v>34</v>
      </c>
      <c r="G43" s="93">
        <f>TRUNC(_xlfn.XLOOKUP(B43,QUANT!$B$12:$B$190,QUANT!$G$12:$G$190,"erro"),2)</f>
        <v>23.81</v>
      </c>
      <c r="H43" s="93">
        <f>TRUNC(_xlfn.XLOOKUP(B43,COMP_GERAL!$F$11:$F$824,COMP_GERAL!$G$11:$G$824),2)</f>
        <v>45.48</v>
      </c>
      <c r="I43" s="93">
        <f t="shared" si="1"/>
        <v>56.18</v>
      </c>
      <c r="J43" s="94">
        <f t="shared" si="2"/>
        <v>1337.64</v>
      </c>
      <c r="K43" s="88">
        <f t="shared" si="0"/>
        <v>1.0069587379980449E-3</v>
      </c>
    </row>
    <row r="44" spans="1:11" ht="20">
      <c r="A44" s="89" t="s">
        <v>91</v>
      </c>
      <c r="B44" s="90">
        <v>94213</v>
      </c>
      <c r="C44" s="91" t="s">
        <v>92</v>
      </c>
      <c r="D44" s="90" t="s">
        <v>26</v>
      </c>
      <c r="E44" s="90" t="s">
        <v>1309</v>
      </c>
      <c r="F44" s="90" t="s">
        <v>34</v>
      </c>
      <c r="G44" s="93">
        <f>TRUNC(_xlfn.XLOOKUP(B44,QUANT!$B$12:$B$190,QUANT!$G$12:$G$190,"erro"),2)</f>
        <v>23.81</v>
      </c>
      <c r="H44" s="93">
        <f>TRUNC(_xlfn.XLOOKUP(B44,COMP_GERAL!$F$11:$F$824,COMP_GERAL!$G$11:$G$824),2)</f>
        <v>72.61</v>
      </c>
      <c r="I44" s="93">
        <f t="shared" si="1"/>
        <v>89.69</v>
      </c>
      <c r="J44" s="94">
        <f t="shared" si="2"/>
        <v>2135.5100000000002</v>
      </c>
      <c r="K44" s="88">
        <f t="shared" si="0"/>
        <v>1.6075853402875249E-3</v>
      </c>
    </row>
    <row r="45" spans="1:11" ht="30">
      <c r="A45" s="89" t="s">
        <v>93</v>
      </c>
      <c r="B45" s="90">
        <v>100720</v>
      </c>
      <c r="C45" s="91" t="s">
        <v>94</v>
      </c>
      <c r="D45" s="90" t="s">
        <v>26</v>
      </c>
      <c r="E45" s="90" t="s">
        <v>1309</v>
      </c>
      <c r="F45" s="90" t="s">
        <v>34</v>
      </c>
      <c r="G45" s="93">
        <f>TRUNC(_xlfn.XLOOKUP(B45,QUANT!$B$12:$B$190,QUANT!$G$12:$G$190,"erro"),2)</f>
        <v>22.54</v>
      </c>
      <c r="H45" s="93">
        <f>TRUNC(_xlfn.XLOOKUP(B45,COMP_GERAL!$F$11:$F$824,COMP_GERAL!$G$11:$G$824),2)</f>
        <v>9.41</v>
      </c>
      <c r="I45" s="93">
        <f t="shared" si="1"/>
        <v>11.62</v>
      </c>
      <c r="J45" s="94">
        <f t="shared" si="2"/>
        <v>261.91000000000003</v>
      </c>
      <c r="K45" s="88">
        <f t="shared" si="0"/>
        <v>1.9716258714532156E-4</v>
      </c>
    </row>
    <row r="46" spans="1:11" ht="40">
      <c r="A46" s="89" t="s">
        <v>95</v>
      </c>
      <c r="B46" s="90">
        <v>100740</v>
      </c>
      <c r="C46" s="91" t="s">
        <v>96</v>
      </c>
      <c r="D46" s="90" t="s">
        <v>26</v>
      </c>
      <c r="E46" s="90" t="s">
        <v>1309</v>
      </c>
      <c r="F46" s="90" t="s">
        <v>34</v>
      </c>
      <c r="G46" s="93">
        <f>TRUNC(_xlfn.XLOOKUP(B46,QUANT!$B$12:$B$190,QUANT!$G$12:$G$190,"erro"),2)</f>
        <v>22.54</v>
      </c>
      <c r="H46" s="93">
        <f>TRUNC(_xlfn.XLOOKUP(B46,COMP_GERAL!$F$11:$F$824,COMP_GERAL!$G$11:$G$824),2)</f>
        <v>9.85</v>
      </c>
      <c r="I46" s="93">
        <f t="shared" si="1"/>
        <v>12.16</v>
      </c>
      <c r="J46" s="94">
        <f t="shared" si="2"/>
        <v>274.08</v>
      </c>
      <c r="K46" s="88">
        <f t="shared" si="0"/>
        <v>2.0632401162532825E-4</v>
      </c>
    </row>
    <row r="47" spans="1:11" ht="20.149999999999999" customHeight="1">
      <c r="A47" s="308" t="s">
        <v>97</v>
      </c>
      <c r="B47" s="320" t="s">
        <v>98</v>
      </c>
      <c r="C47" s="321"/>
      <c r="D47" s="321"/>
      <c r="E47" s="321"/>
      <c r="F47" s="321"/>
      <c r="G47" s="322"/>
      <c r="H47" s="322"/>
      <c r="I47" s="323"/>
      <c r="J47" s="309">
        <f>ROUND(J48+J66+J76+J92,2)</f>
        <v>129017.33</v>
      </c>
      <c r="K47" s="310"/>
    </row>
    <row r="48" spans="1:11" ht="20.149999999999999" customHeight="1">
      <c r="A48" s="313" t="s">
        <v>99</v>
      </c>
      <c r="B48" s="316" t="s">
        <v>100</v>
      </c>
      <c r="C48" s="317"/>
      <c r="D48" s="317"/>
      <c r="E48" s="317"/>
      <c r="F48" s="317"/>
      <c r="G48" s="318"/>
      <c r="H48" s="318"/>
      <c r="I48" s="319"/>
      <c r="J48" s="314">
        <f>ROUND(SUM(J49:J65),2)</f>
        <v>59403.58</v>
      </c>
      <c r="K48" s="315"/>
    </row>
    <row r="49" spans="1:11" ht="30">
      <c r="A49" s="89" t="s">
        <v>101</v>
      </c>
      <c r="B49" s="90" t="s">
        <v>102</v>
      </c>
      <c r="C49" s="91" t="s">
        <v>103</v>
      </c>
      <c r="D49" s="90" t="s">
        <v>13</v>
      </c>
      <c r="E49" s="90" t="s">
        <v>1309</v>
      </c>
      <c r="F49" s="90" t="s">
        <v>70</v>
      </c>
      <c r="G49" s="93">
        <f>TRUNC(_xlfn.XLOOKUP(B49,QUANT!$B$12:$B$190,QUANT!$G$12:$G$190,"erro"),2)</f>
        <v>355</v>
      </c>
      <c r="H49" s="93">
        <f>TRUNC(_xlfn.XLOOKUP(B49,COMP_GERAL!$F$11:$F$824,COMP_GERAL!$G$11:$G$824),2)</f>
        <v>14.35</v>
      </c>
      <c r="I49" s="93">
        <f t="shared" si="1"/>
        <v>17.72</v>
      </c>
      <c r="J49" s="94">
        <f t="shared" ref="J49:J105" si="3">TRUNC(G49*I49,2)</f>
        <v>6290.6</v>
      </c>
      <c r="K49" s="88">
        <f t="shared" si="0"/>
        <v>4.7354853602243506E-3</v>
      </c>
    </row>
    <row r="50" spans="1:11" ht="30">
      <c r="A50" s="89" t="s">
        <v>104</v>
      </c>
      <c r="B50" s="90">
        <v>91926</v>
      </c>
      <c r="C50" s="91" t="s">
        <v>105</v>
      </c>
      <c r="D50" s="90" t="s">
        <v>26</v>
      </c>
      <c r="E50" s="90" t="s">
        <v>1309</v>
      </c>
      <c r="F50" s="90" t="s">
        <v>70</v>
      </c>
      <c r="G50" s="93">
        <f>TRUNC(_xlfn.XLOOKUP(B50,QUANT!$B$12:$B$190,QUANT!$G$12:$G$190,"erro"),2)</f>
        <v>100</v>
      </c>
      <c r="H50" s="93">
        <f>TRUNC(_xlfn.XLOOKUP(B50,COMP_GERAL!$F$11:$F$824,COMP_GERAL!$G$11:$G$824),2)</f>
        <v>4.6399999999999997</v>
      </c>
      <c r="I50" s="93">
        <f t="shared" si="1"/>
        <v>5.73</v>
      </c>
      <c r="J50" s="94">
        <f t="shared" si="3"/>
        <v>573</v>
      </c>
      <c r="K50" s="88">
        <f t="shared" si="0"/>
        <v>4.3134726598552647E-4</v>
      </c>
    </row>
    <row r="51" spans="1:11" ht="30">
      <c r="A51" s="89" t="s">
        <v>106</v>
      </c>
      <c r="B51" s="90">
        <v>91927</v>
      </c>
      <c r="C51" s="91" t="s">
        <v>107</v>
      </c>
      <c r="D51" s="90" t="s">
        <v>26</v>
      </c>
      <c r="E51" s="90" t="s">
        <v>1309</v>
      </c>
      <c r="F51" s="90" t="s">
        <v>70</v>
      </c>
      <c r="G51" s="93">
        <f>TRUNC(_xlfn.XLOOKUP(B51,QUANT!$B$12:$B$190,QUANT!$G$12:$G$190,"erro"),2)</f>
        <v>100</v>
      </c>
      <c r="H51" s="93">
        <f>TRUNC(_xlfn.XLOOKUP(B51,COMP_GERAL!$F$11:$F$824,COMP_GERAL!$G$11:$G$824),2)</f>
        <v>5.25</v>
      </c>
      <c r="I51" s="93">
        <f t="shared" si="1"/>
        <v>6.48</v>
      </c>
      <c r="J51" s="94">
        <f t="shared" si="3"/>
        <v>648</v>
      </c>
      <c r="K51" s="88">
        <f t="shared" si="0"/>
        <v>4.8780633221399852E-4</v>
      </c>
    </row>
    <row r="52" spans="1:11" ht="30">
      <c r="A52" s="89" t="s">
        <v>108</v>
      </c>
      <c r="B52" s="90">
        <v>91929</v>
      </c>
      <c r="C52" s="91" t="s">
        <v>109</v>
      </c>
      <c r="D52" s="90" t="s">
        <v>26</v>
      </c>
      <c r="E52" s="90" t="s">
        <v>1309</v>
      </c>
      <c r="F52" s="90" t="s">
        <v>70</v>
      </c>
      <c r="G52" s="93">
        <f>TRUNC(_xlfn.XLOOKUP(B52,QUANT!$B$12:$B$190,QUANT!$G$12:$G$190,"erro"),2)</f>
        <v>670</v>
      </c>
      <c r="H52" s="93">
        <f>TRUNC(_xlfn.XLOOKUP(B52,COMP_GERAL!$F$11:$F$824,COMP_GERAL!$G$11:$G$824),2)</f>
        <v>7.79</v>
      </c>
      <c r="I52" s="93">
        <f t="shared" si="1"/>
        <v>9.6199999999999992</v>
      </c>
      <c r="J52" s="94">
        <f t="shared" si="3"/>
        <v>6445.4</v>
      </c>
      <c r="K52" s="88">
        <f t="shared" si="0"/>
        <v>4.8520168729199167E-3</v>
      </c>
    </row>
    <row r="53" spans="1:11" ht="30">
      <c r="A53" s="89" t="s">
        <v>110</v>
      </c>
      <c r="B53" s="90">
        <v>91931</v>
      </c>
      <c r="C53" s="91" t="s">
        <v>111</v>
      </c>
      <c r="D53" s="90" t="s">
        <v>26</v>
      </c>
      <c r="E53" s="90" t="s">
        <v>1309</v>
      </c>
      <c r="F53" s="90" t="s">
        <v>70</v>
      </c>
      <c r="G53" s="93">
        <f>TRUNC(_xlfn.XLOOKUP(B53,QUANT!$B$12:$B$190,QUANT!$G$12:$G$190,"erro"),2)</f>
        <v>50</v>
      </c>
      <c r="H53" s="93">
        <f>TRUNC(_xlfn.XLOOKUP(B53,COMP_GERAL!$F$11:$F$824,COMP_GERAL!$G$11:$G$824),2)</f>
        <v>11.06</v>
      </c>
      <c r="I53" s="93">
        <f t="shared" si="1"/>
        <v>13.66</v>
      </c>
      <c r="J53" s="94">
        <f t="shared" si="3"/>
        <v>683</v>
      </c>
      <c r="K53" s="88">
        <f t="shared" si="0"/>
        <v>5.1415389645395214E-4</v>
      </c>
    </row>
    <row r="54" spans="1:11" ht="30">
      <c r="A54" s="89" t="s">
        <v>112</v>
      </c>
      <c r="B54" s="90">
        <v>91933</v>
      </c>
      <c r="C54" s="91" t="s">
        <v>113</v>
      </c>
      <c r="D54" s="90" t="s">
        <v>26</v>
      </c>
      <c r="E54" s="90" t="s">
        <v>1309</v>
      </c>
      <c r="F54" s="90" t="s">
        <v>70</v>
      </c>
      <c r="G54" s="93">
        <f>TRUNC(_xlfn.XLOOKUP(B54,QUANT!$B$12:$B$190,QUANT!$G$12:$G$190,"erro"),2)</f>
        <v>300</v>
      </c>
      <c r="H54" s="93">
        <f>TRUNC(_xlfn.XLOOKUP(B54,COMP_GERAL!$F$11:$F$824,COMP_GERAL!$G$11:$G$824),2)</f>
        <v>17.760000000000002</v>
      </c>
      <c r="I54" s="93">
        <f t="shared" si="1"/>
        <v>21.93</v>
      </c>
      <c r="J54" s="94">
        <f t="shared" si="3"/>
        <v>6579</v>
      </c>
      <c r="K54" s="88">
        <f t="shared" si="0"/>
        <v>4.9525892895615686E-3</v>
      </c>
    </row>
    <row r="55" spans="1:11" ht="30">
      <c r="A55" s="89" t="s">
        <v>114</v>
      </c>
      <c r="B55" s="90">
        <v>101887</v>
      </c>
      <c r="C55" s="91" t="s">
        <v>115</v>
      </c>
      <c r="D55" s="90" t="s">
        <v>26</v>
      </c>
      <c r="E55" s="90" t="s">
        <v>1309</v>
      </c>
      <c r="F55" s="90" t="s">
        <v>70</v>
      </c>
      <c r="G55" s="93">
        <f>TRUNC(_xlfn.XLOOKUP(B55,QUANT!$B$12:$B$190,QUANT!$G$12:$G$190,"erro"),2)</f>
        <v>520</v>
      </c>
      <c r="H55" s="93">
        <f>TRUNC(_xlfn.XLOOKUP(B55,COMP_GERAL!$F$11:$F$824,COMP_GERAL!$G$11:$G$824),2)</f>
        <v>18.98</v>
      </c>
      <c r="I55" s="93">
        <f t="shared" si="1"/>
        <v>23.44</v>
      </c>
      <c r="J55" s="94">
        <f t="shared" si="3"/>
        <v>12188.8</v>
      </c>
      <c r="K55" s="88">
        <f t="shared" si="0"/>
        <v>9.1755768859413354E-3</v>
      </c>
    </row>
    <row r="56" spans="1:11" ht="30">
      <c r="A56" s="89" t="s">
        <v>116</v>
      </c>
      <c r="B56" s="90">
        <v>101889</v>
      </c>
      <c r="C56" s="91" t="s">
        <v>117</v>
      </c>
      <c r="D56" s="90" t="s">
        <v>26</v>
      </c>
      <c r="E56" s="90" t="s">
        <v>1309</v>
      </c>
      <c r="F56" s="90" t="s">
        <v>70</v>
      </c>
      <c r="G56" s="93">
        <f>TRUNC(_xlfn.XLOOKUP(B56,QUANT!$B$12:$B$190,QUANT!$G$12:$G$190,"erro"),2)</f>
        <v>40</v>
      </c>
      <c r="H56" s="93">
        <f>TRUNC(_xlfn.XLOOKUP(B56,COMP_GERAL!$F$11:$F$824,COMP_GERAL!$G$11:$G$824),2)</f>
        <v>29.47</v>
      </c>
      <c r="I56" s="93">
        <f t="shared" si="1"/>
        <v>36.4</v>
      </c>
      <c r="J56" s="94">
        <f t="shared" si="3"/>
        <v>1456</v>
      </c>
      <c r="K56" s="88">
        <f t="shared" si="0"/>
        <v>1.0960586723820708E-3</v>
      </c>
    </row>
    <row r="57" spans="1:11" ht="30">
      <c r="A57" s="89" t="s">
        <v>118</v>
      </c>
      <c r="B57" s="90">
        <v>101563</v>
      </c>
      <c r="C57" s="91" t="s">
        <v>119</v>
      </c>
      <c r="D57" s="90" t="s">
        <v>26</v>
      </c>
      <c r="E57" s="90" t="s">
        <v>1309</v>
      </c>
      <c r="F57" s="90" t="s">
        <v>70</v>
      </c>
      <c r="G57" s="93">
        <f>TRUNC(_xlfn.XLOOKUP(B57,QUANT!$B$12:$B$190,QUANT!$G$12:$G$190,"erro"),2)</f>
        <v>440</v>
      </c>
      <c r="H57" s="93">
        <f>TRUNC(_xlfn.XLOOKUP(B57,COMP_GERAL!$F$11:$F$824,COMP_GERAL!$G$11:$G$824),2)</f>
        <v>41.42</v>
      </c>
      <c r="I57" s="93">
        <f t="shared" si="1"/>
        <v>51.16</v>
      </c>
      <c r="J57" s="94">
        <f t="shared" si="3"/>
        <v>22510.400000000001</v>
      </c>
      <c r="K57" s="88">
        <f t="shared" si="0"/>
        <v>1.6945548859058631E-2</v>
      </c>
    </row>
    <row r="58" spans="1:11" ht="20">
      <c r="A58" s="89" t="s">
        <v>120</v>
      </c>
      <c r="B58" s="90">
        <v>96978</v>
      </c>
      <c r="C58" s="91" t="s">
        <v>121</v>
      </c>
      <c r="D58" s="90" t="s">
        <v>26</v>
      </c>
      <c r="E58" s="90" t="s">
        <v>1309</v>
      </c>
      <c r="F58" s="90" t="s">
        <v>70</v>
      </c>
      <c r="G58" s="93">
        <f>TRUNC(_xlfn.XLOOKUP(B58,QUANT!$B$12:$B$190,QUANT!$G$12:$G$190,"erro"),2)</f>
        <v>10</v>
      </c>
      <c r="H58" s="93">
        <f>TRUNC(_xlfn.XLOOKUP(B58,COMP_GERAL!$F$11:$F$824,COMP_GERAL!$G$11:$G$824),2)</f>
        <v>87.62</v>
      </c>
      <c r="I58" s="93">
        <f t="shared" si="1"/>
        <v>108.23</v>
      </c>
      <c r="J58" s="94">
        <f t="shared" si="3"/>
        <v>1082.3</v>
      </c>
      <c r="K58" s="88">
        <f t="shared" si="0"/>
        <v>8.1474196505433734E-4</v>
      </c>
    </row>
    <row r="59" spans="1:11" ht="20">
      <c r="A59" s="89" t="s">
        <v>122</v>
      </c>
      <c r="B59" s="90" t="s">
        <v>123</v>
      </c>
      <c r="C59" s="91" t="s">
        <v>124</v>
      </c>
      <c r="D59" s="90" t="s">
        <v>13</v>
      </c>
      <c r="E59" s="90" t="s">
        <v>1309</v>
      </c>
      <c r="F59" s="90" t="s">
        <v>14</v>
      </c>
      <c r="G59" s="93">
        <f>TRUNC(_xlfn.XLOOKUP(B59,QUANT!$B$12:$B$190,QUANT!$G$12:$G$190,"erro"),2)</f>
        <v>10</v>
      </c>
      <c r="H59" s="93">
        <f>TRUNC(_xlfn.XLOOKUP(B59,COMP_GERAL!$F$11:$F$824,COMP_GERAL!$G$11:$G$824),2)</f>
        <v>2.59</v>
      </c>
      <c r="I59" s="93">
        <f t="shared" si="1"/>
        <v>3.19</v>
      </c>
      <c r="J59" s="94">
        <f t="shared" si="3"/>
        <v>31.9</v>
      </c>
      <c r="K59" s="88">
        <f t="shared" si="0"/>
        <v>2.4013922835843446E-5</v>
      </c>
    </row>
    <row r="60" spans="1:11" ht="20">
      <c r="A60" s="89" t="s">
        <v>125</v>
      </c>
      <c r="B60" s="90" t="s">
        <v>126</v>
      </c>
      <c r="C60" s="91" t="s">
        <v>127</v>
      </c>
      <c r="D60" s="90" t="s">
        <v>13</v>
      </c>
      <c r="E60" s="90" t="s">
        <v>1309</v>
      </c>
      <c r="F60" s="90" t="s">
        <v>14</v>
      </c>
      <c r="G60" s="93">
        <f>TRUNC(_xlfn.XLOOKUP(B60,QUANT!$B$12:$B$190,QUANT!$G$12:$G$190,"erro"),2)</f>
        <v>65</v>
      </c>
      <c r="H60" s="93">
        <f>TRUNC(_xlfn.XLOOKUP(B60,COMP_GERAL!$F$11:$F$824,COMP_GERAL!$G$11:$G$824),2)</f>
        <v>2.82</v>
      </c>
      <c r="I60" s="93">
        <f t="shared" si="1"/>
        <v>3.48</v>
      </c>
      <c r="J60" s="94">
        <f t="shared" si="3"/>
        <v>226.2</v>
      </c>
      <c r="K60" s="88">
        <f t="shared" si="0"/>
        <v>1.702805437450717E-4</v>
      </c>
    </row>
    <row r="61" spans="1:11" ht="20">
      <c r="A61" s="89" t="s">
        <v>128</v>
      </c>
      <c r="B61" s="90" t="s">
        <v>129</v>
      </c>
      <c r="C61" s="91" t="s">
        <v>130</v>
      </c>
      <c r="D61" s="90" t="s">
        <v>13</v>
      </c>
      <c r="E61" s="90" t="s">
        <v>1309</v>
      </c>
      <c r="F61" s="90" t="s">
        <v>14</v>
      </c>
      <c r="G61" s="93">
        <f>TRUNC(_xlfn.XLOOKUP(B61,QUANT!$B$12:$B$190,QUANT!$G$12:$G$190,"erro"),2)</f>
        <v>5</v>
      </c>
      <c r="H61" s="93">
        <f>TRUNC(_xlfn.XLOOKUP(B61,COMP_GERAL!$F$11:$F$824,COMP_GERAL!$G$11:$G$824),2)</f>
        <v>2.82</v>
      </c>
      <c r="I61" s="93">
        <f t="shared" si="1"/>
        <v>3.48</v>
      </c>
      <c r="J61" s="94">
        <f t="shared" si="3"/>
        <v>17.399999999999999</v>
      </c>
      <c r="K61" s="88">
        <f t="shared" si="0"/>
        <v>1.3098503365005516E-5</v>
      </c>
    </row>
    <row r="62" spans="1:11" ht="20">
      <c r="A62" s="89" t="s">
        <v>131</v>
      </c>
      <c r="B62" s="90" t="s">
        <v>132</v>
      </c>
      <c r="C62" s="91" t="s">
        <v>133</v>
      </c>
      <c r="D62" s="90" t="s">
        <v>13</v>
      </c>
      <c r="E62" s="90" t="s">
        <v>1309</v>
      </c>
      <c r="F62" s="90" t="s">
        <v>14</v>
      </c>
      <c r="G62" s="93">
        <f>TRUNC(_xlfn.XLOOKUP(B62,QUANT!$B$12:$B$190,QUANT!$G$12:$G$190,"erro"),2)</f>
        <v>30</v>
      </c>
      <c r="H62" s="93">
        <f>TRUNC(_xlfn.XLOOKUP(B62,COMP_GERAL!$F$11:$F$824,COMP_GERAL!$G$11:$G$824),2)</f>
        <v>3.3</v>
      </c>
      <c r="I62" s="93">
        <f t="shared" si="1"/>
        <v>4.07</v>
      </c>
      <c r="J62" s="94">
        <f t="shared" si="3"/>
        <v>122.1</v>
      </c>
      <c r="K62" s="88">
        <f t="shared" si="0"/>
        <v>9.1915359819952496E-5</v>
      </c>
    </row>
    <row r="63" spans="1:11" ht="20">
      <c r="A63" s="89" t="s">
        <v>134</v>
      </c>
      <c r="B63" s="90" t="s">
        <v>135</v>
      </c>
      <c r="C63" s="91" t="s">
        <v>136</v>
      </c>
      <c r="D63" s="90" t="s">
        <v>13</v>
      </c>
      <c r="E63" s="90" t="s">
        <v>1309</v>
      </c>
      <c r="F63" s="90" t="s">
        <v>14</v>
      </c>
      <c r="G63" s="93">
        <f>TRUNC(_xlfn.XLOOKUP(B63,QUANT!$B$12:$B$190,QUANT!$G$12:$G$190,"erro"),2)</f>
        <v>52</v>
      </c>
      <c r="H63" s="93">
        <f>TRUNC(_xlfn.XLOOKUP(B63,COMP_GERAL!$F$11:$F$824,COMP_GERAL!$G$11:$G$824),2)</f>
        <v>3.6</v>
      </c>
      <c r="I63" s="93">
        <f t="shared" si="1"/>
        <v>4.4400000000000004</v>
      </c>
      <c r="J63" s="94">
        <f t="shared" si="3"/>
        <v>230.88</v>
      </c>
      <c r="K63" s="88">
        <f t="shared" si="0"/>
        <v>1.7380358947772836E-4</v>
      </c>
    </row>
    <row r="64" spans="1:11" ht="20">
      <c r="A64" s="89" t="s">
        <v>137</v>
      </c>
      <c r="B64" s="90" t="s">
        <v>138</v>
      </c>
      <c r="C64" s="91" t="s">
        <v>139</v>
      </c>
      <c r="D64" s="90" t="s">
        <v>13</v>
      </c>
      <c r="E64" s="90" t="s">
        <v>1309</v>
      </c>
      <c r="F64" s="90" t="s">
        <v>14</v>
      </c>
      <c r="G64" s="93">
        <f>TRUNC(_xlfn.XLOOKUP(B64,QUANT!$B$12:$B$190,QUANT!$G$12:$G$190,"erro"),2)</f>
        <v>4</v>
      </c>
      <c r="H64" s="93">
        <f>TRUNC(_xlfn.XLOOKUP(B64,COMP_GERAL!$F$11:$F$824,COMP_GERAL!$G$11:$G$824),2)</f>
        <v>4.29</v>
      </c>
      <c r="I64" s="93">
        <f t="shared" si="1"/>
        <v>5.29</v>
      </c>
      <c r="J64" s="94">
        <f t="shared" si="3"/>
        <v>21.16</v>
      </c>
      <c r="K64" s="88">
        <f t="shared" si="0"/>
        <v>1.5928984551926247E-5</v>
      </c>
    </row>
    <row r="65" spans="1:11" ht="20">
      <c r="A65" s="89" t="s">
        <v>140</v>
      </c>
      <c r="B65" s="90" t="s">
        <v>141</v>
      </c>
      <c r="C65" s="91" t="s">
        <v>142</v>
      </c>
      <c r="D65" s="90" t="s">
        <v>13</v>
      </c>
      <c r="E65" s="90" t="s">
        <v>1309</v>
      </c>
      <c r="F65" s="90" t="s">
        <v>14</v>
      </c>
      <c r="G65" s="93">
        <f>TRUNC(_xlfn.XLOOKUP(B65,QUANT!$B$12:$B$190,QUANT!$G$12:$G$190,"erro"),2)</f>
        <v>44</v>
      </c>
      <c r="H65" s="93">
        <f>TRUNC(_xlfn.XLOOKUP(B65,COMP_GERAL!$F$11:$F$824,COMP_GERAL!$G$11:$G$824),2)</f>
        <v>5.48</v>
      </c>
      <c r="I65" s="93">
        <f t="shared" si="1"/>
        <v>6.76</v>
      </c>
      <c r="J65" s="94">
        <f t="shared" si="3"/>
        <v>297.44</v>
      </c>
      <c r="K65" s="88">
        <f t="shared" si="0"/>
        <v>2.2390912878662302E-4</v>
      </c>
    </row>
    <row r="66" spans="1:11" ht="20.149999999999999" customHeight="1">
      <c r="A66" s="313" t="s">
        <v>143</v>
      </c>
      <c r="B66" s="316" t="s">
        <v>144</v>
      </c>
      <c r="C66" s="317"/>
      <c r="D66" s="317"/>
      <c r="E66" s="317"/>
      <c r="F66" s="317"/>
      <c r="G66" s="318"/>
      <c r="H66" s="318"/>
      <c r="I66" s="319"/>
      <c r="J66" s="314">
        <f>ROUND(SUM(J67:J75),2)</f>
        <v>1808.68</v>
      </c>
      <c r="K66" s="315"/>
    </row>
    <row r="67" spans="1:11" ht="20">
      <c r="A67" s="89" t="s">
        <v>145</v>
      </c>
      <c r="B67" s="90" t="s">
        <v>146</v>
      </c>
      <c r="C67" s="91" t="s">
        <v>147</v>
      </c>
      <c r="D67" s="90" t="s">
        <v>13</v>
      </c>
      <c r="E67" s="90" t="s">
        <v>1309</v>
      </c>
      <c r="F67" s="90" t="s">
        <v>70</v>
      </c>
      <c r="G67" s="93">
        <f>TRUNC(_xlfn.XLOOKUP(B67,QUANT!$B$12:$B$190,QUANT!$G$12:$G$190,"erro"),2)</f>
        <v>15</v>
      </c>
      <c r="H67" s="93">
        <f>TRUNC(_xlfn.XLOOKUP(B67,COMP_GERAL!$F$11:$F$824,COMP_GERAL!$G$11:$G$824),2)</f>
        <v>35.99</v>
      </c>
      <c r="I67" s="93">
        <f t="shared" si="1"/>
        <v>44.45</v>
      </c>
      <c r="J67" s="94">
        <f t="shared" si="3"/>
        <v>666.75</v>
      </c>
      <c r="K67" s="88">
        <f t="shared" si="0"/>
        <v>5.0192109877111651E-4</v>
      </c>
    </row>
    <row r="68" spans="1:11" ht="20">
      <c r="A68" s="89" t="s">
        <v>148</v>
      </c>
      <c r="B68" s="90" t="s">
        <v>149</v>
      </c>
      <c r="C68" s="91" t="s">
        <v>150</v>
      </c>
      <c r="D68" s="90" t="s">
        <v>13</v>
      </c>
      <c r="E68" s="90" t="s">
        <v>1309</v>
      </c>
      <c r="F68" s="90" t="s">
        <v>70</v>
      </c>
      <c r="G68" s="93">
        <f>TRUNC(_xlfn.XLOOKUP(B68,QUANT!$B$12:$B$190,QUANT!$G$12:$G$190,"erro"),2)</f>
        <v>3</v>
      </c>
      <c r="H68" s="93">
        <f>TRUNC(_xlfn.XLOOKUP(B68,COMP_GERAL!$F$11:$F$824,COMP_GERAL!$G$11:$G$824),2)</f>
        <v>53.86</v>
      </c>
      <c r="I68" s="93">
        <f t="shared" si="1"/>
        <v>66.53</v>
      </c>
      <c r="J68" s="94">
        <f t="shared" si="3"/>
        <v>199.59</v>
      </c>
      <c r="K68" s="88">
        <f t="shared" si="0"/>
        <v>1.5024886704720984E-4</v>
      </c>
    </row>
    <row r="69" spans="1:11" ht="40">
      <c r="A69" s="89" t="s">
        <v>151</v>
      </c>
      <c r="B69" s="90">
        <v>104785</v>
      </c>
      <c r="C69" s="91" t="s">
        <v>152</v>
      </c>
      <c r="D69" s="90" t="s">
        <v>26</v>
      </c>
      <c r="E69" s="90" t="s">
        <v>1309</v>
      </c>
      <c r="F69" s="90" t="s">
        <v>70</v>
      </c>
      <c r="G69" s="93">
        <f>TRUNC(_xlfn.XLOOKUP(B69,QUANT!$B$12:$B$190,QUANT!$G$12:$G$190,"erro"),2)</f>
        <v>18</v>
      </c>
      <c r="H69" s="93">
        <f>TRUNC(_xlfn.XLOOKUP(B69,COMP_GERAL!$F$11:$F$824,COMP_GERAL!$G$11:$G$824),2)</f>
        <v>12</v>
      </c>
      <c r="I69" s="93">
        <f t="shared" si="1"/>
        <v>14.82</v>
      </c>
      <c r="J69" s="94">
        <f t="shared" si="3"/>
        <v>266.76</v>
      </c>
      <c r="K69" s="88">
        <f t="shared" si="0"/>
        <v>2.0081360676142939E-4</v>
      </c>
    </row>
    <row r="70" spans="1:11" ht="20">
      <c r="A70" s="89" t="s">
        <v>153</v>
      </c>
      <c r="B70" s="90" t="s">
        <v>154</v>
      </c>
      <c r="C70" s="91" t="s">
        <v>155</v>
      </c>
      <c r="D70" s="90" t="s">
        <v>13</v>
      </c>
      <c r="E70" s="90" t="s">
        <v>1309</v>
      </c>
      <c r="F70" s="90" t="s">
        <v>14</v>
      </c>
      <c r="G70" s="93">
        <f>TRUNC(_xlfn.XLOOKUP(B70,QUANT!$B$12:$B$190,QUANT!$G$12:$G$190,"erro"),2)</f>
        <v>1</v>
      </c>
      <c r="H70" s="93">
        <f>TRUNC(_xlfn.XLOOKUP(B70,COMP_GERAL!$F$11:$F$824,COMP_GERAL!$G$11:$G$824),2)</f>
        <v>226.26</v>
      </c>
      <c r="I70" s="93">
        <f t="shared" si="1"/>
        <v>279.49</v>
      </c>
      <c r="J70" s="94">
        <f t="shared" si="3"/>
        <v>279.49</v>
      </c>
      <c r="K70" s="88">
        <f t="shared" si="0"/>
        <v>2.1039659226927541E-4</v>
      </c>
    </row>
    <row r="71" spans="1:11" ht="30">
      <c r="A71" s="89" t="s">
        <v>156</v>
      </c>
      <c r="B71" s="90">
        <v>95802</v>
      </c>
      <c r="C71" s="91" t="s">
        <v>157</v>
      </c>
      <c r="D71" s="90" t="s">
        <v>26</v>
      </c>
      <c r="E71" s="90" t="s">
        <v>1309</v>
      </c>
      <c r="F71" s="90" t="s">
        <v>14</v>
      </c>
      <c r="G71" s="93">
        <f>TRUNC(_xlfn.XLOOKUP(B71,QUANT!$B$12:$B$190,QUANT!$G$12:$G$190,"erro"),2)</f>
        <v>1</v>
      </c>
      <c r="H71" s="93">
        <f>TRUNC(_xlfn.XLOOKUP(B71,COMP_GERAL!$F$11:$F$824,COMP_GERAL!$G$11:$G$824),2)</f>
        <v>42.78</v>
      </c>
      <c r="I71" s="93">
        <f t="shared" si="1"/>
        <v>52.84</v>
      </c>
      <c r="J71" s="94">
        <f t="shared" si="3"/>
        <v>52.84</v>
      </c>
      <c r="K71" s="88">
        <f t="shared" si="0"/>
        <v>3.977729412683285E-5</v>
      </c>
    </row>
    <row r="72" spans="1:11" ht="30">
      <c r="A72" s="89" t="s">
        <v>158</v>
      </c>
      <c r="B72" s="90">
        <v>95796</v>
      </c>
      <c r="C72" s="91" t="s">
        <v>159</v>
      </c>
      <c r="D72" s="90" t="s">
        <v>26</v>
      </c>
      <c r="E72" s="90" t="s">
        <v>1309</v>
      </c>
      <c r="F72" s="90" t="s">
        <v>14</v>
      </c>
      <c r="G72" s="93">
        <f>TRUNC(_xlfn.XLOOKUP(B72,QUANT!$B$12:$B$190,QUANT!$G$12:$G$190,"erro"),2)</f>
        <v>3</v>
      </c>
      <c r="H72" s="93">
        <f>TRUNC(_xlfn.XLOOKUP(B72,COMP_GERAL!$F$11:$F$824,COMP_GERAL!$G$11:$G$824),2)</f>
        <v>40.4</v>
      </c>
      <c r="I72" s="93">
        <f t="shared" si="1"/>
        <v>49.9</v>
      </c>
      <c r="J72" s="94">
        <f t="shared" si="3"/>
        <v>149.69999999999999</v>
      </c>
      <c r="K72" s="88">
        <f t="shared" si="0"/>
        <v>1.1269229619203021E-4</v>
      </c>
    </row>
    <row r="73" spans="1:11" ht="30">
      <c r="A73" s="89" t="s">
        <v>160</v>
      </c>
      <c r="B73" s="90">
        <v>95791</v>
      </c>
      <c r="C73" s="91" t="s">
        <v>161</v>
      </c>
      <c r="D73" s="90" t="s">
        <v>26</v>
      </c>
      <c r="E73" s="90" t="s">
        <v>1309</v>
      </c>
      <c r="F73" s="90" t="s">
        <v>14</v>
      </c>
      <c r="G73" s="93">
        <f>TRUNC(_xlfn.XLOOKUP(B73,QUANT!$B$12:$B$190,QUANT!$G$12:$G$190,"erro"),2)</f>
        <v>1</v>
      </c>
      <c r="H73" s="93">
        <f>TRUNC(_xlfn.XLOOKUP(B73,COMP_GERAL!$F$11:$F$824,COMP_GERAL!$G$11:$G$824),2)</f>
        <v>47.87</v>
      </c>
      <c r="I73" s="93">
        <f t="shared" si="1"/>
        <v>59.13</v>
      </c>
      <c r="J73" s="94">
        <f t="shared" si="3"/>
        <v>59.13</v>
      </c>
      <c r="K73" s="88">
        <f t="shared" si="0"/>
        <v>4.4512327814527371E-5</v>
      </c>
    </row>
    <row r="74" spans="1:11" ht="30">
      <c r="A74" s="89" t="s">
        <v>162</v>
      </c>
      <c r="B74" s="90">
        <v>95782</v>
      </c>
      <c r="C74" s="91" t="s">
        <v>163</v>
      </c>
      <c r="D74" s="90" t="s">
        <v>26</v>
      </c>
      <c r="E74" s="90" t="s">
        <v>1309</v>
      </c>
      <c r="F74" s="90" t="s">
        <v>14</v>
      </c>
      <c r="G74" s="93">
        <f>TRUNC(_xlfn.XLOOKUP(B74,QUANT!$B$12:$B$190,QUANT!$G$12:$G$190,"erro"),2)</f>
        <v>2</v>
      </c>
      <c r="H74" s="93">
        <f>TRUNC(_xlfn.XLOOKUP(B74,COMP_GERAL!$F$11:$F$824,COMP_GERAL!$G$11:$G$824),2)</f>
        <v>28.55</v>
      </c>
      <c r="I74" s="93">
        <f t="shared" si="1"/>
        <v>35.26</v>
      </c>
      <c r="J74" s="94">
        <f t="shared" si="3"/>
        <v>70.52</v>
      </c>
      <c r="K74" s="88">
        <f t="shared" si="0"/>
        <v>5.3086578005757988E-5</v>
      </c>
    </row>
    <row r="75" spans="1:11" ht="30">
      <c r="A75" s="89" t="s">
        <v>164</v>
      </c>
      <c r="B75" s="90">
        <v>95793</v>
      </c>
      <c r="C75" s="91" t="s">
        <v>165</v>
      </c>
      <c r="D75" s="90" t="s">
        <v>26</v>
      </c>
      <c r="E75" s="90" t="s">
        <v>1309</v>
      </c>
      <c r="F75" s="90" t="s">
        <v>14</v>
      </c>
      <c r="G75" s="93">
        <f>TRUNC(_xlfn.XLOOKUP(B75,QUANT!$B$12:$B$190,QUANT!$G$12:$G$190,"erro"),2)</f>
        <v>2</v>
      </c>
      <c r="H75" s="93">
        <f>TRUNC(_xlfn.XLOOKUP(B75,COMP_GERAL!$F$11:$F$824,COMP_GERAL!$G$11:$G$824),2)</f>
        <v>25.87</v>
      </c>
      <c r="I75" s="93">
        <f t="shared" si="1"/>
        <v>31.95</v>
      </c>
      <c r="J75" s="94">
        <f t="shared" si="3"/>
        <v>63.9</v>
      </c>
      <c r="K75" s="88">
        <f t="shared" si="0"/>
        <v>4.8103124426658189E-5</v>
      </c>
    </row>
    <row r="76" spans="1:11" ht="20.149999999999999" customHeight="1">
      <c r="A76" s="313" t="s">
        <v>166</v>
      </c>
      <c r="B76" s="316" t="s">
        <v>167</v>
      </c>
      <c r="C76" s="317"/>
      <c r="D76" s="317"/>
      <c r="E76" s="317"/>
      <c r="F76" s="317"/>
      <c r="G76" s="318"/>
      <c r="H76" s="318"/>
      <c r="I76" s="319"/>
      <c r="J76" s="314">
        <f>ROUND(SUM(J77:J91),2)</f>
        <v>65337.04</v>
      </c>
      <c r="K76" s="315"/>
    </row>
    <row r="77" spans="1:11" ht="20">
      <c r="A77" s="89" t="s">
        <v>168</v>
      </c>
      <c r="B77" s="90" t="s">
        <v>169</v>
      </c>
      <c r="C77" s="91" t="s">
        <v>170</v>
      </c>
      <c r="D77" s="90" t="s">
        <v>13</v>
      </c>
      <c r="E77" s="90" t="s">
        <v>1309</v>
      </c>
      <c r="F77" s="90" t="s">
        <v>14</v>
      </c>
      <c r="G77" s="93">
        <f>TRUNC(_xlfn.XLOOKUP(B77,QUANT!$B$12:$B$190,QUANT!$G$12:$G$190,"erro"),2)</f>
        <v>2</v>
      </c>
      <c r="H77" s="93">
        <f>TRUNC(_xlfn.XLOOKUP(B77,COMP_GERAL!$F$11:$F$824,COMP_GERAL!$G$11:$G$824),2)</f>
        <v>9.08</v>
      </c>
      <c r="I77" s="93">
        <f t="shared" si="1"/>
        <v>11.21</v>
      </c>
      <c r="J77" s="94">
        <f t="shared" si="3"/>
        <v>22.42</v>
      </c>
      <c r="K77" s="88">
        <f t="shared" ref="K77:K105" si="4">J77/$J$107</f>
        <v>1.6877496864564579E-5</v>
      </c>
    </row>
    <row r="78" spans="1:11" ht="20">
      <c r="A78" s="89" t="s">
        <v>171</v>
      </c>
      <c r="B78" s="90" t="s">
        <v>172</v>
      </c>
      <c r="C78" s="91" t="s">
        <v>173</v>
      </c>
      <c r="D78" s="90" t="s">
        <v>13</v>
      </c>
      <c r="E78" s="90" t="s">
        <v>1309</v>
      </c>
      <c r="F78" s="90" t="s">
        <v>174</v>
      </c>
      <c r="G78" s="93">
        <f>TRUNC(_xlfn.XLOOKUP(B78,QUANT!$B$12:$B$190,QUANT!$G$12:$G$190,"erro"),2)</f>
        <v>3</v>
      </c>
      <c r="H78" s="93">
        <f>TRUNC(_xlfn.XLOOKUP(B78,COMP_GERAL!$F$11:$F$824,COMP_GERAL!$G$11:$G$824),2)</f>
        <v>547.85</v>
      </c>
      <c r="I78" s="93">
        <f t="shared" ref="I78:I105" si="5">TRUNC(H78*(IF(E78="GERAL",1+$K$6,1+$K$7)),2)</f>
        <v>676.75</v>
      </c>
      <c r="J78" s="94">
        <f t="shared" si="3"/>
        <v>2030.25</v>
      </c>
      <c r="K78" s="88">
        <f t="shared" si="4"/>
        <v>1.5283469228047385E-3</v>
      </c>
    </row>
    <row r="79" spans="1:11" ht="30">
      <c r="A79" s="89" t="s">
        <v>175</v>
      </c>
      <c r="B79" s="90" t="s">
        <v>176</v>
      </c>
      <c r="C79" s="91" t="s">
        <v>177</v>
      </c>
      <c r="D79" s="90" t="s">
        <v>13</v>
      </c>
      <c r="E79" s="90" t="s">
        <v>1309</v>
      </c>
      <c r="F79" s="90" t="s">
        <v>14</v>
      </c>
      <c r="G79" s="93">
        <f>TRUNC(_xlfn.XLOOKUP(B79,QUANT!$B$12:$B$190,QUANT!$G$12:$G$190,"erro"),2)</f>
        <v>3</v>
      </c>
      <c r="H79" s="93">
        <f>TRUNC(_xlfn.XLOOKUP(B79,COMP_GERAL!$F$11:$F$824,COMP_GERAL!$G$11:$G$824),2)</f>
        <v>1095.69</v>
      </c>
      <c r="I79" s="93">
        <f t="shared" si="5"/>
        <v>1353.5</v>
      </c>
      <c r="J79" s="94">
        <f t="shared" si="3"/>
        <v>4060.5</v>
      </c>
      <c r="K79" s="88">
        <f t="shared" si="4"/>
        <v>3.0566938456094771E-3</v>
      </c>
    </row>
    <row r="80" spans="1:11" ht="20">
      <c r="A80" s="89" t="s">
        <v>178</v>
      </c>
      <c r="B80" s="90" t="s">
        <v>179</v>
      </c>
      <c r="C80" s="91" t="s">
        <v>180</v>
      </c>
      <c r="D80" s="90" t="s">
        <v>13</v>
      </c>
      <c r="E80" s="90" t="s">
        <v>1309</v>
      </c>
      <c r="F80" s="90" t="s">
        <v>14</v>
      </c>
      <c r="G80" s="93">
        <f>TRUNC(_xlfn.XLOOKUP(B80,QUANT!$B$12:$B$190,QUANT!$G$12:$G$190,"erro"),2)</f>
        <v>1</v>
      </c>
      <c r="H80" s="93">
        <f>TRUNC(_xlfn.XLOOKUP(B80,COMP_GERAL!$F$11:$F$824,COMP_GERAL!$G$11:$G$824),2)</f>
        <v>189.58</v>
      </c>
      <c r="I80" s="93">
        <f t="shared" si="5"/>
        <v>234.18</v>
      </c>
      <c r="J80" s="94">
        <f t="shared" si="3"/>
        <v>234.18</v>
      </c>
      <c r="K80" s="88">
        <f t="shared" si="4"/>
        <v>1.7628778839178115E-4</v>
      </c>
    </row>
    <row r="81" spans="1:27" ht="20">
      <c r="A81" s="89" t="s">
        <v>181</v>
      </c>
      <c r="B81" s="90">
        <v>97599</v>
      </c>
      <c r="C81" s="91" t="s">
        <v>182</v>
      </c>
      <c r="D81" s="90" t="s">
        <v>26</v>
      </c>
      <c r="E81" s="90" t="s">
        <v>1309</v>
      </c>
      <c r="F81" s="90" t="s">
        <v>14</v>
      </c>
      <c r="G81" s="93">
        <f>TRUNC(_xlfn.XLOOKUP(B81,QUANT!$B$12:$B$190,QUANT!$G$12:$G$190,"erro"),2)</f>
        <v>4</v>
      </c>
      <c r="H81" s="93">
        <f>TRUNC(_xlfn.XLOOKUP(B81,COMP_GERAL!$F$11:$F$824,COMP_GERAL!$G$11:$G$824),2)</f>
        <v>16.55</v>
      </c>
      <c r="I81" s="93">
        <f t="shared" si="5"/>
        <v>20.440000000000001</v>
      </c>
      <c r="J81" s="94">
        <f t="shared" si="3"/>
        <v>81.760000000000005</v>
      </c>
      <c r="K81" s="88">
        <f t="shared" si="4"/>
        <v>6.1547910064531667E-5</v>
      </c>
    </row>
    <row r="82" spans="1:27" ht="30">
      <c r="A82" s="89" t="s">
        <v>183</v>
      </c>
      <c r="B82" s="90">
        <v>91959</v>
      </c>
      <c r="C82" s="91" t="s">
        <v>184</v>
      </c>
      <c r="D82" s="90" t="s">
        <v>26</v>
      </c>
      <c r="E82" s="90" t="s">
        <v>1309</v>
      </c>
      <c r="F82" s="90" t="s">
        <v>14</v>
      </c>
      <c r="G82" s="93">
        <f>TRUNC(_xlfn.XLOOKUP(B82,QUANT!$B$12:$B$190,QUANT!$G$12:$G$190,"erro"),2)</f>
        <v>1</v>
      </c>
      <c r="H82" s="93">
        <f>TRUNC(_xlfn.XLOOKUP(B82,COMP_GERAL!$F$11:$F$824,COMP_GERAL!$G$11:$G$824),2)</f>
        <v>41.72</v>
      </c>
      <c r="I82" s="93">
        <f t="shared" si="5"/>
        <v>51.53</v>
      </c>
      <c r="J82" s="94">
        <f t="shared" si="3"/>
        <v>51.53</v>
      </c>
      <c r="K82" s="88">
        <f t="shared" si="4"/>
        <v>3.8791142436708866E-5</v>
      </c>
    </row>
    <row r="83" spans="1:27" ht="30">
      <c r="A83" s="89" t="s">
        <v>185</v>
      </c>
      <c r="B83" s="90">
        <v>92013</v>
      </c>
      <c r="C83" s="91" t="s">
        <v>186</v>
      </c>
      <c r="D83" s="90" t="s">
        <v>26</v>
      </c>
      <c r="E83" s="90" t="s">
        <v>1309</v>
      </c>
      <c r="F83" s="90" t="s">
        <v>14</v>
      </c>
      <c r="G83" s="93">
        <f>TRUNC(_xlfn.XLOOKUP(B83,QUANT!$B$12:$B$190,QUANT!$G$12:$G$190,"erro"),2)</f>
        <v>2</v>
      </c>
      <c r="H83" s="93">
        <f>TRUNC(_xlfn.XLOOKUP(B83,COMP_GERAL!$F$11:$F$824,COMP_GERAL!$G$11:$G$824),2)</f>
        <v>76.709999999999994</v>
      </c>
      <c r="I83" s="93">
        <f t="shared" si="5"/>
        <v>94.75</v>
      </c>
      <c r="J83" s="94">
        <f t="shared" si="3"/>
        <v>189.5</v>
      </c>
      <c r="K83" s="88">
        <f t="shared" si="4"/>
        <v>1.4265324067060605E-4</v>
      </c>
    </row>
    <row r="84" spans="1:27" ht="30">
      <c r="A84" s="89" t="s">
        <v>187</v>
      </c>
      <c r="B84" s="90">
        <v>92012</v>
      </c>
      <c r="C84" s="91" t="s">
        <v>188</v>
      </c>
      <c r="D84" s="90" t="s">
        <v>26</v>
      </c>
      <c r="E84" s="90" t="s">
        <v>1309</v>
      </c>
      <c r="F84" s="90" t="s">
        <v>14</v>
      </c>
      <c r="G84" s="93">
        <f>TRUNC(_xlfn.XLOOKUP(B84,QUANT!$B$12:$B$190,QUANT!$G$12:$G$190,"erro"),2)</f>
        <v>1</v>
      </c>
      <c r="H84" s="93">
        <f>TRUNC(_xlfn.XLOOKUP(B84,COMP_GERAL!$F$11:$F$824,COMP_GERAL!$G$11:$G$824),2)</f>
        <v>70.650000000000006</v>
      </c>
      <c r="I84" s="93">
        <f t="shared" si="5"/>
        <v>87.27</v>
      </c>
      <c r="J84" s="94">
        <f t="shared" si="3"/>
        <v>87.27</v>
      </c>
      <c r="K84" s="88">
        <f t="shared" si="4"/>
        <v>6.5695769463450083E-5</v>
      </c>
    </row>
    <row r="85" spans="1:27" ht="40">
      <c r="A85" s="89" t="s">
        <v>189</v>
      </c>
      <c r="B85" s="90">
        <v>101878</v>
      </c>
      <c r="C85" s="91" t="s">
        <v>190</v>
      </c>
      <c r="D85" s="90" t="s">
        <v>26</v>
      </c>
      <c r="E85" s="90" t="s">
        <v>1309</v>
      </c>
      <c r="F85" s="90" t="s">
        <v>14</v>
      </c>
      <c r="G85" s="93">
        <f>TRUNC(_xlfn.XLOOKUP(B85,QUANT!$B$12:$B$190,QUANT!$G$12:$G$190,"erro"),2)</f>
        <v>1</v>
      </c>
      <c r="H85" s="93">
        <f>TRUNC(_xlfn.XLOOKUP(B85,COMP_GERAL!$F$11:$F$824,COMP_GERAL!$G$11:$G$824),2)</f>
        <v>532.52</v>
      </c>
      <c r="I85" s="93">
        <f t="shared" si="5"/>
        <v>657.82</v>
      </c>
      <c r="J85" s="94">
        <f t="shared" si="3"/>
        <v>657.82</v>
      </c>
      <c r="K85" s="88">
        <f t="shared" si="4"/>
        <v>4.9519870595217982E-4</v>
      </c>
    </row>
    <row r="86" spans="1:27" ht="20">
      <c r="A86" s="89" t="s">
        <v>191</v>
      </c>
      <c r="B86" s="90" t="s">
        <v>192</v>
      </c>
      <c r="C86" s="91" t="s">
        <v>193</v>
      </c>
      <c r="D86" s="90" t="s">
        <v>13</v>
      </c>
      <c r="E86" s="90" t="s">
        <v>1309</v>
      </c>
      <c r="F86" s="90" t="s">
        <v>14</v>
      </c>
      <c r="G86" s="93">
        <f>TRUNC(_xlfn.XLOOKUP(B86,QUANT!$B$12:$B$190,QUANT!$G$12:$G$190,"erro"),2)</f>
        <v>1</v>
      </c>
      <c r="H86" s="93">
        <f>TRUNC(_xlfn.XLOOKUP(B86,COMP_GERAL!$F$11:$F$824,COMP_GERAL!$G$11:$G$824),2)</f>
        <v>6.34</v>
      </c>
      <c r="I86" s="93">
        <f t="shared" si="5"/>
        <v>7.83</v>
      </c>
      <c r="J86" s="94">
        <f t="shared" si="3"/>
        <v>7.83</v>
      </c>
      <c r="K86" s="88">
        <f t="shared" si="4"/>
        <v>5.8943265142524826E-6</v>
      </c>
    </row>
    <row r="87" spans="1:27" ht="20">
      <c r="A87" s="89" t="s">
        <v>194</v>
      </c>
      <c r="B87" s="90" t="s">
        <v>195</v>
      </c>
      <c r="C87" s="91" t="s">
        <v>196</v>
      </c>
      <c r="D87" s="90" t="s">
        <v>13</v>
      </c>
      <c r="E87" s="90" t="s">
        <v>1309</v>
      </c>
      <c r="F87" s="90" t="s">
        <v>14</v>
      </c>
      <c r="G87" s="93">
        <f>TRUNC(_xlfn.XLOOKUP(B87,QUANT!$B$12:$B$190,QUANT!$G$12:$G$190,"erro"),2)</f>
        <v>3</v>
      </c>
      <c r="H87" s="93">
        <f>TRUNC(_xlfn.XLOOKUP(B87,COMP_GERAL!$F$11:$F$824,COMP_GERAL!$G$11:$G$824),2)</f>
        <v>5.84</v>
      </c>
      <c r="I87" s="93">
        <f t="shared" si="5"/>
        <v>7.21</v>
      </c>
      <c r="J87" s="94">
        <f t="shared" si="3"/>
        <v>21.63</v>
      </c>
      <c r="K87" s="88">
        <f t="shared" si="4"/>
        <v>1.628279470029134E-5</v>
      </c>
    </row>
    <row r="88" spans="1:27" ht="30">
      <c r="A88" s="89" t="s">
        <v>197</v>
      </c>
      <c r="B88" s="90">
        <v>101909</v>
      </c>
      <c r="C88" s="91" t="s">
        <v>198</v>
      </c>
      <c r="D88" s="90" t="s">
        <v>26</v>
      </c>
      <c r="E88" s="90" t="s">
        <v>1309</v>
      </c>
      <c r="F88" s="90" t="s">
        <v>14</v>
      </c>
      <c r="G88" s="93">
        <f>TRUNC(_xlfn.XLOOKUP(B88,QUANT!$B$12:$B$190,QUANT!$G$12:$G$190,"erro"),2)</f>
        <v>1</v>
      </c>
      <c r="H88" s="93">
        <f>TRUNC(_xlfn.XLOOKUP(B88,COMP_GERAL!$F$11:$F$824,COMP_GERAL!$G$11:$G$824),2)</f>
        <v>321.83999999999997</v>
      </c>
      <c r="I88" s="93">
        <f t="shared" si="5"/>
        <v>397.56</v>
      </c>
      <c r="J88" s="94">
        <f t="shared" si="3"/>
        <v>397.56</v>
      </c>
      <c r="K88" s="88">
        <f t="shared" si="4"/>
        <v>2.9927821826388466E-4</v>
      </c>
    </row>
    <row r="89" spans="1:27" ht="20">
      <c r="A89" s="89" t="s">
        <v>199</v>
      </c>
      <c r="B89" s="90" t="s">
        <v>200</v>
      </c>
      <c r="C89" s="91" t="s">
        <v>201</v>
      </c>
      <c r="D89" s="90" t="s">
        <v>13</v>
      </c>
      <c r="E89" s="90" t="s">
        <v>1309</v>
      </c>
      <c r="F89" s="90" t="s">
        <v>14</v>
      </c>
      <c r="G89" s="93">
        <f>TRUNC(_xlfn.XLOOKUP(B89,QUANT!$B$12:$B$190,QUANT!$G$12:$G$190,"erro"),2)</f>
        <v>3</v>
      </c>
      <c r="H89" s="93">
        <f>TRUNC(_xlfn.XLOOKUP(B89,COMP_GERAL!$F$11:$F$824,COMP_GERAL!$G$11:$G$824),2)</f>
        <v>10.92</v>
      </c>
      <c r="I89" s="93">
        <f t="shared" si="5"/>
        <v>13.48</v>
      </c>
      <c r="J89" s="94">
        <f t="shared" si="3"/>
        <v>40.44</v>
      </c>
      <c r="K89" s="88">
        <f t="shared" si="4"/>
        <v>3.0442728510392129E-5</v>
      </c>
    </row>
    <row r="90" spans="1:27" ht="20">
      <c r="A90" s="89" t="s">
        <v>202</v>
      </c>
      <c r="B90" s="90">
        <v>96985</v>
      </c>
      <c r="C90" s="91" t="s">
        <v>203</v>
      </c>
      <c r="D90" s="90" t="s">
        <v>26</v>
      </c>
      <c r="E90" s="90" t="s">
        <v>1309</v>
      </c>
      <c r="F90" s="90" t="s">
        <v>14</v>
      </c>
      <c r="G90" s="93">
        <f>TRUNC(_xlfn.XLOOKUP(B90,QUANT!$B$12:$B$190,QUANT!$G$12:$G$190,"erro"),2)</f>
        <v>3</v>
      </c>
      <c r="H90" s="93">
        <f>TRUNC(_xlfn.XLOOKUP(B90,COMP_GERAL!$F$11:$F$824,COMP_GERAL!$G$11:$G$824),2)</f>
        <v>85.97</v>
      </c>
      <c r="I90" s="93">
        <f t="shared" si="5"/>
        <v>106.19</v>
      </c>
      <c r="J90" s="94">
        <f t="shared" si="3"/>
        <v>318.57</v>
      </c>
      <c r="K90" s="88">
        <f t="shared" si="4"/>
        <v>2.398155297120579E-4</v>
      </c>
    </row>
    <row r="91" spans="1:27" ht="40">
      <c r="A91" s="89" t="s">
        <v>204</v>
      </c>
      <c r="B91" s="90" t="s">
        <v>205</v>
      </c>
      <c r="C91" s="91" t="s">
        <v>206</v>
      </c>
      <c r="D91" s="90" t="s">
        <v>13</v>
      </c>
      <c r="E91" s="90" t="s">
        <v>1309</v>
      </c>
      <c r="F91" s="90" t="s">
        <v>207</v>
      </c>
      <c r="G91" s="93">
        <f>TRUNC(_xlfn.XLOOKUP(B91,QUANT!$B$12:$B$190,QUANT!$G$12:$G$190,"erro"),2)</f>
        <v>1</v>
      </c>
      <c r="H91" s="93">
        <f>TRUNC(_xlfn.XLOOKUP(B91,COMP_GERAL!$F$11:$F$824,COMP_GERAL!$G$11:$G$824),2)</f>
        <v>46252.56</v>
      </c>
      <c r="I91" s="93">
        <f t="shared" si="5"/>
        <v>57135.78</v>
      </c>
      <c r="J91" s="94">
        <f t="shared" si="3"/>
        <v>57135.78</v>
      </c>
      <c r="K91" s="88">
        <f t="shared" si="4"/>
        <v>4.3011103827138783E-2</v>
      </c>
    </row>
    <row r="92" spans="1:27" ht="20.149999999999999" customHeight="1">
      <c r="A92" s="313" t="s">
        <v>208</v>
      </c>
      <c r="B92" s="316" t="s">
        <v>209</v>
      </c>
      <c r="C92" s="317"/>
      <c r="D92" s="317"/>
      <c r="E92" s="317"/>
      <c r="F92" s="317"/>
      <c r="G92" s="318"/>
      <c r="H92" s="318"/>
      <c r="I92" s="319"/>
      <c r="J92" s="314">
        <f>ROUND(SUM(J93:J94),2)</f>
        <v>2468.0300000000002</v>
      </c>
      <c r="K92" s="315"/>
    </row>
    <row r="93" spans="1:27" ht="20">
      <c r="A93" s="89" t="s">
        <v>210</v>
      </c>
      <c r="B93" s="90">
        <v>104789</v>
      </c>
      <c r="C93" s="91" t="s">
        <v>211</v>
      </c>
      <c r="D93" s="90" t="s">
        <v>26</v>
      </c>
      <c r="E93" s="90" t="s">
        <v>1309</v>
      </c>
      <c r="F93" s="90" t="s">
        <v>45</v>
      </c>
      <c r="G93" s="93">
        <f>TRUNC(_xlfn.XLOOKUP(B93,QUANT!$B$12:$B$190,QUANT!$G$12:$G$190,"erro"),2)</f>
        <v>0.9</v>
      </c>
      <c r="H93" s="93">
        <f>TRUNC(_xlfn.XLOOKUP(B93,COMP_GERAL!$F$11:$F$824,COMP_GERAL!$G$11:$G$824),2)</f>
        <v>188.02</v>
      </c>
      <c r="I93" s="93">
        <f t="shared" si="5"/>
        <v>232.26</v>
      </c>
      <c r="J93" s="94">
        <f t="shared" si="3"/>
        <v>209.03</v>
      </c>
      <c r="K93" s="88">
        <f t="shared" si="4"/>
        <v>1.5735518151650018E-4</v>
      </c>
    </row>
    <row r="94" spans="1:27" ht="20">
      <c r="A94" s="89" t="s">
        <v>212</v>
      </c>
      <c r="B94" s="90" t="s">
        <v>213</v>
      </c>
      <c r="C94" s="91" t="s">
        <v>214</v>
      </c>
      <c r="D94" s="90" t="s">
        <v>13</v>
      </c>
      <c r="E94" s="90" t="s">
        <v>1309</v>
      </c>
      <c r="F94" s="90" t="s">
        <v>70</v>
      </c>
      <c r="G94" s="93">
        <f>TRUNC(_xlfn.XLOOKUP(B94,QUANT!$B$12:$B$190,QUANT!$G$12:$G$190,"erro"),2)</f>
        <v>15</v>
      </c>
      <c r="H94" s="93">
        <f>TRUNC(_xlfn.XLOOKUP(B94,COMP_GERAL!$F$11:$F$824,COMP_GERAL!$G$11:$G$824),2)</f>
        <v>121.92</v>
      </c>
      <c r="I94" s="93">
        <f t="shared" si="5"/>
        <v>150.6</v>
      </c>
      <c r="J94" s="94">
        <f t="shared" si="3"/>
        <v>2259</v>
      </c>
      <c r="K94" s="88">
        <f t="shared" si="4"/>
        <v>1.7005470748015783E-3</v>
      </c>
      <c r="W94" s="367"/>
      <c r="X94" s="367"/>
      <c r="Y94" s="367"/>
    </row>
    <row r="95" spans="1:27" ht="20.149999999999999" customHeight="1">
      <c r="A95" s="308" t="s">
        <v>215</v>
      </c>
      <c r="B95" s="320" t="s">
        <v>216</v>
      </c>
      <c r="C95" s="321"/>
      <c r="D95" s="321"/>
      <c r="E95" s="321"/>
      <c r="F95" s="321"/>
      <c r="G95" s="322"/>
      <c r="H95" s="322"/>
      <c r="I95" s="323"/>
      <c r="J95" s="309">
        <f>ROUND(SUM(J96:J98),2)</f>
        <v>1006123.01</v>
      </c>
      <c r="K95" s="310"/>
      <c r="M95" s="367"/>
      <c r="N95" s="367"/>
      <c r="S95" s="347">
        <v>0.5</v>
      </c>
      <c r="V95" s="379">
        <v>0.5</v>
      </c>
      <c r="W95" s="379">
        <v>0.5</v>
      </c>
      <c r="X95" s="379">
        <v>0.45</v>
      </c>
      <c r="Y95" s="379">
        <v>0.46</v>
      </c>
    </row>
    <row r="96" spans="1:27" ht="30">
      <c r="A96" s="89" t="s">
        <v>217</v>
      </c>
      <c r="B96" s="90" t="s">
        <v>218</v>
      </c>
      <c r="C96" s="91" t="s">
        <v>219</v>
      </c>
      <c r="D96" s="90" t="s">
        <v>13</v>
      </c>
      <c r="E96" s="90" t="s">
        <v>1310</v>
      </c>
      <c r="F96" s="90" t="s">
        <v>207</v>
      </c>
      <c r="G96" s="93">
        <f>TRUNC(_xlfn.XLOOKUP(B96,QUANT!$B$12:$B$190,QUANT!$G$12:$G$190,"erro"),2)</f>
        <v>1</v>
      </c>
      <c r="H96" s="93">
        <f>TRUNC(_xlfn.XLOOKUP(B96,COMP_GERAL!$F$11:$F$824,COMP_GERAL!$G$11:$G$824),2)</f>
        <v>557444.75</v>
      </c>
      <c r="I96" s="93">
        <f t="shared" si="5"/>
        <v>642566.56000000006</v>
      </c>
      <c r="J96" s="94">
        <f t="shared" si="3"/>
        <v>642566.56000000006</v>
      </c>
      <c r="K96" s="88">
        <f t="shared" si="4"/>
        <v>0.4837161062298862</v>
      </c>
      <c r="M96" s="367"/>
      <c r="N96" s="392"/>
      <c r="O96" s="367"/>
      <c r="P96" s="367"/>
      <c r="T96" s="386">
        <f>SUM(M96:S96)</f>
        <v>0</v>
      </c>
      <c r="U96" s="381">
        <f>J96/$J$95</f>
        <v>0.63865606254249174</v>
      </c>
      <c r="V96" s="379">
        <f>U96*0.5</f>
        <v>0.31932803127124587</v>
      </c>
      <c r="W96" s="379">
        <f>U96*0.5</f>
        <v>0.31932803127124587</v>
      </c>
      <c r="X96" s="379">
        <f>J96*$X$95/$J$95</f>
        <v>0.28739522814412133</v>
      </c>
      <c r="Y96" s="379">
        <f>J96*$Y$95/$J$95</f>
        <v>0.29378178876954625</v>
      </c>
      <c r="AA96" s="347">
        <f>J96*0.5</f>
        <v>321283.28000000003</v>
      </c>
    </row>
    <row r="97" spans="1:27" ht="20">
      <c r="A97" s="89" t="s">
        <v>220</v>
      </c>
      <c r="B97" s="90" t="s">
        <v>221</v>
      </c>
      <c r="C97" s="91" t="s">
        <v>222</v>
      </c>
      <c r="D97" s="90" t="s">
        <v>13</v>
      </c>
      <c r="E97" s="90" t="s">
        <v>1310</v>
      </c>
      <c r="F97" s="90" t="s">
        <v>207</v>
      </c>
      <c r="G97" s="93">
        <f>TRUNC(_xlfn.XLOOKUP(B97,QUANT!$B$12:$B$190,QUANT!$G$12:$G$190,"erro"),2)</f>
        <v>1</v>
      </c>
      <c r="H97" s="93">
        <f>TRUNC(_xlfn.XLOOKUP(B97,COMP_GERAL!$F$11:$F$824,COMP_GERAL!$G$11:$G$824),2)</f>
        <v>72646.84</v>
      </c>
      <c r="I97" s="93">
        <f t="shared" si="5"/>
        <v>83740.009999999995</v>
      </c>
      <c r="J97" s="94">
        <f t="shared" si="3"/>
        <v>83740.009999999995</v>
      </c>
      <c r="K97" s="88">
        <f t="shared" si="4"/>
        <v>6.3038436940838827E-2</v>
      </c>
      <c r="M97" s="367"/>
      <c r="N97" s="367"/>
      <c r="O97" s="367"/>
      <c r="P97" s="367"/>
      <c r="S97" s="347">
        <f>J97*S95</f>
        <v>41870.004999999997</v>
      </c>
      <c r="T97" s="386">
        <f t="shared" ref="T97:T99" si="6">SUM(M97:S97)</f>
        <v>41870.004999999997</v>
      </c>
      <c r="U97" s="381">
        <f t="shared" ref="U97:U98" si="7">J97/$J$95</f>
        <v>8.3230389492831486E-2</v>
      </c>
      <c r="W97" s="379"/>
      <c r="Y97" s="381"/>
    </row>
    <row r="98" spans="1:27" ht="40">
      <c r="A98" s="89" t="s">
        <v>223</v>
      </c>
      <c r="B98" s="90">
        <v>39250</v>
      </c>
      <c r="C98" s="91" t="s">
        <v>224</v>
      </c>
      <c r="D98" s="90" t="s">
        <v>26</v>
      </c>
      <c r="E98" s="90" t="s">
        <v>1310</v>
      </c>
      <c r="F98" s="90" t="s">
        <v>70</v>
      </c>
      <c r="G98" s="93">
        <f>TRUNC(_xlfn.XLOOKUP(B98,QUANT!$B$12:$B$190,QUANT!$G$12:$G$190,"erro"),2)</f>
        <v>421.22</v>
      </c>
      <c r="H98" s="93">
        <f>TRUNC(_xlfn.XLOOKUP(B98,COMP_GERAL!$F$11:$F$824,COMP_GERAL!$G$11:$G$824),2)</f>
        <v>576.29999999999995</v>
      </c>
      <c r="I98" s="93">
        <f t="shared" si="5"/>
        <v>664.3</v>
      </c>
      <c r="J98" s="94">
        <f t="shared" si="3"/>
        <v>279816.44</v>
      </c>
      <c r="K98" s="88">
        <f t="shared" si="4"/>
        <v>0.21064233223700368</v>
      </c>
      <c r="M98" s="367"/>
      <c r="N98" s="392"/>
      <c r="O98" s="367"/>
      <c r="P98" s="367"/>
      <c r="T98" s="386">
        <f t="shared" si="6"/>
        <v>0</v>
      </c>
      <c r="U98" s="381">
        <f t="shared" si="7"/>
        <v>0.2781135479646768</v>
      </c>
      <c r="V98" s="379">
        <f>U98*0.5</f>
        <v>0.1390567739823384</v>
      </c>
      <c r="W98" s="379">
        <f>U98*0.5</f>
        <v>0.1390567739823384</v>
      </c>
      <c r="X98" s="379">
        <f>J98*$X$95/$J$95</f>
        <v>0.12515109658410456</v>
      </c>
      <c r="Y98" s="379">
        <f>J98*$Y$95/$J$95</f>
        <v>0.12793223206375134</v>
      </c>
      <c r="AA98" s="347">
        <f>J98*0.5</f>
        <v>139908.22</v>
      </c>
    </row>
    <row r="99" spans="1:27" ht="20.149999999999999" customHeight="1">
      <c r="A99" s="308" t="s">
        <v>225</v>
      </c>
      <c r="B99" s="320" t="s">
        <v>226</v>
      </c>
      <c r="C99" s="321"/>
      <c r="D99" s="321"/>
      <c r="E99" s="321"/>
      <c r="F99" s="321"/>
      <c r="G99" s="322"/>
      <c r="H99" s="322"/>
      <c r="I99" s="323"/>
      <c r="J99" s="309">
        <f>ROUND(SUM(J100:J103),2)</f>
        <v>9917.5</v>
      </c>
      <c r="K99" s="310"/>
      <c r="M99" s="367"/>
      <c r="N99" s="367"/>
      <c r="O99" s="367"/>
      <c r="P99" s="367"/>
      <c r="Q99" s="367"/>
      <c r="R99" s="367"/>
      <c r="S99" s="367">
        <f t="shared" ref="S99" si="8">SUM(S96:S98)</f>
        <v>41870.004999999997</v>
      </c>
      <c r="T99" s="386">
        <f t="shared" si="6"/>
        <v>41870.004999999997</v>
      </c>
      <c r="V99" s="379">
        <f>SUM(V98,V96)</f>
        <v>0.45838480525358427</v>
      </c>
      <c r="W99" s="379">
        <f>SUM(W98,W96)</f>
        <v>0.45838480525358427</v>
      </c>
      <c r="Y99" s="381"/>
      <c r="AA99" s="347">
        <f>SUM(AA96:AA98)</f>
        <v>461191.5</v>
      </c>
    </row>
    <row r="100" spans="1:27" ht="40">
      <c r="A100" s="89" t="s">
        <v>227</v>
      </c>
      <c r="B100" s="90" t="s">
        <v>65</v>
      </c>
      <c r="C100" s="91" t="s">
        <v>228</v>
      </c>
      <c r="D100" s="90" t="s">
        <v>13</v>
      </c>
      <c r="E100" s="90" t="s">
        <v>1309</v>
      </c>
      <c r="F100" s="90" t="s">
        <v>14</v>
      </c>
      <c r="G100" s="93">
        <f>TRUNC(_xlfn.XLOOKUP(B100,QUANT!$B$12:$B$190,QUANT!$G$12:$G$190,"erro"),2)</f>
        <v>1</v>
      </c>
      <c r="H100" s="93">
        <f>TRUNC(_xlfn.XLOOKUP(B100,COMP_GERAL!$F$11:$F$824,COMP_GERAL!$G$11:$G$824),2)</f>
        <v>4294.2</v>
      </c>
      <c r="I100" s="93">
        <f t="shared" si="5"/>
        <v>5304.62</v>
      </c>
      <c r="J100" s="94">
        <f t="shared" si="3"/>
        <v>5304.62</v>
      </c>
      <c r="K100" s="88">
        <f t="shared" si="4"/>
        <v>3.9932518919583654E-3</v>
      </c>
      <c r="M100" s="392"/>
      <c r="N100" s="392"/>
      <c r="O100" s="392"/>
      <c r="P100" s="392"/>
      <c r="Q100" s="392"/>
      <c r="R100" s="392"/>
      <c r="S100" s="392">
        <f>TRUNC(S99/J95,2)</f>
        <v>0.04</v>
      </c>
      <c r="T100" s="367"/>
      <c r="X100" s="387">
        <f>SUM(X96,X98)</f>
        <v>0.41254632472822589</v>
      </c>
      <c r="Y100" s="366"/>
    </row>
    <row r="101" spans="1:27" ht="20">
      <c r="A101" s="89" t="s">
        <v>229</v>
      </c>
      <c r="B101" s="90" t="s">
        <v>230</v>
      </c>
      <c r="C101" s="91" t="s">
        <v>231</v>
      </c>
      <c r="D101" s="90" t="s">
        <v>13</v>
      </c>
      <c r="E101" s="90" t="s">
        <v>1309</v>
      </c>
      <c r="F101" s="90" t="s">
        <v>14</v>
      </c>
      <c r="G101" s="93">
        <f>TRUNC(_xlfn.XLOOKUP(B101,QUANT!$B$12:$B$190,QUANT!$G$12:$G$190,"erro"),2)</f>
        <v>1</v>
      </c>
      <c r="H101" s="93">
        <f>TRUNC(_xlfn.XLOOKUP(B101,COMP_GERAL!$F$11:$F$824,COMP_GERAL!$G$11:$G$824),2)</f>
        <v>1570.25</v>
      </c>
      <c r="I101" s="93">
        <f t="shared" si="5"/>
        <v>1939.72</v>
      </c>
      <c r="J101" s="94">
        <f t="shared" si="3"/>
        <v>1939.72</v>
      </c>
      <c r="K101" s="88">
        <f t="shared" si="4"/>
        <v>1.4601970659292242E-3</v>
      </c>
      <c r="M101" s="393"/>
      <c r="N101" s="393"/>
      <c r="O101" s="393"/>
      <c r="P101" s="393"/>
      <c r="Q101" s="393"/>
      <c r="R101" s="393"/>
      <c r="S101" s="393">
        <f>(S99/J95)</f>
        <v>4.1615194746415743E-2</v>
      </c>
      <c r="T101" s="386"/>
    </row>
    <row r="102" spans="1:27" ht="40">
      <c r="A102" s="89" t="s">
        <v>232</v>
      </c>
      <c r="B102" s="90">
        <v>91635</v>
      </c>
      <c r="C102" s="91" t="s">
        <v>233</v>
      </c>
      <c r="D102" s="90" t="s">
        <v>26</v>
      </c>
      <c r="E102" s="90" t="s">
        <v>1309</v>
      </c>
      <c r="F102" s="90" t="s">
        <v>234</v>
      </c>
      <c r="G102" s="93">
        <f>TRUNC(_xlfn.XLOOKUP(B102,QUANT!$B$12:$B$190,QUANT!$G$12:$G$190,"erro"),2)</f>
        <v>4</v>
      </c>
      <c r="H102" s="93">
        <f>TRUNC(_xlfn.XLOOKUP(B102,COMP_GERAL!$F$11:$F$824,COMP_GERAL!$G$11:$G$824),2)</f>
        <v>61.41</v>
      </c>
      <c r="I102" s="93">
        <f t="shared" si="5"/>
        <v>75.849999999999994</v>
      </c>
      <c r="J102" s="94">
        <f t="shared" si="3"/>
        <v>303.39999999999998</v>
      </c>
      <c r="K102" s="88">
        <f t="shared" si="4"/>
        <v>2.2839574258291226E-4</v>
      </c>
    </row>
    <row r="103" spans="1:27" ht="40">
      <c r="A103" s="89" t="s">
        <v>235</v>
      </c>
      <c r="B103" s="90">
        <v>91634</v>
      </c>
      <c r="C103" s="91" t="s">
        <v>236</v>
      </c>
      <c r="D103" s="90" t="s">
        <v>26</v>
      </c>
      <c r="E103" s="90" t="s">
        <v>1309</v>
      </c>
      <c r="F103" s="90" t="s">
        <v>237</v>
      </c>
      <c r="G103" s="93">
        <f>TRUNC(_xlfn.XLOOKUP(B103,QUANT!$B$12:$B$190,QUANT!$G$12:$G$190,"erro"),2)</f>
        <v>8</v>
      </c>
      <c r="H103" s="93">
        <f>TRUNC(_xlfn.XLOOKUP(B103,COMP_GERAL!$F$11:$F$824,COMP_GERAL!$G$11:$G$824),2)</f>
        <v>239.8</v>
      </c>
      <c r="I103" s="93">
        <f t="shared" si="5"/>
        <v>296.22000000000003</v>
      </c>
      <c r="J103" s="94">
        <f t="shared" si="3"/>
        <v>2369.7600000000002</v>
      </c>
      <c r="K103" s="88">
        <f t="shared" si="4"/>
        <v>1.7839258238077859E-3</v>
      </c>
    </row>
    <row r="104" spans="1:27" ht="20.149999999999999" customHeight="1">
      <c r="A104" s="308" t="s">
        <v>238</v>
      </c>
      <c r="B104" s="320" t="s">
        <v>239</v>
      </c>
      <c r="C104" s="321"/>
      <c r="D104" s="321"/>
      <c r="E104" s="321"/>
      <c r="F104" s="321"/>
      <c r="G104" s="322"/>
      <c r="H104" s="322"/>
      <c r="I104" s="323"/>
      <c r="J104" s="309">
        <f>ROUND(SUM(J105:J105),2)</f>
        <v>114.7</v>
      </c>
      <c r="K104" s="310"/>
    </row>
    <row r="105" spans="1:27" ht="20">
      <c r="A105" s="89" t="s">
        <v>240</v>
      </c>
      <c r="B105" s="90">
        <v>97637</v>
      </c>
      <c r="C105" s="91" t="s">
        <v>241</v>
      </c>
      <c r="D105" s="90" t="s">
        <v>26</v>
      </c>
      <c r="E105" s="154" t="s">
        <v>1309</v>
      </c>
      <c r="F105" s="155" t="s">
        <v>34</v>
      </c>
      <c r="G105" s="93">
        <f>TRUNC(_xlfn.XLOOKUP(B105,QUANT!$B$12:$B$190,QUANT!$G$12:$G$190,"erro"),2)</f>
        <v>36.299999999999997</v>
      </c>
      <c r="H105" s="93">
        <f>TRUNC(_xlfn.XLOOKUP(B105,COMP_GERAL!$F$11:$F$824,COMP_GERAL!$G$11:$G$824),2)</f>
        <v>2.56</v>
      </c>
      <c r="I105" s="93">
        <f t="shared" si="5"/>
        <v>3.16</v>
      </c>
      <c r="J105" s="94">
        <f t="shared" si="3"/>
        <v>114.7</v>
      </c>
      <c r="K105" s="88">
        <f t="shared" si="4"/>
        <v>8.6344731952076598E-5</v>
      </c>
    </row>
    <row r="106" spans="1:27" ht="5.15" customHeight="1">
      <c r="A106" s="52"/>
      <c r="B106" s="52"/>
      <c r="C106" s="52"/>
      <c r="D106" s="52"/>
      <c r="E106" s="52"/>
      <c r="F106" s="72"/>
      <c r="G106" s="311"/>
      <c r="H106" s="311"/>
      <c r="I106" s="311"/>
      <c r="J106" s="312"/>
    </row>
    <row r="107" spans="1:27" ht="25" customHeight="1">
      <c r="A107" s="159"/>
      <c r="B107" s="160"/>
      <c r="C107" s="160"/>
      <c r="D107" s="160"/>
      <c r="E107" s="161"/>
      <c r="F107" s="161"/>
      <c r="G107" s="162"/>
      <c r="H107" s="162"/>
      <c r="I107" s="163" t="s">
        <v>1311</v>
      </c>
      <c r="J107" s="164">
        <f>SUM(J104,J99,J95,J47,J36,J33,J23,J14,J12)</f>
        <v>1328396.0399999998</v>
      </c>
      <c r="K107" s="88">
        <f>SUM(K12:K106)</f>
        <v>1.0000000000000002</v>
      </c>
    </row>
    <row r="108" spans="1:27" ht="15" customHeight="1">
      <c r="A108" s="369"/>
      <c r="B108" s="369"/>
      <c r="C108" s="369"/>
      <c r="D108" s="369"/>
      <c r="E108" s="369"/>
      <c r="F108" s="371"/>
      <c r="G108" s="2"/>
      <c r="H108" s="2"/>
      <c r="I108" s="2"/>
      <c r="J108" s="6"/>
    </row>
    <row r="109" spans="1:27" ht="15" customHeight="1">
      <c r="A109" s="369"/>
      <c r="B109" s="369"/>
      <c r="C109" s="369"/>
      <c r="D109" s="369"/>
      <c r="E109" s="369"/>
      <c r="F109" s="371"/>
      <c r="G109" s="2"/>
      <c r="H109" s="2"/>
      <c r="I109" s="2"/>
      <c r="J109" s="6"/>
    </row>
    <row r="110" spans="1:27" ht="15" customHeight="1">
      <c r="A110" s="369"/>
      <c r="B110" s="369"/>
      <c r="C110" s="369"/>
      <c r="D110" s="369"/>
      <c r="E110" s="369"/>
      <c r="F110" s="371"/>
      <c r="G110" s="2"/>
      <c r="H110" s="2"/>
      <c r="I110" s="2"/>
      <c r="J110" s="6"/>
    </row>
  </sheetData>
  <conditionalFormatting sqref="H2:H4 J5:J9">
    <cfRule type="cellIs" dxfId="41" priority="51" operator="equal">
      <formula>0</formula>
    </cfRule>
  </conditionalFormatting>
  <conditionalFormatting sqref="H10:H1048576">
    <cfRule type="cellIs" dxfId="40" priority="2" operator="equal">
      <formula>0</formula>
    </cfRule>
  </conditionalFormatting>
  <conditionalFormatting sqref="I3:I11 I13 I16 I18:I22 I24:I32 I34:I35 I37:I46 I49:I65 I67:I75 I77:I91 I93:I94 I96:I98 I100:I103 I105:I1048576">
    <cfRule type="cellIs" dxfId="39" priority="52" operator="equal">
      <formula>0</formula>
    </cfRule>
  </conditionalFormatting>
  <conditionalFormatting sqref="I12">
    <cfRule type="cellIs" dxfId="38" priority="50" operator="equal">
      <formula>0</formula>
    </cfRule>
  </conditionalFormatting>
  <conditionalFormatting sqref="I14:I15">
    <cfRule type="cellIs" dxfId="37" priority="25" operator="equal">
      <formula>0</formula>
    </cfRule>
  </conditionalFormatting>
  <conditionalFormatting sqref="I17">
    <cfRule type="cellIs" dxfId="36" priority="9" operator="equal">
      <formula>0</formula>
    </cfRule>
  </conditionalFormatting>
  <conditionalFormatting sqref="I23">
    <cfRule type="cellIs" dxfId="35" priority="23" operator="equal">
      <formula>0</formula>
    </cfRule>
  </conditionalFormatting>
  <conditionalFormatting sqref="I33">
    <cfRule type="cellIs" dxfId="34" priority="21" operator="equal">
      <formula>0</formula>
    </cfRule>
  </conditionalFormatting>
  <conditionalFormatting sqref="I36">
    <cfRule type="cellIs" dxfId="33" priority="19" operator="equal">
      <formula>0</formula>
    </cfRule>
  </conditionalFormatting>
  <conditionalFormatting sqref="I47:I48">
    <cfRule type="cellIs" dxfId="32" priority="7" operator="equal">
      <formula>0</formula>
    </cfRule>
  </conditionalFormatting>
  <conditionalFormatting sqref="I66">
    <cfRule type="cellIs" dxfId="31" priority="5" operator="equal">
      <formula>0</formula>
    </cfRule>
  </conditionalFormatting>
  <conditionalFormatting sqref="I76">
    <cfRule type="cellIs" dxfId="30" priority="3" operator="equal">
      <formula>0</formula>
    </cfRule>
  </conditionalFormatting>
  <conditionalFormatting sqref="I92">
    <cfRule type="cellIs" dxfId="29" priority="1" operator="equal">
      <formula>0</formula>
    </cfRule>
  </conditionalFormatting>
  <conditionalFormatting sqref="I95">
    <cfRule type="cellIs" dxfId="28" priority="15" operator="equal">
      <formula>0</formula>
    </cfRule>
  </conditionalFormatting>
  <conditionalFormatting sqref="I99">
    <cfRule type="cellIs" dxfId="27" priority="13" operator="equal">
      <formula>0</formula>
    </cfRule>
  </conditionalFormatting>
  <conditionalFormatting sqref="I104">
    <cfRule type="cellIs" dxfId="26" priority="11" operator="equal">
      <formula>0</formula>
    </cfRule>
  </conditionalFormatting>
  <printOptions horizontalCentered="1"/>
  <pageMargins left="0.51181102362204722" right="0.51181102362204722" top="0.51181102362204722" bottom="0.70866141732283472" header="0" footer="0.19685039370078741"/>
  <pageSetup paperSize="9" scale="86" orientation="landscape" r:id="rId1"/>
  <headerFooter>
    <oddFooter>&amp;L&amp;9&amp;A&amp;R&amp;9Página &amp;P de &amp;N</oddFooter>
  </headerFooter>
  <rowBreaks count="1" manualBreakCount="1">
    <brk id="94"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outlinePr summaryBelow="0"/>
  </sheetPr>
  <dimension ref="A1:K90"/>
  <sheetViews>
    <sheetView view="pageBreakPreview" topLeftCell="A82" zoomScale="70" zoomScaleNormal="100" zoomScaleSheetLayoutView="70" workbookViewId="0">
      <selection activeCell="B4" sqref="B4"/>
    </sheetView>
  </sheetViews>
  <sheetFormatPr defaultColWidth="9.1640625" defaultRowHeight="10"/>
  <cols>
    <col min="1" max="1" width="9.25" style="11" customWidth="1"/>
    <col min="2" max="2" width="68.75" style="11" customWidth="1"/>
    <col min="3" max="4" width="9.25" style="11" customWidth="1"/>
    <col min="5" max="5" width="5.83203125" style="11" customWidth="1"/>
    <col min="6" max="6" width="10" style="11" customWidth="1"/>
    <col min="7" max="7" width="10.75" style="11" customWidth="1"/>
    <col min="8" max="8" width="10.25" style="11" customWidth="1"/>
    <col min="9" max="9" width="7.75" style="11" customWidth="1"/>
    <col min="10" max="10" width="8.25" style="11" customWidth="1"/>
    <col min="11" max="11" width="3.1640625" style="11" customWidth="1"/>
    <col min="12" max="16384" width="9.1640625" style="11"/>
  </cols>
  <sheetData>
    <row r="1" spans="1:11" ht="50.15" customHeight="1"/>
    <row r="2" spans="1:11" ht="25" customHeight="1">
      <c r="A2" s="8" t="s">
        <v>957</v>
      </c>
      <c r="B2" s="8"/>
      <c r="C2" s="8"/>
      <c r="D2" s="8"/>
      <c r="E2" s="8"/>
      <c r="F2" s="8"/>
      <c r="G2" s="8"/>
      <c r="H2" s="8"/>
      <c r="I2" s="8"/>
      <c r="J2" s="8"/>
      <c r="K2" s="8"/>
    </row>
    <row r="3" spans="1:11" ht="5.15" customHeight="1">
      <c r="A3" s="44"/>
      <c r="B3" s="44"/>
      <c r="C3" s="44"/>
      <c r="D3" s="44"/>
      <c r="E3" s="44"/>
      <c r="F3" s="44"/>
      <c r="G3" s="44"/>
      <c r="H3" s="44"/>
      <c r="I3" s="44"/>
      <c r="J3" s="44"/>
    </row>
    <row r="4" spans="1:11" ht="15" customHeight="1">
      <c r="A4" s="14" t="s">
        <v>858</v>
      </c>
      <c r="B4" s="15" t="str">
        <f>RESUMO!B4</f>
        <v>MODERNIZAÇÃO DA SUBESTAÇÃO DE ENERGIA ELÉTRICA DA SEDE DA JUSTIÇA FEDERAL NA PARAIBA</v>
      </c>
      <c r="C4" s="15"/>
      <c r="D4" s="15"/>
      <c r="E4" s="15"/>
      <c r="F4" s="15"/>
      <c r="G4" s="15"/>
      <c r="H4" s="15"/>
      <c r="I4" s="15"/>
      <c r="J4" s="15"/>
      <c r="K4" s="249"/>
    </row>
    <row r="5" spans="1:11" ht="15" customHeight="1">
      <c r="A5" s="21" t="s">
        <v>863</v>
      </c>
      <c r="B5" s="41" t="str">
        <f>RESUMO!B5</f>
        <v>R3 - 15/04/2025</v>
      </c>
      <c r="C5" s="44"/>
      <c r="D5" s="44"/>
      <c r="E5" s="44"/>
      <c r="F5" s="44"/>
      <c r="G5" s="17" t="s">
        <v>874</v>
      </c>
      <c r="H5" s="19"/>
      <c r="I5" s="17" t="s">
        <v>869</v>
      </c>
      <c r="J5" s="20">
        <f>RESUMO!$F$5</f>
        <v>45762</v>
      </c>
      <c r="K5" s="303"/>
    </row>
    <row r="6" spans="1:11" ht="15" customHeight="1">
      <c r="A6" s="21" t="s">
        <v>859</v>
      </c>
      <c r="B6" s="44" t="str">
        <f>RESUMO!B6</f>
        <v>RUA JOÃO TEIXEIRA DE CARVALHO, 480, PEDRO GONDIM, JOÃO PESSOA/PB</v>
      </c>
      <c r="C6" s="44"/>
      <c r="D6" s="44"/>
      <c r="E6" s="44"/>
      <c r="F6" s="44"/>
      <c r="G6" s="23" t="str">
        <f>RESUMO!$C$6</f>
        <v>SINAPI</v>
      </c>
      <c r="H6" s="24" t="str">
        <f>RESUMO!$D$6</f>
        <v>2025/02</v>
      </c>
      <c r="I6" s="21" t="s">
        <v>1308</v>
      </c>
      <c r="J6" s="24">
        <f>RESUMO!$F$6</f>
        <v>0.23530000000000001</v>
      </c>
      <c r="K6" s="22"/>
    </row>
    <row r="7" spans="1:11" ht="15" customHeight="1">
      <c r="A7" s="21" t="s">
        <v>860</v>
      </c>
      <c r="B7" s="44" t="str">
        <f>RESUMO!B7</f>
        <v>JUSTIÇA FEDERAL NA PARAÍBA</v>
      </c>
      <c r="C7" s="44"/>
      <c r="D7" s="44"/>
      <c r="E7" s="44"/>
      <c r="F7" s="44"/>
      <c r="G7" s="23" t="str">
        <f>RESUMO!$C$7</f>
        <v>SICRO</v>
      </c>
      <c r="H7" s="24" t="str">
        <f>RESUMO!$D$7</f>
        <v>2025/01</v>
      </c>
      <c r="I7" s="21" t="s">
        <v>870</v>
      </c>
      <c r="J7" s="24">
        <f>RESUMO!$F$7</f>
        <v>0.1527</v>
      </c>
      <c r="K7" s="22"/>
    </row>
    <row r="8" spans="1:11" ht="15" customHeight="1">
      <c r="A8" s="21" t="s">
        <v>868</v>
      </c>
      <c r="B8" s="44" t="str">
        <f>RESUMO!B8</f>
        <v>MAYRTHON PAULO COSTA JUNIOR</v>
      </c>
      <c r="C8" s="44"/>
      <c r="D8" s="44"/>
      <c r="E8" s="44"/>
      <c r="F8" s="44"/>
      <c r="G8" s="23" t="str">
        <f>RESUMO!$C$8</f>
        <v>-</v>
      </c>
      <c r="H8" s="24">
        <f>RESUMO!$D$8</f>
        <v>0</v>
      </c>
      <c r="I8" s="21" t="s">
        <v>871</v>
      </c>
      <c r="J8" s="24">
        <f>RESUMO!$F$8</f>
        <v>1.1359999999999999</v>
      </c>
      <c r="K8" s="22"/>
    </row>
    <row r="9" spans="1:11" ht="15" customHeight="1">
      <c r="A9" s="25" t="s">
        <v>861</v>
      </c>
      <c r="B9" s="47" t="str">
        <f>RESUMO!B9</f>
        <v>ENGENHEIRO ELETRICISTA - CREA 060191712-0</v>
      </c>
      <c r="C9" s="47"/>
      <c r="D9" s="47"/>
      <c r="E9" s="47"/>
      <c r="F9" s="47"/>
      <c r="G9" s="25" t="s">
        <v>863</v>
      </c>
      <c r="H9" s="27" t="str">
        <f>RESUMO!$D$9</f>
        <v>R3</v>
      </c>
      <c r="I9" s="25" t="s">
        <v>872</v>
      </c>
      <c r="J9" s="27">
        <f>RESUMO!$F$9</f>
        <v>0.6984999999999999</v>
      </c>
      <c r="K9" s="26"/>
    </row>
    <row r="10" spans="1:11" ht="5.15" customHeight="1"/>
    <row r="11" spans="1:11" ht="22" customHeight="1">
      <c r="A11" s="240" t="s">
        <v>2</v>
      </c>
      <c r="B11" s="241" t="s">
        <v>3</v>
      </c>
      <c r="C11" s="240" t="s">
        <v>4</v>
      </c>
      <c r="D11" s="240" t="s">
        <v>436</v>
      </c>
      <c r="E11" s="240" t="s">
        <v>437</v>
      </c>
      <c r="F11" s="240" t="s">
        <v>6</v>
      </c>
      <c r="G11" s="240" t="s">
        <v>245</v>
      </c>
      <c r="H11" s="240" t="s">
        <v>438</v>
      </c>
      <c r="I11" s="240" t="s">
        <v>439</v>
      </c>
      <c r="J11" s="240" t="s">
        <v>440</v>
      </c>
      <c r="K11" s="240" t="s">
        <v>441</v>
      </c>
    </row>
    <row r="12" spans="1:11" ht="20">
      <c r="A12" s="332" t="s">
        <v>218</v>
      </c>
      <c r="B12" s="333" t="s">
        <v>442</v>
      </c>
      <c r="C12" s="332" t="s">
        <v>443</v>
      </c>
      <c r="D12" s="332" t="s">
        <v>250</v>
      </c>
      <c r="E12" s="332" t="s">
        <v>207</v>
      </c>
      <c r="F12" s="334">
        <f>TRUNC(SUMIF(PLANILHA_SINT!$B$11:$B$106,A12,PLANILHA_SINT!$G$11:$G$106),2)</f>
        <v>1</v>
      </c>
      <c r="G12" s="334">
        <f>_xlfn.XLOOKUP(A12,PLANILHA_SINT!$B$11:$B$106,PLANILHA_SINT!$I$11:$I$106)</f>
        <v>642566.56000000006</v>
      </c>
      <c r="H12" s="334">
        <f t="shared" ref="H12:H43" si="0">TRUNC(F12*G12,2)</f>
        <v>642566.56000000006</v>
      </c>
      <c r="I12" s="335">
        <f>SUMIF(PLANILHA_SINT!$B$12:$B$105,A12,PLANILHA_SINT!$K$12:$K$105)</f>
        <v>0.4837161062298862</v>
      </c>
      <c r="J12" s="335">
        <f>I12</f>
        <v>0.4837161062298862</v>
      </c>
      <c r="K12" s="332" t="str">
        <f>IF(J12&lt;=80%,"A",IF(J12&lt;=95%,"B","C"))</f>
        <v>A</v>
      </c>
    </row>
    <row r="13" spans="1:11" ht="20">
      <c r="A13" s="332">
        <v>39250</v>
      </c>
      <c r="B13" s="333" t="s">
        <v>421</v>
      </c>
      <c r="C13" s="332" t="s">
        <v>26</v>
      </c>
      <c r="D13" s="332" t="s">
        <v>256</v>
      </c>
      <c r="E13" s="332" t="s">
        <v>70</v>
      </c>
      <c r="F13" s="334">
        <f>TRUNC(SUMIF(PLANILHA_SINT!$B$11:$B$106,A13,PLANILHA_SINT!$G$11:$G$106),2)</f>
        <v>421.22</v>
      </c>
      <c r="G13" s="334">
        <f>_xlfn.XLOOKUP(A13,PLANILHA_SINT!$B$11:$B$106,PLANILHA_SINT!$I$11:$I$106)</f>
        <v>664.3</v>
      </c>
      <c r="H13" s="334">
        <f t="shared" si="0"/>
        <v>279816.44</v>
      </c>
      <c r="I13" s="335">
        <f>SUMIF(PLANILHA_SINT!$B$12:$B$105,A13,PLANILHA_SINT!$K$12:$K$105)</f>
        <v>0.21064233223700368</v>
      </c>
      <c r="J13" s="335">
        <f>I13+J12</f>
        <v>0.69435843846688994</v>
      </c>
      <c r="K13" s="332" t="str">
        <f t="shared" ref="K13:K75" si="1">IF(J13&lt;=80%,"A",IF(J13&lt;=95%,"B","C"))</f>
        <v>A</v>
      </c>
    </row>
    <row r="14" spans="1:11" ht="20">
      <c r="A14" s="332" t="s">
        <v>11</v>
      </c>
      <c r="B14" s="333" t="s">
        <v>12</v>
      </c>
      <c r="C14" s="332" t="s">
        <v>443</v>
      </c>
      <c r="D14" s="332" t="s">
        <v>250</v>
      </c>
      <c r="E14" s="332" t="s">
        <v>14</v>
      </c>
      <c r="F14" s="334">
        <f>TRUNC(SUMIF(PLANILHA_SINT!$B$11:$B$106,A14,PLANILHA_SINT!$G$11:$G$106),2)</f>
        <v>1</v>
      </c>
      <c r="G14" s="334">
        <f>_xlfn.XLOOKUP(A14,PLANILHA_SINT!$B$11:$B$106,PLANILHA_SINT!$I$11:$I$106)</f>
        <v>116473.47</v>
      </c>
      <c r="H14" s="334">
        <f t="shared" si="0"/>
        <v>116473.47</v>
      </c>
      <c r="I14" s="335">
        <f>SUMIF(PLANILHA_SINT!$B$12:$B$105,A14,PLANILHA_SINT!$K$12:$K$105)</f>
        <v>8.7679778087866034E-2</v>
      </c>
      <c r="J14" s="335">
        <f t="shared" ref="J14:J77" si="2">I14+J13</f>
        <v>0.78203821655475592</v>
      </c>
      <c r="K14" s="332" t="str">
        <f t="shared" si="1"/>
        <v>A</v>
      </c>
    </row>
    <row r="15" spans="1:11" ht="20">
      <c r="A15" s="336" t="s">
        <v>221</v>
      </c>
      <c r="B15" s="337" t="s">
        <v>444</v>
      </c>
      <c r="C15" s="336" t="s">
        <v>443</v>
      </c>
      <c r="D15" s="336" t="s">
        <v>250</v>
      </c>
      <c r="E15" s="336" t="s">
        <v>207</v>
      </c>
      <c r="F15" s="338">
        <f>TRUNC(SUMIF(PLANILHA_SINT!$B$11:$B$106,A15,PLANILHA_SINT!$G$11:$G$106),2)</f>
        <v>1</v>
      </c>
      <c r="G15" s="338">
        <f>_xlfn.XLOOKUP(A15,PLANILHA_SINT!$B$11:$B$106,PLANILHA_SINT!$I$11:$I$106)</f>
        <v>83740.009999999995</v>
      </c>
      <c r="H15" s="338">
        <f t="shared" si="0"/>
        <v>83740.009999999995</v>
      </c>
      <c r="I15" s="339">
        <f>SUMIF(PLANILHA_SINT!$B$12:$B$105,A15,PLANILHA_SINT!$K$12:$K$105)</f>
        <v>6.3038436940838827E-2</v>
      </c>
      <c r="J15" s="339">
        <f t="shared" si="2"/>
        <v>0.84507665349559469</v>
      </c>
      <c r="K15" s="336" t="str">
        <f t="shared" si="1"/>
        <v>B</v>
      </c>
    </row>
    <row r="16" spans="1:11" ht="20">
      <c r="A16" s="336" t="s">
        <v>205</v>
      </c>
      <c r="B16" s="337" t="s">
        <v>206</v>
      </c>
      <c r="C16" s="336" t="s">
        <v>443</v>
      </c>
      <c r="D16" s="336" t="s">
        <v>250</v>
      </c>
      <c r="E16" s="336" t="s">
        <v>207</v>
      </c>
      <c r="F16" s="338">
        <f>TRUNC(SUMIF(PLANILHA_SINT!$B$11:$B$106,A16,PLANILHA_SINT!$G$11:$G$106),2)</f>
        <v>1</v>
      </c>
      <c r="G16" s="338">
        <f>_xlfn.XLOOKUP(A16,PLANILHA_SINT!$B$11:$B$106,PLANILHA_SINT!$I$11:$I$106)</f>
        <v>57135.78</v>
      </c>
      <c r="H16" s="338">
        <f t="shared" si="0"/>
        <v>57135.78</v>
      </c>
      <c r="I16" s="339">
        <f>SUMIF(PLANILHA_SINT!$B$12:$B$105,A16,PLANILHA_SINT!$K$12:$K$105)</f>
        <v>4.3011103827138783E-2</v>
      </c>
      <c r="J16" s="339">
        <f t="shared" si="2"/>
        <v>0.88808775732273348</v>
      </c>
      <c r="K16" s="336" t="str">
        <f t="shared" si="1"/>
        <v>B</v>
      </c>
    </row>
    <row r="17" spans="1:11" ht="20">
      <c r="A17" s="336">
        <v>101563</v>
      </c>
      <c r="B17" s="337" t="s">
        <v>119</v>
      </c>
      <c r="C17" s="336" t="s">
        <v>26</v>
      </c>
      <c r="D17" s="336" t="s">
        <v>250</v>
      </c>
      <c r="E17" s="336" t="s">
        <v>70</v>
      </c>
      <c r="F17" s="338">
        <f>TRUNC(SUMIF(PLANILHA_SINT!$B$11:$B$106,A17,PLANILHA_SINT!$G$11:$G$106),2)</f>
        <v>440</v>
      </c>
      <c r="G17" s="338">
        <f>_xlfn.XLOOKUP(A17,PLANILHA_SINT!$B$11:$B$106,PLANILHA_SINT!$I$11:$I$106)</f>
        <v>51.16</v>
      </c>
      <c r="H17" s="338">
        <f t="shared" si="0"/>
        <v>22510.400000000001</v>
      </c>
      <c r="I17" s="339">
        <f>SUMIF(PLANILHA_SINT!$B$12:$B$105,A17,PLANILHA_SINT!$K$12:$K$105)</f>
        <v>1.6945548859058631E-2</v>
      </c>
      <c r="J17" s="339">
        <f t="shared" si="2"/>
        <v>0.90503330618179212</v>
      </c>
      <c r="K17" s="336" t="str">
        <f t="shared" si="1"/>
        <v>B</v>
      </c>
    </row>
    <row r="18" spans="1:11" ht="20">
      <c r="A18" s="336">
        <v>101887</v>
      </c>
      <c r="B18" s="337" t="s">
        <v>115</v>
      </c>
      <c r="C18" s="336" t="s">
        <v>26</v>
      </c>
      <c r="D18" s="336" t="s">
        <v>250</v>
      </c>
      <c r="E18" s="336" t="s">
        <v>70</v>
      </c>
      <c r="F18" s="338">
        <f>TRUNC(SUMIF(PLANILHA_SINT!$B$11:$B$106,A18,PLANILHA_SINT!$G$11:$G$106),2)</f>
        <v>520</v>
      </c>
      <c r="G18" s="338">
        <f>_xlfn.XLOOKUP(A18,PLANILHA_SINT!$B$11:$B$106,PLANILHA_SINT!$I$11:$I$106)</f>
        <v>23.44</v>
      </c>
      <c r="H18" s="338">
        <f t="shared" si="0"/>
        <v>12188.8</v>
      </c>
      <c r="I18" s="339">
        <f>SUMIF(PLANILHA_SINT!$B$12:$B$105,A18,PLANILHA_SINT!$K$12:$K$105)</f>
        <v>9.1755768859413354E-3</v>
      </c>
      <c r="J18" s="339">
        <f t="shared" si="2"/>
        <v>0.9142088830677334</v>
      </c>
      <c r="K18" s="336" t="str">
        <f t="shared" si="1"/>
        <v>B</v>
      </c>
    </row>
    <row r="19" spans="1:11" ht="30">
      <c r="A19" s="336" t="s">
        <v>65</v>
      </c>
      <c r="B19" s="337" t="s">
        <v>228</v>
      </c>
      <c r="C19" s="336" t="s">
        <v>443</v>
      </c>
      <c r="D19" s="336" t="s">
        <v>250</v>
      </c>
      <c r="E19" s="336" t="s">
        <v>14</v>
      </c>
      <c r="F19" s="338">
        <f>TRUNC(SUMIF(PLANILHA_SINT!$B$11:$B$106,A19,PLANILHA_SINT!$G$11:$G$106),2)</f>
        <v>2</v>
      </c>
      <c r="G19" s="338">
        <f>_xlfn.XLOOKUP(A19,PLANILHA_SINT!$B$11:$B$106,PLANILHA_SINT!$I$11:$I$106)</f>
        <v>5304.62</v>
      </c>
      <c r="H19" s="338">
        <f t="shared" si="0"/>
        <v>10609.24</v>
      </c>
      <c r="I19" s="339">
        <f>SUMIF(PLANILHA_SINT!$B$12:$B$105,A19,PLANILHA_SINT!$K$12:$K$105)</f>
        <v>7.9865037839167308E-3</v>
      </c>
      <c r="J19" s="339">
        <f t="shared" si="2"/>
        <v>0.92219538685165015</v>
      </c>
      <c r="K19" s="336" t="str">
        <f t="shared" si="1"/>
        <v>B</v>
      </c>
    </row>
    <row r="20" spans="1:11" ht="20">
      <c r="A20" s="336">
        <v>97628</v>
      </c>
      <c r="B20" s="337" t="s">
        <v>47</v>
      </c>
      <c r="C20" s="336" t="s">
        <v>26</v>
      </c>
      <c r="D20" s="336" t="s">
        <v>250</v>
      </c>
      <c r="E20" s="336" t="s">
        <v>45</v>
      </c>
      <c r="F20" s="338">
        <f>TRUNC(SUMIF(PLANILHA_SINT!$B$11:$B$106,A20,PLANILHA_SINT!$G$11:$G$106),2)</f>
        <v>23.81</v>
      </c>
      <c r="G20" s="338">
        <f>_xlfn.XLOOKUP(A20,PLANILHA_SINT!$B$11:$B$106,PLANILHA_SINT!$I$11:$I$106)</f>
        <v>308.91000000000003</v>
      </c>
      <c r="H20" s="338">
        <f t="shared" si="0"/>
        <v>7355.14</v>
      </c>
      <c r="I20" s="339">
        <f>SUMIF(PLANILHA_SINT!$B$12:$B$105,A20,PLANILHA_SINT!$K$12:$K$105)</f>
        <v>5.5368578183957861E-3</v>
      </c>
      <c r="J20" s="339">
        <f t="shared" si="2"/>
        <v>0.92773224467004589</v>
      </c>
      <c r="K20" s="336" t="str">
        <f t="shared" si="1"/>
        <v>B</v>
      </c>
    </row>
    <row r="21" spans="1:11" ht="20">
      <c r="A21" s="336" t="s">
        <v>68</v>
      </c>
      <c r="B21" s="337" t="s">
        <v>69</v>
      </c>
      <c r="C21" s="336" t="s">
        <v>443</v>
      </c>
      <c r="D21" s="336" t="s">
        <v>250</v>
      </c>
      <c r="E21" s="336" t="s">
        <v>70</v>
      </c>
      <c r="F21" s="338">
        <f>TRUNC(SUMIF(PLANILHA_SINT!$B$11:$B$106,A21,PLANILHA_SINT!$G$11:$G$106),2)</f>
        <v>415</v>
      </c>
      <c r="G21" s="338">
        <f>_xlfn.XLOOKUP(A21,PLANILHA_SINT!$B$11:$B$106,PLANILHA_SINT!$I$11:$I$106)</f>
        <v>17.72</v>
      </c>
      <c r="H21" s="338">
        <f t="shared" si="0"/>
        <v>7353.8</v>
      </c>
      <c r="I21" s="339">
        <f>SUMIF(PLANILHA_SINT!$B$12:$B$105,A21,PLANILHA_SINT!$K$12:$K$105)</f>
        <v>5.535849083079171E-3</v>
      </c>
      <c r="J21" s="339">
        <f t="shared" si="2"/>
        <v>0.93326809375312503</v>
      </c>
      <c r="K21" s="336" t="str">
        <f t="shared" si="1"/>
        <v>B</v>
      </c>
    </row>
    <row r="22" spans="1:11" ht="20">
      <c r="A22" s="336">
        <v>91933</v>
      </c>
      <c r="B22" s="337" t="s">
        <v>113</v>
      </c>
      <c r="C22" s="336" t="s">
        <v>26</v>
      </c>
      <c r="D22" s="336" t="s">
        <v>250</v>
      </c>
      <c r="E22" s="336" t="s">
        <v>70</v>
      </c>
      <c r="F22" s="338">
        <f>TRUNC(SUMIF(PLANILHA_SINT!$B$11:$B$106,A22,PLANILHA_SINT!$G$11:$G$106),2)</f>
        <v>300</v>
      </c>
      <c r="G22" s="338">
        <f>_xlfn.XLOOKUP(A22,PLANILHA_SINT!$B$11:$B$106,PLANILHA_SINT!$I$11:$I$106)</f>
        <v>21.93</v>
      </c>
      <c r="H22" s="338">
        <f t="shared" si="0"/>
        <v>6579</v>
      </c>
      <c r="I22" s="339">
        <f>SUMIF(PLANILHA_SINT!$B$12:$B$105,A22,PLANILHA_SINT!$K$12:$K$105)</f>
        <v>4.9525892895615686E-3</v>
      </c>
      <c r="J22" s="339">
        <f t="shared" si="2"/>
        <v>0.93822068304268658</v>
      </c>
      <c r="K22" s="336" t="str">
        <f t="shared" si="1"/>
        <v>B</v>
      </c>
    </row>
    <row r="23" spans="1:11" ht="20">
      <c r="A23" s="336">
        <v>91929</v>
      </c>
      <c r="B23" s="337" t="s">
        <v>109</v>
      </c>
      <c r="C23" s="336" t="s">
        <v>26</v>
      </c>
      <c r="D23" s="336" t="s">
        <v>250</v>
      </c>
      <c r="E23" s="336" t="s">
        <v>70</v>
      </c>
      <c r="F23" s="338">
        <f>TRUNC(SUMIF(PLANILHA_SINT!$B$11:$B$106,A23,PLANILHA_SINT!$G$11:$G$106),2)</f>
        <v>670</v>
      </c>
      <c r="G23" s="338">
        <f>_xlfn.XLOOKUP(A23,PLANILHA_SINT!$B$11:$B$106,PLANILHA_SINT!$I$11:$I$106)</f>
        <v>9.6199999999999992</v>
      </c>
      <c r="H23" s="338">
        <f t="shared" si="0"/>
        <v>6445.4</v>
      </c>
      <c r="I23" s="339">
        <f>SUMIF(PLANILHA_SINT!$B$12:$B$105,A23,PLANILHA_SINT!$K$12:$K$105)</f>
        <v>4.8520168729199167E-3</v>
      </c>
      <c r="J23" s="339">
        <f t="shared" si="2"/>
        <v>0.94307269991560649</v>
      </c>
      <c r="K23" s="336" t="str">
        <f t="shared" si="1"/>
        <v>B</v>
      </c>
    </row>
    <row r="24" spans="1:11" ht="20">
      <c r="A24" s="336" t="s">
        <v>102</v>
      </c>
      <c r="B24" s="337" t="s">
        <v>103</v>
      </c>
      <c r="C24" s="336" t="s">
        <v>443</v>
      </c>
      <c r="D24" s="336" t="s">
        <v>250</v>
      </c>
      <c r="E24" s="336" t="s">
        <v>70</v>
      </c>
      <c r="F24" s="338">
        <f>TRUNC(SUMIF(PLANILHA_SINT!$B$11:$B$106,A24,PLANILHA_SINT!$G$11:$G$106),2)</f>
        <v>355</v>
      </c>
      <c r="G24" s="338">
        <f>_xlfn.XLOOKUP(A24,PLANILHA_SINT!$B$11:$B$106,PLANILHA_SINT!$I$11:$I$106)</f>
        <v>17.72</v>
      </c>
      <c r="H24" s="338">
        <f t="shared" si="0"/>
        <v>6290.6</v>
      </c>
      <c r="I24" s="339">
        <f>SUMIF(PLANILHA_SINT!$B$12:$B$105,A24,PLANILHA_SINT!$K$12:$K$105)</f>
        <v>4.7354853602243506E-3</v>
      </c>
      <c r="J24" s="339">
        <f t="shared" si="2"/>
        <v>0.94780818527583088</v>
      </c>
      <c r="K24" s="336" t="str">
        <f t="shared" si="1"/>
        <v>B</v>
      </c>
    </row>
    <row r="25" spans="1:11" ht="20">
      <c r="A25" s="340">
        <v>103075</v>
      </c>
      <c r="B25" s="341" t="s">
        <v>80</v>
      </c>
      <c r="C25" s="340" t="s">
        <v>26</v>
      </c>
      <c r="D25" s="340" t="s">
        <v>250</v>
      </c>
      <c r="E25" s="340" t="s">
        <v>34</v>
      </c>
      <c r="F25" s="342">
        <f>TRUNC(SUMIF(PLANILHA_SINT!$B$11:$B$106,A25,PLANILHA_SINT!$G$11:$G$106),2)</f>
        <v>19.93</v>
      </c>
      <c r="G25" s="342">
        <f>_xlfn.XLOOKUP(A25,PLANILHA_SINT!$B$11:$B$106,PLANILHA_SINT!$I$11:$I$106)</f>
        <v>278.58999999999997</v>
      </c>
      <c r="H25" s="342">
        <f t="shared" si="0"/>
        <v>5552.29</v>
      </c>
      <c r="I25" s="343">
        <f>SUMIF(PLANILHA_SINT!$B$12:$B$105,A25,PLANILHA_SINT!$K$12:$K$105)</f>
        <v>4.1796947843957743E-3</v>
      </c>
      <c r="J25" s="343">
        <f t="shared" si="2"/>
        <v>0.95198788006022661</v>
      </c>
      <c r="K25" s="340" t="str">
        <f t="shared" si="1"/>
        <v>C</v>
      </c>
    </row>
    <row r="26" spans="1:11" ht="20">
      <c r="A26" s="344">
        <v>10778</v>
      </c>
      <c r="B26" s="341" t="s">
        <v>31</v>
      </c>
      <c r="C26" s="340" t="s">
        <v>26</v>
      </c>
      <c r="D26" s="340" t="s">
        <v>268</v>
      </c>
      <c r="E26" s="340" t="s">
        <v>29</v>
      </c>
      <c r="F26" s="342">
        <f>TRUNC(SUMIF(PLANILHA_SINT!$B$11:$B$106,A26,PLANILHA_SINT!$G$11:$G$106),2)</f>
        <v>4</v>
      </c>
      <c r="G26" s="342">
        <f>_xlfn.XLOOKUP(A26,PLANILHA_SINT!$B$11:$B$106,PLANILHA_SINT!$I$11:$I$106)</f>
        <v>1308.6300000000001</v>
      </c>
      <c r="H26" s="342">
        <f t="shared" si="0"/>
        <v>5234.5200000000004</v>
      </c>
      <c r="I26" s="343">
        <f>SUMIF(PLANILHA_SINT!$B$12:$B$105,A26,PLANILHA_SINT!$K$12:$K$105)</f>
        <v>3.9404814847234871E-3</v>
      </c>
      <c r="J26" s="343">
        <f t="shared" si="2"/>
        <v>0.95592836154495009</v>
      </c>
      <c r="K26" s="340" t="str">
        <f t="shared" si="1"/>
        <v>C</v>
      </c>
    </row>
    <row r="27" spans="1:11">
      <c r="A27" s="340">
        <v>98459</v>
      </c>
      <c r="B27" s="341" t="s">
        <v>36</v>
      </c>
      <c r="C27" s="340" t="s">
        <v>26</v>
      </c>
      <c r="D27" s="340" t="s">
        <v>250</v>
      </c>
      <c r="E27" s="340" t="s">
        <v>34</v>
      </c>
      <c r="F27" s="342">
        <f>TRUNC(SUMIF(PLANILHA_SINT!$B$11:$B$106,A27,PLANILHA_SINT!$G$11:$G$106),2)</f>
        <v>36.299999999999997</v>
      </c>
      <c r="G27" s="342">
        <f>_xlfn.XLOOKUP(A27,PLANILHA_SINT!$B$11:$B$106,PLANILHA_SINT!$I$11:$I$106)</f>
        <v>114.53</v>
      </c>
      <c r="H27" s="342">
        <f t="shared" si="0"/>
        <v>4157.43</v>
      </c>
      <c r="I27" s="343">
        <f>SUMIF(PLANILHA_SINT!$B$12:$B$105,A27,PLANILHA_SINT!$K$12:$K$105)</f>
        <v>3.1296615428031546E-3</v>
      </c>
      <c r="J27" s="343">
        <f t="shared" si="2"/>
        <v>0.95905802308775323</v>
      </c>
      <c r="K27" s="340" t="str">
        <f t="shared" si="1"/>
        <v>C</v>
      </c>
    </row>
    <row r="28" spans="1:11" ht="20">
      <c r="A28" s="340" t="s">
        <v>176</v>
      </c>
      <c r="B28" s="341" t="s">
        <v>177</v>
      </c>
      <c r="C28" s="340" t="s">
        <v>443</v>
      </c>
      <c r="D28" s="340" t="s">
        <v>250</v>
      </c>
      <c r="E28" s="340" t="s">
        <v>14</v>
      </c>
      <c r="F28" s="342">
        <f>TRUNC(SUMIF(PLANILHA_SINT!$B$11:$B$106,A28,PLANILHA_SINT!$G$11:$G$106),2)</f>
        <v>3</v>
      </c>
      <c r="G28" s="342">
        <f>_xlfn.XLOOKUP(A28,PLANILHA_SINT!$B$11:$B$106,PLANILHA_SINT!$I$11:$I$106)</f>
        <v>1353.5</v>
      </c>
      <c r="H28" s="342">
        <f t="shared" si="0"/>
        <v>4060.5</v>
      </c>
      <c r="I28" s="343">
        <f>SUMIF(PLANILHA_SINT!$B$12:$B$105,A28,PLANILHA_SINT!$K$12:$K$105)</f>
        <v>3.0566938456094771E-3</v>
      </c>
      <c r="J28" s="343">
        <f t="shared" si="2"/>
        <v>0.9621147169333627</v>
      </c>
      <c r="K28" s="340" t="str">
        <f t="shared" si="1"/>
        <v>C</v>
      </c>
    </row>
    <row r="29" spans="1:11" ht="30">
      <c r="A29" s="340">
        <v>100764</v>
      </c>
      <c r="B29" s="341" t="s">
        <v>88</v>
      </c>
      <c r="C29" s="340" t="s">
        <v>26</v>
      </c>
      <c r="D29" s="340" t="s">
        <v>250</v>
      </c>
      <c r="E29" s="340" t="s">
        <v>83</v>
      </c>
      <c r="F29" s="342">
        <f>TRUNC(SUMIF(PLANILHA_SINT!$B$11:$B$106,A29,PLANILHA_SINT!$G$11:$G$106),2)</f>
        <v>180.9</v>
      </c>
      <c r="G29" s="342">
        <f>_xlfn.XLOOKUP(A29,PLANILHA_SINT!$B$11:$B$106,PLANILHA_SINT!$I$11:$I$106)</f>
        <v>18.73</v>
      </c>
      <c r="H29" s="342">
        <f t="shared" si="0"/>
        <v>3388.25</v>
      </c>
      <c r="I29" s="343">
        <f>SUMIF(PLANILHA_SINT!$B$12:$B$105,A29,PLANILHA_SINT!$K$12:$K$105)</f>
        <v>2.5506324153149393E-3</v>
      </c>
      <c r="J29" s="343">
        <f t="shared" si="2"/>
        <v>0.96466534934867765</v>
      </c>
      <c r="K29" s="340" t="str">
        <f t="shared" si="1"/>
        <v>C</v>
      </c>
    </row>
    <row r="30" spans="1:11" ht="20">
      <c r="A30" s="340" t="s">
        <v>60</v>
      </c>
      <c r="B30" s="341" t="s">
        <v>61</v>
      </c>
      <c r="C30" s="340" t="s">
        <v>443</v>
      </c>
      <c r="D30" s="340" t="s">
        <v>250</v>
      </c>
      <c r="E30" s="340" t="s">
        <v>58</v>
      </c>
      <c r="F30" s="342">
        <f>TRUNC(SUMIF(PLANILHA_SINT!$B$11:$B$106,A30,PLANILHA_SINT!$G$11:$G$106),2)</f>
        <v>1</v>
      </c>
      <c r="G30" s="342">
        <f>_xlfn.XLOOKUP(A30,PLANILHA_SINT!$B$11:$B$106,PLANILHA_SINT!$I$11:$I$106)</f>
        <v>3319.74</v>
      </c>
      <c r="H30" s="342">
        <f t="shared" si="0"/>
        <v>3319.74</v>
      </c>
      <c r="I30" s="343">
        <f>SUMIF(PLANILHA_SINT!$B$12:$B$105,A30,PLANILHA_SINT!$K$12:$K$105)</f>
        <v>2.4990589402841042E-3</v>
      </c>
      <c r="J30" s="343">
        <f t="shared" si="2"/>
        <v>0.96716440828896177</v>
      </c>
      <c r="K30" s="340" t="str">
        <f t="shared" si="1"/>
        <v>C</v>
      </c>
    </row>
    <row r="31" spans="1:11" ht="20">
      <c r="A31" s="340">
        <v>97622</v>
      </c>
      <c r="B31" s="341" t="s">
        <v>44</v>
      </c>
      <c r="C31" s="340" t="s">
        <v>26</v>
      </c>
      <c r="D31" s="340" t="s">
        <v>250</v>
      </c>
      <c r="E31" s="340" t="s">
        <v>45</v>
      </c>
      <c r="F31" s="342">
        <f>TRUNC(SUMIF(PLANILHA_SINT!$B$11:$B$106,A31,PLANILHA_SINT!$G$11:$G$106),2)</f>
        <v>50.82</v>
      </c>
      <c r="G31" s="342">
        <f>_xlfn.XLOOKUP(A31,PLANILHA_SINT!$B$11:$B$106,PLANILHA_SINT!$I$11:$I$106)</f>
        <v>65.17</v>
      </c>
      <c r="H31" s="342">
        <f t="shared" si="0"/>
        <v>3311.93</v>
      </c>
      <c r="I31" s="343">
        <f>SUMIF(PLANILHA_SINT!$B$12:$B$105,A31,PLANILHA_SINT!$K$12:$K$105)</f>
        <v>2.4931796695208458E-3</v>
      </c>
      <c r="J31" s="343">
        <f t="shared" si="2"/>
        <v>0.96965758795848267</v>
      </c>
      <c r="K31" s="340" t="str">
        <f t="shared" si="1"/>
        <v>C</v>
      </c>
    </row>
    <row r="32" spans="1:11" ht="20">
      <c r="A32" s="340">
        <v>10776</v>
      </c>
      <c r="B32" s="341" t="s">
        <v>28</v>
      </c>
      <c r="C32" s="340" t="s">
        <v>26</v>
      </c>
      <c r="D32" s="340" t="s">
        <v>268</v>
      </c>
      <c r="E32" s="340" t="s">
        <v>29</v>
      </c>
      <c r="F32" s="342">
        <f>TRUNC(SUMIF(PLANILHA_SINT!$B$11:$B$106,A32,PLANILHA_SINT!$G$11:$G$106),2)</f>
        <v>4</v>
      </c>
      <c r="G32" s="342">
        <f>_xlfn.XLOOKUP(A32,PLANILHA_SINT!$B$11:$B$106,PLANILHA_SINT!$I$11:$I$106)</f>
        <v>817.89</v>
      </c>
      <c r="H32" s="342">
        <f t="shared" si="0"/>
        <v>3271.56</v>
      </c>
      <c r="I32" s="343">
        <f>SUMIF(PLANILHA_SINT!$B$12:$B$105,A32,PLANILHA_SINT!$K$12:$K$105)</f>
        <v>2.4627896361389336E-3</v>
      </c>
      <c r="J32" s="343">
        <f t="shared" si="2"/>
        <v>0.97212037759462155</v>
      </c>
      <c r="K32" s="340" t="str">
        <f t="shared" si="1"/>
        <v>C</v>
      </c>
    </row>
    <row r="33" spans="1:11" ht="20">
      <c r="A33" s="340">
        <v>95875</v>
      </c>
      <c r="B33" s="341" t="s">
        <v>53</v>
      </c>
      <c r="C33" s="340" t="s">
        <v>26</v>
      </c>
      <c r="D33" s="340" t="s">
        <v>250</v>
      </c>
      <c r="E33" s="340" t="s">
        <v>54</v>
      </c>
      <c r="F33" s="342">
        <f>TRUNC(SUMIF(PLANILHA_SINT!$B$11:$B$106,A33,PLANILHA_SINT!$G$11:$G$106),2)</f>
        <v>1118.67</v>
      </c>
      <c r="G33" s="342">
        <f>_xlfn.XLOOKUP(A33,PLANILHA_SINT!$B$11:$B$106,PLANILHA_SINT!$I$11:$I$106)</f>
        <v>3.11</v>
      </c>
      <c r="H33" s="342">
        <f t="shared" si="0"/>
        <v>3479.06</v>
      </c>
      <c r="I33" s="343">
        <f>SUMIF(PLANILHA_SINT!$B$12:$B$105,A33,PLANILHA_SINT!$K$12:$K$105)</f>
        <v>2.618993052704373E-3</v>
      </c>
      <c r="J33" s="343">
        <f t="shared" si="2"/>
        <v>0.97473937064732596</v>
      </c>
      <c r="K33" s="340" t="str">
        <f t="shared" si="1"/>
        <v>C</v>
      </c>
    </row>
    <row r="34" spans="1:11" ht="30">
      <c r="A34" s="340">
        <v>100766</v>
      </c>
      <c r="B34" s="341" t="s">
        <v>82</v>
      </c>
      <c r="C34" s="340" t="s">
        <v>26</v>
      </c>
      <c r="D34" s="340" t="s">
        <v>250</v>
      </c>
      <c r="E34" s="340" t="s">
        <v>83</v>
      </c>
      <c r="F34" s="342">
        <f>TRUNC(SUMIF(PLANILHA_SINT!$B$11:$B$106,A34,PLANILHA_SINT!$G$11:$G$106),2)</f>
        <v>139.16</v>
      </c>
      <c r="G34" s="342">
        <f>_xlfn.XLOOKUP(A34,PLANILHA_SINT!$B$11:$B$106,PLANILHA_SINT!$I$11:$I$106)</f>
        <v>17.07</v>
      </c>
      <c r="H34" s="342">
        <f t="shared" si="0"/>
        <v>2375.46</v>
      </c>
      <c r="I34" s="343">
        <f>SUMIF(PLANILHA_SINT!$B$12:$B$105,A34,PLANILHA_SINT!$K$12:$K$105)</f>
        <v>1.7882167128411496E-3</v>
      </c>
      <c r="J34" s="343">
        <f t="shared" si="2"/>
        <v>0.97652758736016709</v>
      </c>
      <c r="K34" s="340" t="str">
        <f t="shared" si="1"/>
        <v>C</v>
      </c>
    </row>
    <row r="35" spans="1:11" ht="30">
      <c r="A35" s="340">
        <v>91634</v>
      </c>
      <c r="B35" s="341" t="s">
        <v>236</v>
      </c>
      <c r="C35" s="340" t="s">
        <v>26</v>
      </c>
      <c r="D35" s="340" t="s">
        <v>260</v>
      </c>
      <c r="E35" s="340" t="s">
        <v>237</v>
      </c>
      <c r="F35" s="342">
        <f>TRUNC(SUMIF(PLANILHA_SINT!$B$11:$B$106,A35,PLANILHA_SINT!$G$11:$G$106),2)</f>
        <v>8</v>
      </c>
      <c r="G35" s="342">
        <f>_xlfn.XLOOKUP(A35,PLANILHA_SINT!$B$11:$B$106,PLANILHA_SINT!$I$11:$I$106)</f>
        <v>296.22000000000003</v>
      </c>
      <c r="H35" s="342">
        <f t="shared" si="0"/>
        <v>2369.7600000000002</v>
      </c>
      <c r="I35" s="343">
        <f>SUMIF(PLANILHA_SINT!$B$12:$B$105,A35,PLANILHA_SINT!$K$12:$K$105)</f>
        <v>1.7839258238077859E-3</v>
      </c>
      <c r="J35" s="343">
        <f t="shared" si="2"/>
        <v>0.97831151318397491</v>
      </c>
      <c r="K35" s="340" t="str">
        <f t="shared" si="1"/>
        <v>C</v>
      </c>
    </row>
    <row r="36" spans="1:11" ht="20">
      <c r="A36" s="340" t="s">
        <v>213</v>
      </c>
      <c r="B36" s="341" t="s">
        <v>214</v>
      </c>
      <c r="C36" s="340" t="s">
        <v>443</v>
      </c>
      <c r="D36" s="340" t="s">
        <v>250</v>
      </c>
      <c r="E36" s="340" t="s">
        <v>70</v>
      </c>
      <c r="F36" s="342">
        <f>TRUNC(SUMIF(PLANILHA_SINT!$B$11:$B$106,A36,PLANILHA_SINT!$G$11:$G$106),2)</f>
        <v>15</v>
      </c>
      <c r="G36" s="342">
        <f>_xlfn.XLOOKUP(A36,PLANILHA_SINT!$B$11:$B$106,PLANILHA_SINT!$I$11:$I$106)</f>
        <v>150.6</v>
      </c>
      <c r="H36" s="342">
        <f t="shared" si="0"/>
        <v>2259</v>
      </c>
      <c r="I36" s="343">
        <f>SUMIF(PLANILHA_SINT!$B$12:$B$105,A36,PLANILHA_SINT!$K$12:$K$105)</f>
        <v>1.7005470748015783E-3</v>
      </c>
      <c r="J36" s="343">
        <f t="shared" si="2"/>
        <v>0.98001206025877652</v>
      </c>
      <c r="K36" s="340" t="str">
        <f t="shared" si="1"/>
        <v>C</v>
      </c>
    </row>
    <row r="37" spans="1:11" ht="20">
      <c r="A37" s="340">
        <v>103689</v>
      </c>
      <c r="B37" s="341" t="s">
        <v>33</v>
      </c>
      <c r="C37" s="340" t="s">
        <v>26</v>
      </c>
      <c r="D37" s="340" t="s">
        <v>250</v>
      </c>
      <c r="E37" s="340" t="s">
        <v>34</v>
      </c>
      <c r="F37" s="342">
        <f>TRUNC(SUMIF(PLANILHA_SINT!$B$11:$B$106,A37,PLANILHA_SINT!$G$11:$G$106),2)</f>
        <v>3.75</v>
      </c>
      <c r="G37" s="342">
        <f>_xlfn.XLOOKUP(A37,PLANILHA_SINT!$B$11:$B$106,PLANILHA_SINT!$I$11:$I$106)</f>
        <v>571.01</v>
      </c>
      <c r="H37" s="342">
        <f t="shared" si="0"/>
        <v>2141.2800000000002</v>
      </c>
      <c r="I37" s="343">
        <f>SUMIF(PLANILHA_SINT!$B$12:$B$105,A37,PLANILHA_SINT!$K$12:$K$105)</f>
        <v>1.6119289244493687E-3</v>
      </c>
      <c r="J37" s="343">
        <f t="shared" si="2"/>
        <v>0.98162398918322591</v>
      </c>
      <c r="K37" s="340" t="str">
        <f t="shared" si="1"/>
        <v>C</v>
      </c>
    </row>
    <row r="38" spans="1:11" ht="20">
      <c r="A38" s="340">
        <v>94213</v>
      </c>
      <c r="B38" s="341" t="s">
        <v>92</v>
      </c>
      <c r="C38" s="340" t="s">
        <v>26</v>
      </c>
      <c r="D38" s="340" t="s">
        <v>250</v>
      </c>
      <c r="E38" s="340" t="s">
        <v>34</v>
      </c>
      <c r="F38" s="342">
        <f>TRUNC(SUMIF(PLANILHA_SINT!$B$11:$B$106,A38,PLANILHA_SINT!$G$11:$G$106),2)</f>
        <v>23.81</v>
      </c>
      <c r="G38" s="342">
        <f>_xlfn.XLOOKUP(A38,PLANILHA_SINT!$B$11:$B$106,PLANILHA_SINT!$I$11:$I$106)</f>
        <v>89.69</v>
      </c>
      <c r="H38" s="342">
        <f t="shared" si="0"/>
        <v>2135.5100000000002</v>
      </c>
      <c r="I38" s="343">
        <f>SUMIF(PLANILHA_SINT!$B$12:$B$105,A38,PLANILHA_SINT!$K$12:$K$105)</f>
        <v>1.6075853402875249E-3</v>
      </c>
      <c r="J38" s="343">
        <f t="shared" si="2"/>
        <v>0.9832315745235134</v>
      </c>
      <c r="K38" s="340" t="str">
        <f t="shared" si="1"/>
        <v>C</v>
      </c>
    </row>
    <row r="39" spans="1:11" ht="20">
      <c r="A39" s="340" t="s">
        <v>172</v>
      </c>
      <c r="B39" s="341" t="s">
        <v>173</v>
      </c>
      <c r="C39" s="340" t="s">
        <v>443</v>
      </c>
      <c r="D39" s="340" t="s">
        <v>250</v>
      </c>
      <c r="E39" s="340" t="s">
        <v>174</v>
      </c>
      <c r="F39" s="342">
        <f>TRUNC(SUMIF(PLANILHA_SINT!$B$11:$B$106,A39,PLANILHA_SINT!$G$11:$G$106),2)</f>
        <v>3</v>
      </c>
      <c r="G39" s="342">
        <f>_xlfn.XLOOKUP(A39,PLANILHA_SINT!$B$11:$B$106,PLANILHA_SINT!$I$11:$I$106)</f>
        <v>676.75</v>
      </c>
      <c r="H39" s="342">
        <f t="shared" si="0"/>
        <v>2030.25</v>
      </c>
      <c r="I39" s="343">
        <f>SUMIF(PLANILHA_SINT!$B$12:$B$105,A39,PLANILHA_SINT!$K$12:$K$105)</f>
        <v>1.5283469228047385E-3</v>
      </c>
      <c r="J39" s="343">
        <f t="shared" si="2"/>
        <v>0.98475992144631819</v>
      </c>
      <c r="K39" s="340" t="str">
        <f t="shared" si="1"/>
        <v>C</v>
      </c>
    </row>
    <row r="40" spans="1:11" ht="20">
      <c r="A40" s="340" t="s">
        <v>56</v>
      </c>
      <c r="B40" s="341" t="s">
        <v>57</v>
      </c>
      <c r="C40" s="340" t="s">
        <v>443</v>
      </c>
      <c r="D40" s="340" t="s">
        <v>250</v>
      </c>
      <c r="E40" s="340" t="s">
        <v>58</v>
      </c>
      <c r="F40" s="342">
        <f>TRUNC(SUMIF(PLANILHA_SINT!$B$11:$B$106,A40,PLANILHA_SINT!$G$11:$G$106),2)</f>
        <v>1</v>
      </c>
      <c r="G40" s="342">
        <f>_xlfn.XLOOKUP(A40,PLANILHA_SINT!$B$11:$B$106,PLANILHA_SINT!$I$11:$I$106)</f>
        <v>2028.6</v>
      </c>
      <c r="H40" s="342">
        <f t="shared" si="0"/>
        <v>2028.6</v>
      </c>
      <c r="I40" s="343">
        <f>SUMIF(PLANILHA_SINT!$B$12:$B$105,A40,PLANILHA_SINT!$K$12:$K$105)</f>
        <v>1.5271048233477121E-3</v>
      </c>
      <c r="J40" s="343">
        <f t="shared" si="2"/>
        <v>0.98628702626966591</v>
      </c>
      <c r="K40" s="340" t="str">
        <f t="shared" si="1"/>
        <v>C</v>
      </c>
    </row>
    <row r="41" spans="1:11" ht="20">
      <c r="A41" s="340" t="s">
        <v>230</v>
      </c>
      <c r="B41" s="341" t="s">
        <v>231</v>
      </c>
      <c r="C41" s="340" t="s">
        <v>443</v>
      </c>
      <c r="D41" s="340" t="s">
        <v>250</v>
      </c>
      <c r="E41" s="340" t="s">
        <v>14</v>
      </c>
      <c r="F41" s="342">
        <f>TRUNC(SUMIF(PLANILHA_SINT!$B$11:$B$106,A41,PLANILHA_SINT!$G$11:$G$106),2)</f>
        <v>1</v>
      </c>
      <c r="G41" s="342">
        <f>_xlfn.XLOOKUP(A41,PLANILHA_SINT!$B$11:$B$106,PLANILHA_SINT!$I$11:$I$106)</f>
        <v>1939.72</v>
      </c>
      <c r="H41" s="342">
        <f t="shared" si="0"/>
        <v>1939.72</v>
      </c>
      <c r="I41" s="343">
        <f>SUMIF(PLANILHA_SINT!$B$12:$B$105,A41,PLANILHA_SINT!$K$12:$K$105)</f>
        <v>1.4601970659292242E-3</v>
      </c>
      <c r="J41" s="343">
        <f t="shared" si="2"/>
        <v>0.98774722333559517</v>
      </c>
      <c r="K41" s="340" t="str">
        <f t="shared" si="1"/>
        <v>C</v>
      </c>
    </row>
    <row r="42" spans="1:11" ht="20">
      <c r="A42" s="340">
        <v>101889</v>
      </c>
      <c r="B42" s="341" t="s">
        <v>117</v>
      </c>
      <c r="C42" s="340" t="s">
        <v>26</v>
      </c>
      <c r="D42" s="340" t="s">
        <v>250</v>
      </c>
      <c r="E42" s="340" t="s">
        <v>70</v>
      </c>
      <c r="F42" s="342">
        <f>TRUNC(SUMIF(PLANILHA_SINT!$B$11:$B$106,A42,PLANILHA_SINT!$G$11:$G$106),2)</f>
        <v>40</v>
      </c>
      <c r="G42" s="342">
        <f>_xlfn.XLOOKUP(A42,PLANILHA_SINT!$B$11:$B$106,PLANILHA_SINT!$I$11:$I$106)</f>
        <v>36.4</v>
      </c>
      <c r="H42" s="342">
        <f t="shared" si="0"/>
        <v>1456</v>
      </c>
      <c r="I42" s="343">
        <f>SUMIF(PLANILHA_SINT!$B$12:$B$105,A42,PLANILHA_SINT!$K$12:$K$105)</f>
        <v>1.0960586723820708E-3</v>
      </c>
      <c r="J42" s="343">
        <f t="shared" si="2"/>
        <v>0.98884328200797722</v>
      </c>
      <c r="K42" s="340" t="str">
        <f t="shared" si="1"/>
        <v>C</v>
      </c>
    </row>
    <row r="43" spans="1:11" ht="30">
      <c r="A43" s="340">
        <v>92580</v>
      </c>
      <c r="B43" s="341" t="s">
        <v>90</v>
      </c>
      <c r="C43" s="340" t="s">
        <v>26</v>
      </c>
      <c r="D43" s="340" t="s">
        <v>250</v>
      </c>
      <c r="E43" s="340" t="s">
        <v>34</v>
      </c>
      <c r="F43" s="342">
        <f>TRUNC(SUMIF(PLANILHA_SINT!$B$11:$B$106,A43,PLANILHA_SINT!$G$11:$G$106),2)</f>
        <v>23.81</v>
      </c>
      <c r="G43" s="342">
        <f>_xlfn.XLOOKUP(A43,PLANILHA_SINT!$B$11:$B$106,PLANILHA_SINT!$I$11:$I$106)</f>
        <v>56.18</v>
      </c>
      <c r="H43" s="342">
        <f t="shared" si="0"/>
        <v>1337.64</v>
      </c>
      <c r="I43" s="343">
        <f>SUMIF(PLANILHA_SINT!$B$12:$B$105,A43,PLANILHA_SINT!$K$12:$K$105)</f>
        <v>1.0069587379980449E-3</v>
      </c>
      <c r="J43" s="343">
        <f t="shared" si="2"/>
        <v>0.98985024074597527</v>
      </c>
      <c r="K43" s="340" t="str">
        <f t="shared" si="1"/>
        <v>C</v>
      </c>
    </row>
    <row r="44" spans="1:11" ht="20">
      <c r="A44" s="340">
        <v>97626</v>
      </c>
      <c r="B44" s="341" t="s">
        <v>49</v>
      </c>
      <c r="C44" s="340" t="s">
        <v>26</v>
      </c>
      <c r="D44" s="340" t="s">
        <v>250</v>
      </c>
      <c r="E44" s="340" t="s">
        <v>45</v>
      </c>
      <c r="F44" s="342">
        <f>TRUNC(SUMIF(PLANILHA_SINT!$B$11:$B$106,A44,PLANILHA_SINT!$G$11:$G$106),2)</f>
        <v>1.8</v>
      </c>
      <c r="G44" s="342">
        <f>_xlfn.XLOOKUP(A44,PLANILHA_SINT!$B$11:$B$106,PLANILHA_SINT!$I$11:$I$106)</f>
        <v>663.26</v>
      </c>
      <c r="H44" s="342">
        <f t="shared" ref="H44:H75" si="3">TRUNC(F44*G44,2)</f>
        <v>1193.8599999999999</v>
      </c>
      <c r="I44" s="343">
        <f>SUMIF(PLANILHA_SINT!$B$12:$B$105,A44,PLANILHA_SINT!$K$12:$K$105)</f>
        <v>8.987229441003152E-4</v>
      </c>
      <c r="J44" s="343">
        <f t="shared" si="2"/>
        <v>0.99074896369007559</v>
      </c>
      <c r="K44" s="340" t="str">
        <f t="shared" si="1"/>
        <v>C</v>
      </c>
    </row>
    <row r="45" spans="1:11">
      <c r="A45" s="340">
        <v>96978</v>
      </c>
      <c r="B45" s="341" t="s">
        <v>121</v>
      </c>
      <c r="C45" s="340" t="s">
        <v>26</v>
      </c>
      <c r="D45" s="340" t="s">
        <v>250</v>
      </c>
      <c r="E45" s="340" t="s">
        <v>70</v>
      </c>
      <c r="F45" s="342">
        <f>TRUNC(SUMIF(PLANILHA_SINT!$B$11:$B$106,A45,PLANILHA_SINT!$G$11:$G$106),2)</f>
        <v>10</v>
      </c>
      <c r="G45" s="342">
        <f>_xlfn.XLOOKUP(A45,PLANILHA_SINT!$B$11:$B$106,PLANILHA_SINT!$I$11:$I$106)</f>
        <v>108.23</v>
      </c>
      <c r="H45" s="342">
        <f t="shared" si="3"/>
        <v>1082.3</v>
      </c>
      <c r="I45" s="343">
        <f>SUMIF(PLANILHA_SINT!$B$12:$B$105,A45,PLANILHA_SINT!$K$12:$K$105)</f>
        <v>8.1474196505433734E-4</v>
      </c>
      <c r="J45" s="343">
        <f t="shared" si="2"/>
        <v>0.99156370565512997</v>
      </c>
      <c r="K45" s="340" t="str">
        <f t="shared" si="1"/>
        <v>C</v>
      </c>
    </row>
    <row r="46" spans="1:11" ht="30">
      <c r="A46" s="340">
        <v>100982</v>
      </c>
      <c r="B46" s="341" t="s">
        <v>51</v>
      </c>
      <c r="C46" s="340" t="s">
        <v>26</v>
      </c>
      <c r="D46" s="340" t="s">
        <v>250</v>
      </c>
      <c r="E46" s="340" t="s">
        <v>45</v>
      </c>
      <c r="F46" s="342">
        <f>TRUNC(SUMIF(PLANILHA_SINT!$B$11:$B$106,A46,PLANILHA_SINT!$G$11:$G$106),2)</f>
        <v>108.6</v>
      </c>
      <c r="G46" s="342">
        <f>_xlfn.XLOOKUP(A46,PLANILHA_SINT!$B$11:$B$106,PLANILHA_SINT!$I$11:$I$106)</f>
        <v>11.2</v>
      </c>
      <c r="H46" s="342">
        <f t="shared" si="3"/>
        <v>1216.32</v>
      </c>
      <c r="I46" s="343">
        <f>SUMIF(PLANILHA_SINT!$B$12:$B$105,A46,PLANILHA_SINT!$K$12:$K$105)</f>
        <v>9.1563055246686833E-4</v>
      </c>
      <c r="J46" s="343">
        <f t="shared" si="2"/>
        <v>0.99247933620759687</v>
      </c>
      <c r="K46" s="340" t="str">
        <f t="shared" si="1"/>
        <v>C</v>
      </c>
    </row>
    <row r="47" spans="1:11" ht="20">
      <c r="A47" s="340">
        <v>91931</v>
      </c>
      <c r="B47" s="341" t="s">
        <v>111</v>
      </c>
      <c r="C47" s="340" t="s">
        <v>26</v>
      </c>
      <c r="D47" s="340" t="s">
        <v>250</v>
      </c>
      <c r="E47" s="340" t="s">
        <v>70</v>
      </c>
      <c r="F47" s="342">
        <f>TRUNC(SUMIF(PLANILHA_SINT!$B$11:$B$106,A47,PLANILHA_SINT!$G$11:$G$106),2)</f>
        <v>50</v>
      </c>
      <c r="G47" s="342">
        <f>_xlfn.XLOOKUP(A47,PLANILHA_SINT!$B$11:$B$106,PLANILHA_SINT!$I$11:$I$106)</f>
        <v>13.66</v>
      </c>
      <c r="H47" s="342">
        <f t="shared" si="3"/>
        <v>683</v>
      </c>
      <c r="I47" s="343">
        <f>SUMIF(PLANILHA_SINT!$B$12:$B$105,A47,PLANILHA_SINT!$K$12:$K$105)</f>
        <v>5.1415389645395214E-4</v>
      </c>
      <c r="J47" s="343">
        <f t="shared" si="2"/>
        <v>0.9929934901040508</v>
      </c>
      <c r="K47" s="340" t="str">
        <f t="shared" si="1"/>
        <v>C</v>
      </c>
    </row>
    <row r="48" spans="1:11" ht="20">
      <c r="A48" s="340" t="s">
        <v>146</v>
      </c>
      <c r="B48" s="341" t="s">
        <v>147</v>
      </c>
      <c r="C48" s="340" t="s">
        <v>443</v>
      </c>
      <c r="D48" s="340" t="s">
        <v>250</v>
      </c>
      <c r="E48" s="340" t="s">
        <v>70</v>
      </c>
      <c r="F48" s="342">
        <f>TRUNC(SUMIF(PLANILHA_SINT!$B$11:$B$106,A48,PLANILHA_SINT!$G$11:$G$106),2)</f>
        <v>15</v>
      </c>
      <c r="G48" s="342">
        <f>_xlfn.XLOOKUP(A48,PLANILHA_SINT!$B$11:$B$106,PLANILHA_SINT!$I$11:$I$106)</f>
        <v>44.45</v>
      </c>
      <c r="H48" s="342">
        <f t="shared" si="3"/>
        <v>666.75</v>
      </c>
      <c r="I48" s="343">
        <f>SUMIF(PLANILHA_SINT!$B$12:$B$105,A48,PLANILHA_SINT!$K$12:$K$105)</f>
        <v>5.0192109877111651E-4</v>
      </c>
      <c r="J48" s="343">
        <f t="shared" si="2"/>
        <v>0.99349541120282192</v>
      </c>
      <c r="K48" s="340" t="str">
        <f t="shared" si="1"/>
        <v>C</v>
      </c>
    </row>
    <row r="49" spans="1:11" ht="30">
      <c r="A49" s="340">
        <v>101878</v>
      </c>
      <c r="B49" s="341" t="s">
        <v>190</v>
      </c>
      <c r="C49" s="340" t="s">
        <v>26</v>
      </c>
      <c r="D49" s="340" t="s">
        <v>250</v>
      </c>
      <c r="E49" s="340" t="s">
        <v>14</v>
      </c>
      <c r="F49" s="342">
        <f>TRUNC(SUMIF(PLANILHA_SINT!$B$11:$B$106,A49,PLANILHA_SINT!$G$11:$G$106),2)</f>
        <v>1</v>
      </c>
      <c r="G49" s="342">
        <f>_xlfn.XLOOKUP(A49,PLANILHA_SINT!$B$11:$B$106,PLANILHA_SINT!$I$11:$I$106)</f>
        <v>657.82</v>
      </c>
      <c r="H49" s="342">
        <f t="shared" si="3"/>
        <v>657.82</v>
      </c>
      <c r="I49" s="343">
        <f>SUMIF(PLANILHA_SINT!$B$12:$B$105,A49,PLANILHA_SINT!$K$12:$K$105)</f>
        <v>4.9519870595217982E-4</v>
      </c>
      <c r="J49" s="343">
        <f t="shared" si="2"/>
        <v>0.99399060990877408</v>
      </c>
      <c r="K49" s="340" t="str">
        <f t="shared" si="1"/>
        <v>C</v>
      </c>
    </row>
    <row r="50" spans="1:11" ht="20">
      <c r="A50" s="340">
        <v>91927</v>
      </c>
      <c r="B50" s="341" t="s">
        <v>107</v>
      </c>
      <c r="C50" s="340" t="s">
        <v>26</v>
      </c>
      <c r="D50" s="340" t="s">
        <v>250</v>
      </c>
      <c r="E50" s="340" t="s">
        <v>70</v>
      </c>
      <c r="F50" s="342">
        <f>TRUNC(SUMIF(PLANILHA_SINT!$B$11:$B$106,A50,PLANILHA_SINT!$G$11:$G$106),2)</f>
        <v>100</v>
      </c>
      <c r="G50" s="342">
        <f>_xlfn.XLOOKUP(A50,PLANILHA_SINT!$B$11:$B$106,PLANILHA_SINT!$I$11:$I$106)</f>
        <v>6.48</v>
      </c>
      <c r="H50" s="342">
        <f t="shared" si="3"/>
        <v>648</v>
      </c>
      <c r="I50" s="343">
        <f>SUMIF(PLANILHA_SINT!$B$12:$B$105,A50,PLANILHA_SINT!$K$12:$K$105)</f>
        <v>4.8780633221399852E-4</v>
      </c>
      <c r="J50" s="343">
        <f t="shared" si="2"/>
        <v>0.99447841624098809</v>
      </c>
      <c r="K50" s="340" t="str">
        <f t="shared" si="1"/>
        <v>C</v>
      </c>
    </row>
    <row r="51" spans="1:11" ht="20">
      <c r="A51" s="340" t="s">
        <v>77</v>
      </c>
      <c r="B51" s="341" t="s">
        <v>78</v>
      </c>
      <c r="C51" s="340" t="s">
        <v>443</v>
      </c>
      <c r="D51" s="340" t="s">
        <v>250</v>
      </c>
      <c r="E51" s="340" t="s">
        <v>34</v>
      </c>
      <c r="F51" s="342">
        <f>TRUNC(SUMIF(PLANILHA_SINT!$B$11:$B$106,A51,PLANILHA_SINT!$G$11:$G$106),2)</f>
        <v>19.93</v>
      </c>
      <c r="G51" s="342">
        <f>_xlfn.XLOOKUP(A51,PLANILHA_SINT!$B$11:$B$106,PLANILHA_SINT!$I$11:$I$106)</f>
        <v>30.37</v>
      </c>
      <c r="H51" s="342">
        <f t="shared" si="3"/>
        <v>605.27</v>
      </c>
      <c r="I51" s="343">
        <f>SUMIF(PLANILHA_SINT!$B$12:$B$105,A51,PLANILHA_SINT!$K$12:$K$105)</f>
        <v>4.5563972021476373E-4</v>
      </c>
      <c r="J51" s="343">
        <f t="shared" si="2"/>
        <v>0.99493405596120288</v>
      </c>
      <c r="K51" s="340" t="str">
        <f t="shared" si="1"/>
        <v>C</v>
      </c>
    </row>
    <row r="52" spans="1:11" ht="20">
      <c r="A52" s="340">
        <v>91926</v>
      </c>
      <c r="B52" s="341" t="s">
        <v>105</v>
      </c>
      <c r="C52" s="340" t="s">
        <v>26</v>
      </c>
      <c r="D52" s="340" t="s">
        <v>250</v>
      </c>
      <c r="E52" s="340" t="s">
        <v>70</v>
      </c>
      <c r="F52" s="342">
        <f>TRUNC(SUMIF(PLANILHA_SINT!$B$11:$B$106,A52,PLANILHA_SINT!$G$11:$G$106),2)</f>
        <v>100</v>
      </c>
      <c r="G52" s="342">
        <f>_xlfn.XLOOKUP(A52,PLANILHA_SINT!$B$11:$B$106,PLANILHA_SINT!$I$11:$I$106)</f>
        <v>5.73</v>
      </c>
      <c r="H52" s="342">
        <f t="shared" si="3"/>
        <v>573</v>
      </c>
      <c r="I52" s="343">
        <f>SUMIF(PLANILHA_SINT!$B$12:$B$105,A52,PLANILHA_SINT!$K$12:$K$105)</f>
        <v>4.3134726598552647E-4</v>
      </c>
      <c r="J52" s="343">
        <f t="shared" si="2"/>
        <v>0.99536540322718836</v>
      </c>
      <c r="K52" s="340" t="str">
        <f t="shared" si="1"/>
        <v>C</v>
      </c>
    </row>
    <row r="53" spans="1:11" ht="20">
      <c r="A53" s="340" t="s">
        <v>74</v>
      </c>
      <c r="B53" s="341" t="s">
        <v>75</v>
      </c>
      <c r="C53" s="340" t="s">
        <v>443</v>
      </c>
      <c r="D53" s="340" t="s">
        <v>250</v>
      </c>
      <c r="E53" s="340" t="s">
        <v>34</v>
      </c>
      <c r="F53" s="342">
        <f>TRUNC(SUMIF(PLANILHA_SINT!$B$11:$B$106,A53,PLANILHA_SINT!$G$11:$G$106),2)</f>
        <v>19.93</v>
      </c>
      <c r="G53" s="342">
        <f>_xlfn.XLOOKUP(A53,PLANILHA_SINT!$B$11:$B$106,PLANILHA_SINT!$I$11:$I$106)</f>
        <v>25.03</v>
      </c>
      <c r="H53" s="342">
        <f t="shared" si="3"/>
        <v>498.84</v>
      </c>
      <c r="I53" s="343">
        <f>SUMIF(PLANILHA_SINT!$B$12:$B$105,A53,PLANILHA_SINT!$K$12:$K$105)</f>
        <v>3.7552054129881329E-4</v>
      </c>
      <c r="J53" s="343">
        <f t="shared" si="2"/>
        <v>0.99574092376848722</v>
      </c>
      <c r="K53" s="340" t="str">
        <f t="shared" si="1"/>
        <v>C</v>
      </c>
    </row>
    <row r="54" spans="1:11" ht="20">
      <c r="A54" s="340">
        <v>101909</v>
      </c>
      <c r="B54" s="341" t="s">
        <v>198</v>
      </c>
      <c r="C54" s="340" t="s">
        <v>26</v>
      </c>
      <c r="D54" s="340" t="s">
        <v>250</v>
      </c>
      <c r="E54" s="340" t="s">
        <v>14</v>
      </c>
      <c r="F54" s="342">
        <f>TRUNC(SUMIF(PLANILHA_SINT!$B$11:$B$106,A54,PLANILHA_SINT!$G$11:$G$106),2)</f>
        <v>1</v>
      </c>
      <c r="G54" s="342">
        <f>_xlfn.XLOOKUP(A54,PLANILHA_SINT!$B$11:$B$106,PLANILHA_SINT!$I$11:$I$106)</f>
        <v>397.56</v>
      </c>
      <c r="H54" s="342">
        <f t="shared" si="3"/>
        <v>397.56</v>
      </c>
      <c r="I54" s="343">
        <f>SUMIF(PLANILHA_SINT!$B$12:$B$105,A54,PLANILHA_SINT!$K$12:$K$105)</f>
        <v>2.9927821826388466E-4</v>
      </c>
      <c r="J54" s="343">
        <f t="shared" si="2"/>
        <v>0.99604020198675114</v>
      </c>
      <c r="K54" s="340" t="str">
        <f t="shared" si="1"/>
        <v>C</v>
      </c>
    </row>
    <row r="55" spans="1:11" ht="20">
      <c r="A55" s="340" t="s">
        <v>20</v>
      </c>
      <c r="B55" s="341" t="s">
        <v>21</v>
      </c>
      <c r="C55" s="340" t="s">
        <v>443</v>
      </c>
      <c r="D55" s="340" t="s">
        <v>250</v>
      </c>
      <c r="E55" s="340" t="s">
        <v>14</v>
      </c>
      <c r="F55" s="342">
        <f>TRUNC(SUMIF(PLANILHA_SINT!$B$11:$B$106,A55,PLANILHA_SINT!$G$11:$G$106),2)</f>
        <v>1</v>
      </c>
      <c r="G55" s="342">
        <f>_xlfn.XLOOKUP(A55,PLANILHA_SINT!$B$11:$B$106,PLANILHA_SINT!$I$11:$I$106)</f>
        <v>324.32</v>
      </c>
      <c r="H55" s="342">
        <f t="shared" si="3"/>
        <v>324.32</v>
      </c>
      <c r="I55" s="343">
        <f>SUMIF(PLANILHA_SINT!$B$12:$B$105,A55,PLANILHA_SINT!$K$12:$K$105)</f>
        <v>2.4414405812290743E-4</v>
      </c>
      <c r="J55" s="343">
        <f t="shared" si="2"/>
        <v>0.99628434604487404</v>
      </c>
      <c r="K55" s="340" t="str">
        <f t="shared" si="1"/>
        <v>C</v>
      </c>
    </row>
    <row r="56" spans="1:11" ht="20">
      <c r="A56" s="340">
        <v>96985</v>
      </c>
      <c r="B56" s="341" t="s">
        <v>203</v>
      </c>
      <c r="C56" s="340" t="s">
        <v>26</v>
      </c>
      <c r="D56" s="340" t="s">
        <v>250</v>
      </c>
      <c r="E56" s="340" t="s">
        <v>14</v>
      </c>
      <c r="F56" s="342">
        <f>TRUNC(SUMIF(PLANILHA_SINT!$B$11:$B$106,A56,PLANILHA_SINT!$G$11:$G$106),2)</f>
        <v>3</v>
      </c>
      <c r="G56" s="342">
        <f>_xlfn.XLOOKUP(A56,PLANILHA_SINT!$B$11:$B$106,PLANILHA_SINT!$I$11:$I$106)</f>
        <v>106.19</v>
      </c>
      <c r="H56" s="342">
        <f t="shared" si="3"/>
        <v>318.57</v>
      </c>
      <c r="I56" s="343">
        <f>SUMIF(PLANILHA_SINT!$B$12:$B$105,A56,PLANILHA_SINT!$K$12:$K$105)</f>
        <v>2.398155297120579E-4</v>
      </c>
      <c r="J56" s="343">
        <f t="shared" si="2"/>
        <v>0.99652416157458612</v>
      </c>
      <c r="K56" s="340" t="str">
        <f t="shared" si="1"/>
        <v>C</v>
      </c>
    </row>
    <row r="57" spans="1:11" ht="30">
      <c r="A57" s="340">
        <v>91635</v>
      </c>
      <c r="B57" s="341" t="s">
        <v>233</v>
      </c>
      <c r="C57" s="340" t="s">
        <v>26</v>
      </c>
      <c r="D57" s="340" t="s">
        <v>260</v>
      </c>
      <c r="E57" s="340" t="s">
        <v>234</v>
      </c>
      <c r="F57" s="342">
        <f>TRUNC(SUMIF(PLANILHA_SINT!$B$11:$B$106,A57,PLANILHA_SINT!$G$11:$G$106),2)</f>
        <v>4</v>
      </c>
      <c r="G57" s="342">
        <f>_xlfn.XLOOKUP(A57,PLANILHA_SINT!$B$11:$B$106,PLANILHA_SINT!$I$11:$I$106)</f>
        <v>75.849999999999994</v>
      </c>
      <c r="H57" s="342">
        <f t="shared" si="3"/>
        <v>303.39999999999998</v>
      </c>
      <c r="I57" s="343">
        <f>SUMIF(PLANILHA_SINT!$B$12:$B$105,A57,PLANILHA_SINT!$K$12:$K$105)</f>
        <v>2.2839574258291226E-4</v>
      </c>
      <c r="J57" s="343">
        <f t="shared" si="2"/>
        <v>0.99675255731716905</v>
      </c>
      <c r="K57" s="340" t="str">
        <f t="shared" si="1"/>
        <v>C</v>
      </c>
    </row>
    <row r="58" spans="1:11" ht="20">
      <c r="A58" s="340">
        <v>105115</v>
      </c>
      <c r="B58" s="341" t="s">
        <v>25</v>
      </c>
      <c r="C58" s="340" t="s">
        <v>26</v>
      </c>
      <c r="D58" s="340" t="s">
        <v>250</v>
      </c>
      <c r="E58" s="340" t="s">
        <v>14</v>
      </c>
      <c r="F58" s="342">
        <f>TRUNC(SUMIF(PLANILHA_SINT!$B$11:$B$106,A58,PLANILHA_SINT!$G$11:$G$106),2)</f>
        <v>2</v>
      </c>
      <c r="G58" s="342">
        <f>_xlfn.XLOOKUP(A58,PLANILHA_SINT!$B$11:$B$106,PLANILHA_SINT!$I$11:$I$106)</f>
        <v>149.79</v>
      </c>
      <c r="H58" s="342">
        <f t="shared" si="3"/>
        <v>299.58</v>
      </c>
      <c r="I58" s="343">
        <f>SUMIF(PLANILHA_SINT!$B$12:$B$105,A58,PLANILHA_SINT!$K$12:$K$105)</f>
        <v>2.2552009414300876E-4</v>
      </c>
      <c r="J58" s="343">
        <f t="shared" si="2"/>
        <v>0.99697807741131206</v>
      </c>
      <c r="K58" s="340" t="str">
        <f t="shared" si="1"/>
        <v>C</v>
      </c>
    </row>
    <row r="59" spans="1:11" ht="20">
      <c r="A59" s="340" t="s">
        <v>141</v>
      </c>
      <c r="B59" s="341" t="s">
        <v>142</v>
      </c>
      <c r="C59" s="340" t="s">
        <v>443</v>
      </c>
      <c r="D59" s="340" t="s">
        <v>250</v>
      </c>
      <c r="E59" s="340" t="s">
        <v>14</v>
      </c>
      <c r="F59" s="342">
        <f>TRUNC(SUMIF(PLANILHA_SINT!$B$11:$B$106,A59,PLANILHA_SINT!$G$11:$G$106),2)</f>
        <v>44</v>
      </c>
      <c r="G59" s="342">
        <f>_xlfn.XLOOKUP(A59,PLANILHA_SINT!$B$11:$B$106,PLANILHA_SINT!$I$11:$I$106)</f>
        <v>6.76</v>
      </c>
      <c r="H59" s="342">
        <f t="shared" si="3"/>
        <v>297.44</v>
      </c>
      <c r="I59" s="343">
        <f>SUMIF(PLANILHA_SINT!$B$12:$B$105,A59,PLANILHA_SINT!$K$12:$K$105)</f>
        <v>2.2390912878662302E-4</v>
      </c>
      <c r="J59" s="343">
        <f t="shared" si="2"/>
        <v>0.99720198654009873</v>
      </c>
      <c r="K59" s="340" t="str">
        <f t="shared" si="1"/>
        <v>C</v>
      </c>
    </row>
    <row r="60" spans="1:11" ht="20">
      <c r="A60" s="340" t="s">
        <v>154</v>
      </c>
      <c r="B60" s="341" t="s">
        <v>155</v>
      </c>
      <c r="C60" s="340" t="s">
        <v>443</v>
      </c>
      <c r="D60" s="340" t="s">
        <v>250</v>
      </c>
      <c r="E60" s="340" t="s">
        <v>14</v>
      </c>
      <c r="F60" s="342">
        <f>TRUNC(SUMIF(PLANILHA_SINT!$B$11:$B$106,A60,PLANILHA_SINT!$G$11:$G$106),2)</f>
        <v>1</v>
      </c>
      <c r="G60" s="342">
        <f>_xlfn.XLOOKUP(A60,PLANILHA_SINT!$B$11:$B$106,PLANILHA_SINT!$I$11:$I$106)</f>
        <v>279.49</v>
      </c>
      <c r="H60" s="342">
        <f t="shared" si="3"/>
        <v>279.49</v>
      </c>
      <c r="I60" s="343">
        <f>SUMIF(PLANILHA_SINT!$B$12:$B$105,A60,PLANILHA_SINT!$K$12:$K$105)</f>
        <v>2.1039659226927541E-4</v>
      </c>
      <c r="J60" s="343">
        <f t="shared" si="2"/>
        <v>0.99741238313236802</v>
      </c>
      <c r="K60" s="340" t="str">
        <f t="shared" si="1"/>
        <v>C</v>
      </c>
    </row>
    <row r="61" spans="1:11" ht="20">
      <c r="A61" s="340">
        <v>100740</v>
      </c>
      <c r="B61" s="341" t="s">
        <v>96</v>
      </c>
      <c r="C61" s="340" t="s">
        <v>26</v>
      </c>
      <c r="D61" s="340" t="s">
        <v>250</v>
      </c>
      <c r="E61" s="340" t="s">
        <v>34</v>
      </c>
      <c r="F61" s="342">
        <f>TRUNC(SUMIF(PLANILHA_SINT!$B$11:$B$106,A61,PLANILHA_SINT!$G$11:$G$106),2)</f>
        <v>22.54</v>
      </c>
      <c r="G61" s="342">
        <f>_xlfn.XLOOKUP(A61,PLANILHA_SINT!$B$11:$B$106,PLANILHA_SINT!$I$11:$I$106)</f>
        <v>12.16</v>
      </c>
      <c r="H61" s="342">
        <f t="shared" si="3"/>
        <v>274.08</v>
      </c>
      <c r="I61" s="343">
        <f>SUMIF(PLANILHA_SINT!$B$12:$B$105,A61,PLANILHA_SINT!$K$12:$K$105)</f>
        <v>2.0632401162532825E-4</v>
      </c>
      <c r="J61" s="343">
        <f t="shared" si="2"/>
        <v>0.99761870714399337</v>
      </c>
      <c r="K61" s="340" t="str">
        <f t="shared" si="1"/>
        <v>C</v>
      </c>
    </row>
    <row r="62" spans="1:11" ht="30">
      <c r="A62" s="340">
        <v>104785</v>
      </c>
      <c r="B62" s="341" t="s">
        <v>152</v>
      </c>
      <c r="C62" s="340" t="s">
        <v>26</v>
      </c>
      <c r="D62" s="340" t="s">
        <v>250</v>
      </c>
      <c r="E62" s="340" t="s">
        <v>70</v>
      </c>
      <c r="F62" s="342">
        <f>TRUNC(SUMIF(PLANILHA_SINT!$B$11:$B$106,A62,PLANILHA_SINT!$G$11:$G$106),2)</f>
        <v>18</v>
      </c>
      <c r="G62" s="342">
        <f>_xlfn.XLOOKUP(A62,PLANILHA_SINT!$B$11:$B$106,PLANILHA_SINT!$I$11:$I$106)</f>
        <v>14.82</v>
      </c>
      <c r="H62" s="342">
        <f t="shared" si="3"/>
        <v>266.76</v>
      </c>
      <c r="I62" s="343">
        <f>SUMIF(PLANILHA_SINT!$B$12:$B$105,A62,PLANILHA_SINT!$K$12:$K$105)</f>
        <v>2.0081360676142939E-4</v>
      </c>
      <c r="J62" s="343">
        <f t="shared" si="2"/>
        <v>0.99781952075075475</v>
      </c>
      <c r="K62" s="340" t="str">
        <f t="shared" si="1"/>
        <v>C</v>
      </c>
    </row>
    <row r="63" spans="1:11" ht="20">
      <c r="A63" s="340">
        <v>100720</v>
      </c>
      <c r="B63" s="341" t="s">
        <v>94</v>
      </c>
      <c r="C63" s="340" t="s">
        <v>26</v>
      </c>
      <c r="D63" s="340" t="s">
        <v>250</v>
      </c>
      <c r="E63" s="340" t="s">
        <v>34</v>
      </c>
      <c r="F63" s="342">
        <f>TRUNC(SUMIF(PLANILHA_SINT!$B$11:$B$106,A63,PLANILHA_SINT!$G$11:$G$106),2)</f>
        <v>22.54</v>
      </c>
      <c r="G63" s="342">
        <f>_xlfn.XLOOKUP(A63,PLANILHA_SINT!$B$11:$B$106,PLANILHA_SINT!$I$11:$I$106)</f>
        <v>11.62</v>
      </c>
      <c r="H63" s="342">
        <f t="shared" si="3"/>
        <v>261.91000000000003</v>
      </c>
      <c r="I63" s="343">
        <f>SUMIF(PLANILHA_SINT!$B$12:$B$105,A63,PLANILHA_SINT!$K$12:$K$105)</f>
        <v>1.9716258714532156E-4</v>
      </c>
      <c r="J63" s="343">
        <f t="shared" si="2"/>
        <v>0.99801668333790006</v>
      </c>
      <c r="K63" s="340" t="str">
        <f t="shared" si="1"/>
        <v>C</v>
      </c>
    </row>
    <row r="64" spans="1:11" ht="20">
      <c r="A64" s="340" t="s">
        <v>179</v>
      </c>
      <c r="B64" s="341" t="s">
        <v>180</v>
      </c>
      <c r="C64" s="340" t="s">
        <v>443</v>
      </c>
      <c r="D64" s="340" t="s">
        <v>250</v>
      </c>
      <c r="E64" s="340" t="s">
        <v>14</v>
      </c>
      <c r="F64" s="342">
        <f>TRUNC(SUMIF(PLANILHA_SINT!$B$11:$B$106,A64,PLANILHA_SINT!$G$11:$G$106),2)</f>
        <v>1</v>
      </c>
      <c r="G64" s="342">
        <f>_xlfn.XLOOKUP(A64,PLANILHA_SINT!$B$11:$B$106,PLANILHA_SINT!$I$11:$I$106)</f>
        <v>234.18</v>
      </c>
      <c r="H64" s="342">
        <f t="shared" si="3"/>
        <v>234.18</v>
      </c>
      <c r="I64" s="343">
        <f>SUMIF(PLANILHA_SINT!$B$12:$B$105,A64,PLANILHA_SINT!$K$12:$K$105)</f>
        <v>1.7628778839178115E-4</v>
      </c>
      <c r="J64" s="343">
        <f t="shared" si="2"/>
        <v>0.99819297112629179</v>
      </c>
      <c r="K64" s="340" t="str">
        <f t="shared" si="1"/>
        <v>C</v>
      </c>
    </row>
    <row r="65" spans="1:11" ht="20">
      <c r="A65" s="340" t="s">
        <v>135</v>
      </c>
      <c r="B65" s="341" t="s">
        <v>136</v>
      </c>
      <c r="C65" s="340" t="s">
        <v>443</v>
      </c>
      <c r="D65" s="340" t="s">
        <v>250</v>
      </c>
      <c r="E65" s="340" t="s">
        <v>14</v>
      </c>
      <c r="F65" s="342">
        <f>TRUNC(SUMIF(PLANILHA_SINT!$B$11:$B$106,A65,PLANILHA_SINT!$G$11:$G$106),2)</f>
        <v>52</v>
      </c>
      <c r="G65" s="342">
        <f>_xlfn.XLOOKUP(A65,PLANILHA_SINT!$B$11:$B$106,PLANILHA_SINT!$I$11:$I$106)</f>
        <v>4.4400000000000004</v>
      </c>
      <c r="H65" s="342">
        <f t="shared" si="3"/>
        <v>230.88</v>
      </c>
      <c r="I65" s="343">
        <f>SUMIF(PLANILHA_SINT!$B$12:$B$105,A65,PLANILHA_SINT!$K$12:$K$105)</f>
        <v>1.7380358947772836E-4</v>
      </c>
      <c r="J65" s="343">
        <f t="shared" si="2"/>
        <v>0.99836677471576951</v>
      </c>
      <c r="K65" s="340" t="str">
        <f t="shared" si="1"/>
        <v>C</v>
      </c>
    </row>
    <row r="66" spans="1:11" ht="20">
      <c r="A66" s="340" t="s">
        <v>126</v>
      </c>
      <c r="B66" s="341" t="s">
        <v>127</v>
      </c>
      <c r="C66" s="340" t="s">
        <v>443</v>
      </c>
      <c r="D66" s="340" t="s">
        <v>250</v>
      </c>
      <c r="E66" s="340" t="s">
        <v>14</v>
      </c>
      <c r="F66" s="342">
        <f>TRUNC(SUMIF(PLANILHA_SINT!$B$11:$B$106,A66,PLANILHA_SINT!$G$11:$G$106),2)</f>
        <v>65</v>
      </c>
      <c r="G66" s="342">
        <f>_xlfn.XLOOKUP(A66,PLANILHA_SINT!$B$11:$B$106,PLANILHA_SINT!$I$11:$I$106)</f>
        <v>3.48</v>
      </c>
      <c r="H66" s="342">
        <f t="shared" si="3"/>
        <v>226.2</v>
      </c>
      <c r="I66" s="343">
        <f>SUMIF(PLANILHA_SINT!$B$12:$B$105,A66,PLANILHA_SINT!$K$12:$K$105)</f>
        <v>1.702805437450717E-4</v>
      </c>
      <c r="J66" s="343">
        <f t="shared" si="2"/>
        <v>0.99853705525951464</v>
      </c>
      <c r="K66" s="340" t="str">
        <f t="shared" si="1"/>
        <v>C</v>
      </c>
    </row>
    <row r="67" spans="1:11" ht="20">
      <c r="A67" s="340" t="s">
        <v>85</v>
      </c>
      <c r="B67" s="341" t="s">
        <v>86</v>
      </c>
      <c r="C67" s="340" t="s">
        <v>443</v>
      </c>
      <c r="D67" s="340" t="s">
        <v>250</v>
      </c>
      <c r="E67" s="340" t="s">
        <v>14</v>
      </c>
      <c r="F67" s="342">
        <f>TRUNC(SUMIF(PLANILHA_SINT!$B$11:$B$106,A67,PLANILHA_SINT!$G$11:$G$106),2)</f>
        <v>4</v>
      </c>
      <c r="G67" s="342">
        <f>_xlfn.XLOOKUP(A67,PLANILHA_SINT!$B$11:$B$106,PLANILHA_SINT!$I$11:$I$106)</f>
        <v>52.3</v>
      </c>
      <c r="H67" s="342">
        <f t="shared" si="3"/>
        <v>209.2</v>
      </c>
      <c r="I67" s="343">
        <f>SUMIF(PLANILHA_SINT!$B$12:$B$105,A67,PLANILHA_SINT!$K$12:$K$105)</f>
        <v>1.5748315539995138E-4</v>
      </c>
      <c r="J67" s="343">
        <f t="shared" si="2"/>
        <v>0.99869453841491462</v>
      </c>
      <c r="K67" s="340" t="str">
        <f t="shared" si="1"/>
        <v>C</v>
      </c>
    </row>
    <row r="68" spans="1:11" ht="20">
      <c r="A68" s="340">
        <v>104789</v>
      </c>
      <c r="B68" s="341" t="s">
        <v>211</v>
      </c>
      <c r="C68" s="340" t="s">
        <v>26</v>
      </c>
      <c r="D68" s="340" t="s">
        <v>250</v>
      </c>
      <c r="E68" s="340" t="s">
        <v>45</v>
      </c>
      <c r="F68" s="342">
        <f>TRUNC(SUMIF(PLANILHA_SINT!$B$11:$B$106,A68,PLANILHA_SINT!$G$11:$G$106),2)</f>
        <v>0.9</v>
      </c>
      <c r="G68" s="342">
        <f>_xlfn.XLOOKUP(A68,PLANILHA_SINT!$B$11:$B$106,PLANILHA_SINT!$I$11:$I$106)</f>
        <v>232.26</v>
      </c>
      <c r="H68" s="342">
        <f t="shared" si="3"/>
        <v>209.03</v>
      </c>
      <c r="I68" s="343">
        <f>SUMIF(PLANILHA_SINT!$B$12:$B$105,A68,PLANILHA_SINT!$K$12:$K$105)</f>
        <v>1.5735518151650018E-4</v>
      </c>
      <c r="J68" s="343">
        <f t="shared" si="2"/>
        <v>0.99885189359643112</v>
      </c>
      <c r="K68" s="340" t="str">
        <f t="shared" si="1"/>
        <v>C</v>
      </c>
    </row>
    <row r="69" spans="1:11" ht="20">
      <c r="A69" s="340" t="s">
        <v>149</v>
      </c>
      <c r="B69" s="341" t="s">
        <v>150</v>
      </c>
      <c r="C69" s="340" t="s">
        <v>443</v>
      </c>
      <c r="D69" s="340" t="s">
        <v>250</v>
      </c>
      <c r="E69" s="340" t="s">
        <v>70</v>
      </c>
      <c r="F69" s="342">
        <f>TRUNC(SUMIF(PLANILHA_SINT!$B$11:$B$106,A69,PLANILHA_SINT!$G$11:$G$106),2)</f>
        <v>3</v>
      </c>
      <c r="G69" s="342">
        <f>_xlfn.XLOOKUP(A69,PLANILHA_SINT!$B$11:$B$106,PLANILHA_SINT!$I$11:$I$106)</f>
        <v>66.53</v>
      </c>
      <c r="H69" s="342">
        <f t="shared" si="3"/>
        <v>199.59</v>
      </c>
      <c r="I69" s="343">
        <f>SUMIF(PLANILHA_SINT!$B$12:$B$105,A69,PLANILHA_SINT!$K$12:$K$105)</f>
        <v>1.5024886704720984E-4</v>
      </c>
      <c r="J69" s="343">
        <f t="shared" si="2"/>
        <v>0.99900214246347829</v>
      </c>
      <c r="K69" s="340" t="str">
        <f t="shared" si="1"/>
        <v>C</v>
      </c>
    </row>
    <row r="70" spans="1:11" ht="20">
      <c r="A70" s="340">
        <v>92013</v>
      </c>
      <c r="B70" s="341" t="s">
        <v>186</v>
      </c>
      <c r="C70" s="340" t="s">
        <v>26</v>
      </c>
      <c r="D70" s="340" t="s">
        <v>250</v>
      </c>
      <c r="E70" s="340" t="s">
        <v>14</v>
      </c>
      <c r="F70" s="342">
        <f>TRUNC(SUMIF(PLANILHA_SINT!$B$11:$B$106,A70,PLANILHA_SINT!$G$11:$G$106),2)</f>
        <v>2</v>
      </c>
      <c r="G70" s="342">
        <f>_xlfn.XLOOKUP(A70,PLANILHA_SINT!$B$11:$B$106,PLANILHA_SINT!$I$11:$I$106)</f>
        <v>94.75</v>
      </c>
      <c r="H70" s="342">
        <f t="shared" si="3"/>
        <v>189.5</v>
      </c>
      <c r="I70" s="343">
        <f>SUMIF(PLANILHA_SINT!$B$12:$B$105,A70,PLANILHA_SINT!$K$12:$K$105)</f>
        <v>1.4265324067060605E-4</v>
      </c>
      <c r="J70" s="343">
        <f t="shared" si="2"/>
        <v>0.99914479570414894</v>
      </c>
      <c r="K70" s="340" t="str">
        <f t="shared" si="1"/>
        <v>C</v>
      </c>
    </row>
    <row r="71" spans="1:11" ht="20">
      <c r="A71" s="340">
        <v>95796</v>
      </c>
      <c r="B71" s="341" t="s">
        <v>159</v>
      </c>
      <c r="C71" s="340" t="s">
        <v>26</v>
      </c>
      <c r="D71" s="340" t="s">
        <v>250</v>
      </c>
      <c r="E71" s="340" t="s">
        <v>14</v>
      </c>
      <c r="F71" s="342">
        <f>TRUNC(SUMIF(PLANILHA_SINT!$B$11:$B$106,A71,PLANILHA_SINT!$G$11:$G$106),2)</f>
        <v>3</v>
      </c>
      <c r="G71" s="342">
        <f>_xlfn.XLOOKUP(A71,PLANILHA_SINT!$B$11:$B$106,PLANILHA_SINT!$I$11:$I$106)</f>
        <v>49.9</v>
      </c>
      <c r="H71" s="342">
        <f t="shared" si="3"/>
        <v>149.69999999999999</v>
      </c>
      <c r="I71" s="343">
        <f>SUMIF(PLANILHA_SINT!$B$12:$B$105,A71,PLANILHA_SINT!$K$12:$K$105)</f>
        <v>1.1269229619203021E-4</v>
      </c>
      <c r="J71" s="343">
        <f t="shared" si="2"/>
        <v>0.99925748800034098</v>
      </c>
      <c r="K71" s="340" t="str">
        <f t="shared" si="1"/>
        <v>C</v>
      </c>
    </row>
    <row r="72" spans="1:11" ht="20">
      <c r="A72" s="340" t="s">
        <v>132</v>
      </c>
      <c r="B72" s="341" t="s">
        <v>133</v>
      </c>
      <c r="C72" s="340" t="s">
        <v>443</v>
      </c>
      <c r="D72" s="340" t="s">
        <v>250</v>
      </c>
      <c r="E72" s="340" t="s">
        <v>14</v>
      </c>
      <c r="F72" s="342">
        <f>TRUNC(SUMIF(PLANILHA_SINT!$B$11:$B$106,A72,PLANILHA_SINT!$G$11:$G$106),2)</f>
        <v>30</v>
      </c>
      <c r="G72" s="342">
        <f>_xlfn.XLOOKUP(A72,PLANILHA_SINT!$B$11:$B$106,PLANILHA_SINT!$I$11:$I$106)</f>
        <v>4.07</v>
      </c>
      <c r="H72" s="342">
        <f t="shared" si="3"/>
        <v>122.1</v>
      </c>
      <c r="I72" s="343">
        <f>SUMIF(PLANILHA_SINT!$B$12:$B$105,A72,PLANILHA_SINT!$K$12:$K$105)</f>
        <v>9.1915359819952496E-5</v>
      </c>
      <c r="J72" s="343">
        <f t="shared" si="2"/>
        <v>0.99934940336016098</v>
      </c>
      <c r="K72" s="340" t="str">
        <f t="shared" si="1"/>
        <v>C</v>
      </c>
    </row>
    <row r="73" spans="1:11" ht="20">
      <c r="A73" s="340">
        <v>97637</v>
      </c>
      <c r="B73" s="341" t="s">
        <v>241</v>
      </c>
      <c r="C73" s="340" t="s">
        <v>26</v>
      </c>
      <c r="D73" s="340" t="s">
        <v>250</v>
      </c>
      <c r="E73" s="340" t="s">
        <v>34</v>
      </c>
      <c r="F73" s="342">
        <f>TRUNC(SUMIF(PLANILHA_SINT!$B$11:$B$106,A73,PLANILHA_SINT!$G$11:$G$106),2)</f>
        <v>36.299999999999997</v>
      </c>
      <c r="G73" s="342">
        <f>_xlfn.XLOOKUP(A73,PLANILHA_SINT!$B$11:$B$106,PLANILHA_SINT!$I$11:$I$106)</f>
        <v>3.16</v>
      </c>
      <c r="H73" s="342">
        <f t="shared" si="3"/>
        <v>114.7</v>
      </c>
      <c r="I73" s="343">
        <f>SUMIF(PLANILHA_SINT!$B$12:$B$105,A73,PLANILHA_SINT!$K$12:$K$105)</f>
        <v>8.6344731952076598E-5</v>
      </c>
      <c r="J73" s="343">
        <f t="shared" si="2"/>
        <v>0.99943574809211311</v>
      </c>
      <c r="K73" s="340" t="str">
        <f t="shared" si="1"/>
        <v>C</v>
      </c>
    </row>
    <row r="74" spans="1:11" ht="20">
      <c r="A74" s="340">
        <v>92012</v>
      </c>
      <c r="B74" s="341" t="s">
        <v>188</v>
      </c>
      <c r="C74" s="340" t="s">
        <v>26</v>
      </c>
      <c r="D74" s="340" t="s">
        <v>250</v>
      </c>
      <c r="E74" s="340" t="s">
        <v>14</v>
      </c>
      <c r="F74" s="342">
        <f>TRUNC(SUMIF(PLANILHA_SINT!$B$11:$B$106,A74,PLANILHA_SINT!$G$11:$G$106),2)</f>
        <v>1</v>
      </c>
      <c r="G74" s="342">
        <f>_xlfn.XLOOKUP(A74,PLANILHA_SINT!$B$11:$B$106,PLANILHA_SINT!$I$11:$I$106)</f>
        <v>87.27</v>
      </c>
      <c r="H74" s="342">
        <f t="shared" si="3"/>
        <v>87.27</v>
      </c>
      <c r="I74" s="343">
        <f>SUMIF(PLANILHA_SINT!$B$12:$B$105,A74,PLANILHA_SINT!$K$12:$K$105)</f>
        <v>6.5695769463450083E-5</v>
      </c>
      <c r="J74" s="343">
        <f t="shared" si="2"/>
        <v>0.99950144386157658</v>
      </c>
      <c r="K74" s="340" t="str">
        <f t="shared" si="1"/>
        <v>C</v>
      </c>
    </row>
    <row r="75" spans="1:11" ht="20">
      <c r="A75" s="340">
        <v>97599</v>
      </c>
      <c r="B75" s="341" t="s">
        <v>182</v>
      </c>
      <c r="C75" s="340" t="s">
        <v>26</v>
      </c>
      <c r="D75" s="340" t="s">
        <v>250</v>
      </c>
      <c r="E75" s="340" t="s">
        <v>14</v>
      </c>
      <c r="F75" s="342">
        <f>TRUNC(SUMIF(PLANILHA_SINT!$B$11:$B$106,A75,PLANILHA_SINT!$G$11:$G$106),2)</f>
        <v>4</v>
      </c>
      <c r="G75" s="342">
        <f>_xlfn.XLOOKUP(A75,PLANILHA_SINT!$B$11:$B$106,PLANILHA_SINT!$I$11:$I$106)</f>
        <v>20.440000000000001</v>
      </c>
      <c r="H75" s="342">
        <f t="shared" si="3"/>
        <v>81.760000000000005</v>
      </c>
      <c r="I75" s="343">
        <f>SUMIF(PLANILHA_SINT!$B$12:$B$105,A75,PLANILHA_SINT!$K$12:$K$105)</f>
        <v>6.1547910064531667E-5</v>
      </c>
      <c r="J75" s="343">
        <f t="shared" si="2"/>
        <v>0.9995629917716411</v>
      </c>
      <c r="K75" s="340" t="str">
        <f t="shared" si="1"/>
        <v>C</v>
      </c>
    </row>
    <row r="76" spans="1:11" ht="20">
      <c r="A76" s="340">
        <v>97647</v>
      </c>
      <c r="B76" s="341" t="s">
        <v>42</v>
      </c>
      <c r="C76" s="340" t="s">
        <v>26</v>
      </c>
      <c r="D76" s="340" t="s">
        <v>250</v>
      </c>
      <c r="E76" s="340" t="s">
        <v>34</v>
      </c>
      <c r="F76" s="342">
        <f>TRUNC(SUMIF(PLANILHA_SINT!$B$11:$B$106,A76,PLANILHA_SINT!$G$11:$G$106),2)</f>
        <v>19.010000000000002</v>
      </c>
      <c r="G76" s="342">
        <f>_xlfn.XLOOKUP(A76,PLANILHA_SINT!$B$11:$B$106,PLANILHA_SINT!$I$11:$I$106)</f>
        <v>4.0999999999999996</v>
      </c>
      <c r="H76" s="342">
        <f t="shared" ref="H76:H89" si="4">TRUNC(F76*G76,2)</f>
        <v>77.94</v>
      </c>
      <c r="I76" s="343">
        <f>SUMIF(PLANILHA_SINT!$B$12:$B$105,A76,PLANILHA_SINT!$K$12:$K$105)</f>
        <v>5.8672261624628154E-5</v>
      </c>
      <c r="J76" s="343">
        <f t="shared" si="2"/>
        <v>0.99962166403326569</v>
      </c>
      <c r="K76" s="340" t="str">
        <f t="shared" ref="K76:K89" si="5">IF(J76&lt;=80%,"A",IF(J76&lt;=95%,"B","C"))</f>
        <v>C</v>
      </c>
    </row>
    <row r="77" spans="1:11" ht="20">
      <c r="A77" s="340">
        <v>95782</v>
      </c>
      <c r="B77" s="341" t="s">
        <v>163</v>
      </c>
      <c r="C77" s="340" t="s">
        <v>26</v>
      </c>
      <c r="D77" s="340" t="s">
        <v>250</v>
      </c>
      <c r="E77" s="340" t="s">
        <v>14</v>
      </c>
      <c r="F77" s="342">
        <f>TRUNC(SUMIF(PLANILHA_SINT!$B$11:$B$106,A77,PLANILHA_SINT!$G$11:$G$106),2)</f>
        <v>2</v>
      </c>
      <c r="G77" s="342">
        <f>_xlfn.XLOOKUP(A77,PLANILHA_SINT!$B$11:$B$106,PLANILHA_SINT!$I$11:$I$106)</f>
        <v>35.26</v>
      </c>
      <c r="H77" s="342">
        <f t="shared" si="4"/>
        <v>70.52</v>
      </c>
      <c r="I77" s="343">
        <f>SUMIF(PLANILHA_SINT!$B$12:$B$105,A77,PLANILHA_SINT!$K$12:$K$105)</f>
        <v>5.3086578005757988E-5</v>
      </c>
      <c r="J77" s="343">
        <f t="shared" si="2"/>
        <v>0.99967475061127142</v>
      </c>
      <c r="K77" s="340" t="str">
        <f t="shared" si="5"/>
        <v>C</v>
      </c>
    </row>
    <row r="78" spans="1:11" ht="20">
      <c r="A78" s="340">
        <v>95793</v>
      </c>
      <c r="B78" s="341" t="s">
        <v>165</v>
      </c>
      <c r="C78" s="340" t="s">
        <v>26</v>
      </c>
      <c r="D78" s="340" t="s">
        <v>250</v>
      </c>
      <c r="E78" s="340" t="s">
        <v>14</v>
      </c>
      <c r="F78" s="342">
        <f>TRUNC(SUMIF(PLANILHA_SINT!$B$11:$B$106,A78,PLANILHA_SINT!$G$11:$G$106),2)</f>
        <v>2</v>
      </c>
      <c r="G78" s="342">
        <f>_xlfn.XLOOKUP(A78,PLANILHA_SINT!$B$11:$B$106,PLANILHA_SINT!$I$11:$I$106)</f>
        <v>31.95</v>
      </c>
      <c r="H78" s="342">
        <f t="shared" si="4"/>
        <v>63.9</v>
      </c>
      <c r="I78" s="343">
        <f>SUMIF(PLANILHA_SINT!$B$12:$B$105,A78,PLANILHA_SINT!$K$12:$K$105)</f>
        <v>4.8103124426658189E-5</v>
      </c>
      <c r="J78" s="343">
        <f t="shared" ref="J78:J89" si="6">I78+J77</f>
        <v>0.99972285373569814</v>
      </c>
      <c r="K78" s="340" t="str">
        <f t="shared" si="5"/>
        <v>C</v>
      </c>
    </row>
    <row r="79" spans="1:11" ht="20">
      <c r="A79" s="340">
        <v>95791</v>
      </c>
      <c r="B79" s="341" t="s">
        <v>161</v>
      </c>
      <c r="C79" s="340" t="s">
        <v>26</v>
      </c>
      <c r="D79" s="340" t="s">
        <v>250</v>
      </c>
      <c r="E79" s="340" t="s">
        <v>14</v>
      </c>
      <c r="F79" s="342">
        <f>TRUNC(SUMIF(PLANILHA_SINT!$B$11:$B$106,A79,PLANILHA_SINT!$G$11:$G$106),2)</f>
        <v>1</v>
      </c>
      <c r="G79" s="342">
        <f>_xlfn.XLOOKUP(A79,PLANILHA_SINT!$B$11:$B$106,PLANILHA_SINT!$I$11:$I$106)</f>
        <v>59.13</v>
      </c>
      <c r="H79" s="342">
        <f t="shared" si="4"/>
        <v>59.13</v>
      </c>
      <c r="I79" s="343">
        <f>SUMIF(PLANILHA_SINT!$B$12:$B$105,A79,PLANILHA_SINT!$K$12:$K$105)</f>
        <v>4.4512327814527371E-5</v>
      </c>
      <c r="J79" s="343">
        <f t="shared" si="6"/>
        <v>0.99976736606351269</v>
      </c>
      <c r="K79" s="340" t="str">
        <f t="shared" si="5"/>
        <v>C</v>
      </c>
    </row>
    <row r="80" spans="1:11" ht="20">
      <c r="A80" s="340">
        <v>95802</v>
      </c>
      <c r="B80" s="341" t="s">
        <v>157</v>
      </c>
      <c r="C80" s="340" t="s">
        <v>26</v>
      </c>
      <c r="D80" s="340" t="s">
        <v>250</v>
      </c>
      <c r="E80" s="340" t="s">
        <v>14</v>
      </c>
      <c r="F80" s="342">
        <f>TRUNC(SUMIF(PLANILHA_SINT!$B$11:$B$106,A80,PLANILHA_SINT!$G$11:$G$106),2)</f>
        <v>1</v>
      </c>
      <c r="G80" s="342">
        <f>_xlfn.XLOOKUP(A80,PLANILHA_SINT!$B$11:$B$106,PLANILHA_SINT!$I$11:$I$106)</f>
        <v>52.84</v>
      </c>
      <c r="H80" s="342">
        <f t="shared" si="4"/>
        <v>52.84</v>
      </c>
      <c r="I80" s="343">
        <f>SUMIF(PLANILHA_SINT!$B$12:$B$105,A80,PLANILHA_SINT!$K$12:$K$105)</f>
        <v>3.977729412683285E-5</v>
      </c>
      <c r="J80" s="343">
        <f t="shared" si="6"/>
        <v>0.99980714335763954</v>
      </c>
      <c r="K80" s="340" t="str">
        <f t="shared" si="5"/>
        <v>C</v>
      </c>
    </row>
    <row r="81" spans="1:11" ht="20">
      <c r="A81" s="340">
        <v>91959</v>
      </c>
      <c r="B81" s="341" t="s">
        <v>184</v>
      </c>
      <c r="C81" s="340" t="s">
        <v>26</v>
      </c>
      <c r="D81" s="340" t="s">
        <v>250</v>
      </c>
      <c r="E81" s="340" t="s">
        <v>14</v>
      </c>
      <c r="F81" s="342">
        <f>TRUNC(SUMIF(PLANILHA_SINT!$B$11:$B$106,A81,PLANILHA_SINT!$G$11:$G$106),2)</f>
        <v>1</v>
      </c>
      <c r="G81" s="342">
        <f>_xlfn.XLOOKUP(A81,PLANILHA_SINT!$B$11:$B$106,PLANILHA_SINT!$I$11:$I$106)</f>
        <v>51.53</v>
      </c>
      <c r="H81" s="342">
        <f t="shared" si="4"/>
        <v>51.53</v>
      </c>
      <c r="I81" s="343">
        <f>SUMIF(PLANILHA_SINT!$B$12:$B$105,A81,PLANILHA_SINT!$K$12:$K$105)</f>
        <v>3.8791142436708866E-5</v>
      </c>
      <c r="J81" s="343">
        <f t="shared" si="6"/>
        <v>0.99984593450007619</v>
      </c>
      <c r="K81" s="340" t="str">
        <f t="shared" si="5"/>
        <v>C</v>
      </c>
    </row>
    <row r="82" spans="1:11">
      <c r="A82" s="340">
        <v>97644</v>
      </c>
      <c r="B82" s="341" t="s">
        <v>40</v>
      </c>
      <c r="C82" s="340" t="s">
        <v>26</v>
      </c>
      <c r="D82" s="340" t="s">
        <v>250</v>
      </c>
      <c r="E82" s="340" t="s">
        <v>34</v>
      </c>
      <c r="F82" s="342">
        <f>TRUNC(SUMIF(PLANILHA_SINT!$B$11:$B$106,A82,PLANILHA_SINT!$G$11:$G$106),2)</f>
        <v>3.78</v>
      </c>
      <c r="G82" s="342">
        <f>_xlfn.XLOOKUP(A82,PLANILHA_SINT!$B$11:$B$106,PLANILHA_SINT!$I$11:$I$106)</f>
        <v>11.08</v>
      </c>
      <c r="H82" s="342">
        <f t="shared" si="4"/>
        <v>41.88</v>
      </c>
      <c r="I82" s="343">
        <f>SUMIF(PLANILHA_SINT!$B$12:$B$105,A82,PLANILHA_SINT!$K$12:$K$105)</f>
        <v>3.1526742581978793E-5</v>
      </c>
      <c r="J82" s="343">
        <f t="shared" si="6"/>
        <v>0.99987746124265819</v>
      </c>
      <c r="K82" s="340" t="str">
        <f t="shared" si="5"/>
        <v>C</v>
      </c>
    </row>
    <row r="83" spans="1:11" ht="20">
      <c r="A83" s="340" t="s">
        <v>200</v>
      </c>
      <c r="B83" s="341" t="s">
        <v>201</v>
      </c>
      <c r="C83" s="340" t="s">
        <v>443</v>
      </c>
      <c r="D83" s="340" t="s">
        <v>250</v>
      </c>
      <c r="E83" s="340" t="s">
        <v>14</v>
      </c>
      <c r="F83" s="342">
        <f>TRUNC(SUMIF(PLANILHA_SINT!$B$11:$B$106,A83,PLANILHA_SINT!$G$11:$G$106),2)</f>
        <v>3</v>
      </c>
      <c r="G83" s="342">
        <f>_xlfn.XLOOKUP(A83,PLANILHA_SINT!$B$11:$B$106,PLANILHA_SINT!$I$11:$I$106)</f>
        <v>13.48</v>
      </c>
      <c r="H83" s="342">
        <f t="shared" si="4"/>
        <v>40.44</v>
      </c>
      <c r="I83" s="343">
        <f>SUMIF(PLANILHA_SINT!$B$12:$B$105,A83,PLANILHA_SINT!$K$12:$K$105)</f>
        <v>3.0442728510392129E-5</v>
      </c>
      <c r="J83" s="343">
        <f t="shared" si="6"/>
        <v>0.99990790397116858</v>
      </c>
      <c r="K83" s="340" t="str">
        <f t="shared" si="5"/>
        <v>C</v>
      </c>
    </row>
    <row r="84" spans="1:11" ht="20">
      <c r="A84" s="340" t="s">
        <v>123</v>
      </c>
      <c r="B84" s="341" t="s">
        <v>124</v>
      </c>
      <c r="C84" s="340" t="s">
        <v>443</v>
      </c>
      <c r="D84" s="340" t="s">
        <v>250</v>
      </c>
      <c r="E84" s="340" t="s">
        <v>14</v>
      </c>
      <c r="F84" s="342">
        <f>TRUNC(SUMIF(PLANILHA_SINT!$B$11:$B$106,A84,PLANILHA_SINT!$G$11:$G$106),2)</f>
        <v>10</v>
      </c>
      <c r="G84" s="342">
        <f>_xlfn.XLOOKUP(A84,PLANILHA_SINT!$B$11:$B$106,PLANILHA_SINT!$I$11:$I$106)</f>
        <v>3.19</v>
      </c>
      <c r="H84" s="342">
        <f t="shared" si="4"/>
        <v>31.9</v>
      </c>
      <c r="I84" s="343">
        <f>SUMIF(PLANILHA_SINT!$B$12:$B$105,A84,PLANILHA_SINT!$K$12:$K$105)</f>
        <v>2.4013922835843446E-5</v>
      </c>
      <c r="J84" s="343">
        <f t="shared" si="6"/>
        <v>0.99993191789400437</v>
      </c>
      <c r="K84" s="340" t="str">
        <f t="shared" si="5"/>
        <v>C</v>
      </c>
    </row>
    <row r="85" spans="1:11" ht="20">
      <c r="A85" s="340" t="s">
        <v>169</v>
      </c>
      <c r="B85" s="341" t="s">
        <v>170</v>
      </c>
      <c r="C85" s="340" t="s">
        <v>443</v>
      </c>
      <c r="D85" s="340" t="s">
        <v>250</v>
      </c>
      <c r="E85" s="340" t="s">
        <v>14</v>
      </c>
      <c r="F85" s="342">
        <f>TRUNC(SUMIF(PLANILHA_SINT!$B$11:$B$106,A85,PLANILHA_SINT!$G$11:$G$106),2)</f>
        <v>2</v>
      </c>
      <c r="G85" s="342">
        <f>_xlfn.XLOOKUP(A85,PLANILHA_SINT!$B$11:$B$106,PLANILHA_SINT!$I$11:$I$106)</f>
        <v>11.21</v>
      </c>
      <c r="H85" s="342">
        <f t="shared" si="4"/>
        <v>22.42</v>
      </c>
      <c r="I85" s="343">
        <f>SUMIF(PLANILHA_SINT!$B$12:$B$105,A85,PLANILHA_SINT!$K$12:$K$105)</f>
        <v>1.6877496864564579E-5</v>
      </c>
      <c r="J85" s="343">
        <f t="shared" si="6"/>
        <v>0.99994879539086889</v>
      </c>
      <c r="K85" s="340" t="str">
        <f t="shared" si="5"/>
        <v>C</v>
      </c>
    </row>
    <row r="86" spans="1:11" ht="20">
      <c r="A86" s="340" t="s">
        <v>195</v>
      </c>
      <c r="B86" s="341" t="s">
        <v>196</v>
      </c>
      <c r="C86" s="340" t="s">
        <v>443</v>
      </c>
      <c r="D86" s="340" t="s">
        <v>250</v>
      </c>
      <c r="E86" s="340" t="s">
        <v>14</v>
      </c>
      <c r="F86" s="342">
        <f>TRUNC(SUMIF(PLANILHA_SINT!$B$11:$B$106,A86,PLANILHA_SINT!$G$11:$G$106),2)</f>
        <v>3</v>
      </c>
      <c r="G86" s="342">
        <f>_xlfn.XLOOKUP(A86,PLANILHA_SINT!$B$11:$B$106,PLANILHA_SINT!$I$11:$I$106)</f>
        <v>7.21</v>
      </c>
      <c r="H86" s="342">
        <f t="shared" si="4"/>
        <v>21.63</v>
      </c>
      <c r="I86" s="343">
        <f>SUMIF(PLANILHA_SINT!$B$12:$B$105,A86,PLANILHA_SINT!$K$12:$K$105)</f>
        <v>1.628279470029134E-5</v>
      </c>
      <c r="J86" s="343">
        <f t="shared" si="6"/>
        <v>0.99996507818556923</v>
      </c>
      <c r="K86" s="340" t="str">
        <f t="shared" si="5"/>
        <v>C</v>
      </c>
    </row>
    <row r="87" spans="1:11" ht="20">
      <c r="A87" s="340" t="s">
        <v>138</v>
      </c>
      <c r="B87" s="341" t="s">
        <v>139</v>
      </c>
      <c r="C87" s="340" t="s">
        <v>443</v>
      </c>
      <c r="D87" s="340" t="s">
        <v>250</v>
      </c>
      <c r="E87" s="340" t="s">
        <v>14</v>
      </c>
      <c r="F87" s="342">
        <f>TRUNC(SUMIF(PLANILHA_SINT!$B$11:$B$106,A87,PLANILHA_SINT!$G$11:$G$106),2)</f>
        <v>4</v>
      </c>
      <c r="G87" s="342">
        <f>_xlfn.XLOOKUP(A87,PLANILHA_SINT!$B$11:$B$106,PLANILHA_SINT!$I$11:$I$106)</f>
        <v>5.29</v>
      </c>
      <c r="H87" s="342">
        <f t="shared" si="4"/>
        <v>21.16</v>
      </c>
      <c r="I87" s="343">
        <f>SUMIF(PLANILHA_SINT!$B$12:$B$105,A87,PLANILHA_SINT!$K$12:$K$105)</f>
        <v>1.5928984551926247E-5</v>
      </c>
      <c r="J87" s="343">
        <f t="shared" si="6"/>
        <v>0.99998100717012117</v>
      </c>
      <c r="K87" s="340" t="str">
        <f t="shared" si="5"/>
        <v>C</v>
      </c>
    </row>
    <row r="88" spans="1:11" ht="20">
      <c r="A88" s="340" t="s">
        <v>129</v>
      </c>
      <c r="B88" s="341" t="s">
        <v>130</v>
      </c>
      <c r="C88" s="340" t="s">
        <v>443</v>
      </c>
      <c r="D88" s="340" t="s">
        <v>250</v>
      </c>
      <c r="E88" s="340" t="s">
        <v>14</v>
      </c>
      <c r="F88" s="342">
        <f>TRUNC(SUMIF(PLANILHA_SINT!$B$11:$B$106,A88,PLANILHA_SINT!$G$11:$G$106),2)</f>
        <v>5</v>
      </c>
      <c r="G88" s="342">
        <f>_xlfn.XLOOKUP(A88,PLANILHA_SINT!$B$11:$B$106,PLANILHA_SINT!$I$11:$I$106)</f>
        <v>3.48</v>
      </c>
      <c r="H88" s="342">
        <f t="shared" si="4"/>
        <v>17.399999999999999</v>
      </c>
      <c r="I88" s="343">
        <f>SUMIF(PLANILHA_SINT!$B$12:$B$105,A88,PLANILHA_SINT!$K$12:$K$105)</f>
        <v>1.3098503365005516E-5</v>
      </c>
      <c r="J88" s="343">
        <f t="shared" si="6"/>
        <v>0.99999410567348623</v>
      </c>
      <c r="K88" s="340" t="str">
        <f t="shared" si="5"/>
        <v>C</v>
      </c>
    </row>
    <row r="89" spans="1:11" ht="20">
      <c r="A89" s="340" t="s">
        <v>192</v>
      </c>
      <c r="B89" s="341" t="s">
        <v>193</v>
      </c>
      <c r="C89" s="340" t="s">
        <v>443</v>
      </c>
      <c r="D89" s="340" t="s">
        <v>250</v>
      </c>
      <c r="E89" s="340" t="s">
        <v>14</v>
      </c>
      <c r="F89" s="342">
        <f>TRUNC(SUMIF(PLANILHA_SINT!$B$11:$B$106,A89,PLANILHA_SINT!$G$11:$G$106),2)</f>
        <v>1</v>
      </c>
      <c r="G89" s="342">
        <f>_xlfn.XLOOKUP(A89,PLANILHA_SINT!$B$11:$B$106,PLANILHA_SINT!$I$11:$I$106)</f>
        <v>7.83</v>
      </c>
      <c r="H89" s="342">
        <f t="shared" si="4"/>
        <v>7.83</v>
      </c>
      <c r="I89" s="343">
        <f>SUMIF(PLANILHA_SINT!$B$12:$B$105,A89,PLANILHA_SINT!$K$12:$K$105)</f>
        <v>5.8943265142524826E-6</v>
      </c>
      <c r="J89" s="343">
        <f t="shared" si="6"/>
        <v>1.0000000000000004</v>
      </c>
      <c r="K89" s="340" t="str">
        <f t="shared" si="5"/>
        <v>C</v>
      </c>
    </row>
    <row r="90" spans="1:11" ht="25" customHeight="1">
      <c r="A90" s="304"/>
      <c r="B90" s="304"/>
      <c r="C90" s="304"/>
      <c r="D90" s="304"/>
      <c r="E90" s="304"/>
      <c r="F90" s="304"/>
      <c r="G90" s="305" t="s">
        <v>1388</v>
      </c>
      <c r="H90" s="306">
        <f>SUM(H12:H89)</f>
        <v>1328396.0399999996</v>
      </c>
      <c r="I90" s="307"/>
      <c r="J90" s="304"/>
      <c r="K90" s="304"/>
    </row>
  </sheetData>
  <sortState xmlns:xlrd2="http://schemas.microsoft.com/office/spreadsheetml/2017/richdata2" ref="A12:I89">
    <sortCondition descending="1" ref="H12:H89"/>
  </sortState>
  <conditionalFormatting sqref="A12:A89">
    <cfRule type="duplicateValues" dxfId="25" priority="5"/>
  </conditionalFormatting>
  <conditionalFormatting sqref="H5:H9">
    <cfRule type="cellIs" dxfId="24" priority="3" operator="equal">
      <formula>0</formula>
    </cfRule>
  </conditionalFormatting>
  <conditionalFormatting sqref="I5:I9">
    <cfRule type="cellIs" dxfId="23" priority="2" operator="equal">
      <formula>0</formula>
    </cfRule>
  </conditionalFormatting>
  <pageMargins left="0.51181102362204722" right="0.51181102362204722" top="0.51181102362204722" bottom="0.70866141732283472" header="0" footer="0.19685039370078741"/>
  <pageSetup paperSize="9" scale="81" orientation="landscape" r:id="rId1"/>
  <headerFooter>
    <oddFooter>&amp;L&amp;9&amp;A&amp;R&amp;9Página &amp;P de &amp;N</oddFooter>
  </headerFooter>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outlinePr summaryBelow="0"/>
  </sheetPr>
  <dimension ref="A1:G822"/>
  <sheetViews>
    <sheetView view="pageBreakPreview" topLeftCell="A61" zoomScale="85" zoomScaleNormal="160" zoomScaleSheetLayoutView="85" workbookViewId="0">
      <selection activeCell="B4" sqref="B4"/>
    </sheetView>
  </sheetViews>
  <sheetFormatPr defaultColWidth="8.75" defaultRowHeight="14"/>
  <cols>
    <col min="1" max="1" width="9.83203125" style="7" customWidth="1"/>
    <col min="2" max="2" width="44.83203125" style="272" customWidth="1"/>
    <col min="3" max="3" width="9.25" style="7" customWidth="1"/>
    <col min="4" max="4" width="7.1640625" style="7" customWidth="1"/>
    <col min="5" max="5" width="10" style="7" customWidth="1"/>
    <col min="6" max="6" width="9.58203125" style="7" customWidth="1"/>
    <col min="7" max="7" width="8.25" style="7" customWidth="1"/>
    <col min="8" max="16384" width="8.75" style="7"/>
  </cols>
  <sheetData>
    <row r="1" spans="1:7" ht="50.15" customHeight="1"/>
    <row r="2" spans="1:7" ht="25" customHeight="1">
      <c r="A2" s="8" t="s">
        <v>876</v>
      </c>
      <c r="B2" s="273"/>
      <c r="C2" s="8"/>
      <c r="D2" s="8"/>
      <c r="E2" s="8"/>
      <c r="F2" s="9"/>
      <c r="G2" s="9"/>
    </row>
    <row r="3" spans="1:7" ht="5.15" customHeight="1">
      <c r="A3" s="11"/>
      <c r="B3" s="274"/>
      <c r="C3" s="11"/>
      <c r="D3" s="11"/>
      <c r="E3" s="11"/>
      <c r="F3" s="12"/>
      <c r="G3" s="12"/>
    </row>
    <row r="4" spans="1:7">
      <c r="A4" s="14" t="s">
        <v>858</v>
      </c>
      <c r="B4" s="15" t="str">
        <f>RESUMO!B4</f>
        <v>MODERNIZAÇÃO DA SUBESTAÇÃO DE ENERGIA ELÉTRICA DA SEDE DA JUSTIÇA FEDERAL NA PARAIBA</v>
      </c>
      <c r="C4" s="15"/>
      <c r="D4" s="15"/>
      <c r="E4" s="15"/>
      <c r="F4" s="15"/>
      <c r="G4" s="249"/>
    </row>
    <row r="5" spans="1:7">
      <c r="A5" s="21" t="s">
        <v>863</v>
      </c>
      <c r="B5" s="41" t="str">
        <f>RESUMO!B5</f>
        <v>R3 - 15/04/2025</v>
      </c>
      <c r="C5" s="44"/>
      <c r="D5" s="17" t="s">
        <v>874</v>
      </c>
      <c r="E5" s="19"/>
      <c r="F5" s="17" t="s">
        <v>869</v>
      </c>
      <c r="G5" s="20">
        <f>RESUMO!$F$5</f>
        <v>45762</v>
      </c>
    </row>
    <row r="6" spans="1:7">
      <c r="A6" s="21" t="s">
        <v>859</v>
      </c>
      <c r="B6" s="44" t="str">
        <f>RESUMO!B6</f>
        <v>RUA JOÃO TEIXEIRA DE CARVALHO, 480, PEDRO GONDIM, JOÃO PESSOA/PB</v>
      </c>
      <c r="C6" s="44"/>
      <c r="D6" s="23" t="str">
        <f>RESUMO!$C$6</f>
        <v>SINAPI</v>
      </c>
      <c r="E6" s="24" t="str">
        <f>RESUMO!$D$6</f>
        <v>2025/02</v>
      </c>
      <c r="F6" s="21" t="s">
        <v>1308</v>
      </c>
      <c r="G6" s="24">
        <f>RESUMO!$F$6</f>
        <v>0.23530000000000001</v>
      </c>
    </row>
    <row r="7" spans="1:7">
      <c r="A7" s="21" t="s">
        <v>860</v>
      </c>
      <c r="B7" s="44" t="str">
        <f>RESUMO!B7</f>
        <v>JUSTIÇA FEDERAL NA PARAÍBA</v>
      </c>
      <c r="C7" s="44"/>
      <c r="D7" s="23" t="str">
        <f>RESUMO!$C$7</f>
        <v>SICRO</v>
      </c>
      <c r="E7" s="24" t="str">
        <f>RESUMO!$D$7</f>
        <v>2025/01</v>
      </c>
      <c r="F7" s="21" t="s">
        <v>870</v>
      </c>
      <c r="G7" s="24">
        <f>RESUMO!$F$7</f>
        <v>0.1527</v>
      </c>
    </row>
    <row r="8" spans="1:7">
      <c r="A8" s="21" t="s">
        <v>868</v>
      </c>
      <c r="B8" s="44" t="str">
        <f>RESUMO!B8</f>
        <v>MAYRTHON PAULO COSTA JUNIOR</v>
      </c>
      <c r="C8" s="44"/>
      <c r="D8" s="23" t="str">
        <f>RESUMO!$C$8</f>
        <v>-</v>
      </c>
      <c r="E8" s="24">
        <f>RESUMO!$D$8</f>
        <v>0</v>
      </c>
      <c r="F8" s="21" t="s">
        <v>871</v>
      </c>
      <c r="G8" s="24">
        <f>RESUMO!$F$8</f>
        <v>1.1359999999999999</v>
      </c>
    </row>
    <row r="9" spans="1:7">
      <c r="A9" s="25" t="s">
        <v>861</v>
      </c>
      <c r="B9" s="47" t="str">
        <f>RESUMO!B9</f>
        <v>ENGENHEIRO ELETRICISTA - CREA 060191712-0</v>
      </c>
      <c r="C9" s="47"/>
      <c r="D9" s="25" t="s">
        <v>863</v>
      </c>
      <c r="E9" s="27" t="str">
        <f>RESUMO!$D$9</f>
        <v>R3</v>
      </c>
      <c r="F9" s="25" t="s">
        <v>872</v>
      </c>
      <c r="G9" s="27">
        <f>RESUMO!$F$9</f>
        <v>0.6984999999999999</v>
      </c>
    </row>
    <row r="10" spans="1:7" ht="5.15" customHeight="1">
      <c r="A10" s="250"/>
      <c r="B10" s="251"/>
      <c r="C10" s="251"/>
      <c r="D10" s="251"/>
      <c r="E10" s="252"/>
      <c r="F10" s="252"/>
      <c r="G10" s="252"/>
    </row>
    <row r="11" spans="1:7" s="31" customFormat="1" ht="31.5">
      <c r="A11" s="275" t="s">
        <v>11</v>
      </c>
      <c r="B11" s="276" t="s">
        <v>877</v>
      </c>
      <c r="C11" s="275"/>
      <c r="D11" s="275"/>
      <c r="E11" s="275"/>
      <c r="F11" s="275"/>
      <c r="G11" s="275"/>
    </row>
    <row r="12" spans="1:7" s="31" customFormat="1" ht="21">
      <c r="A12" s="277" t="s">
        <v>242</v>
      </c>
      <c r="B12" s="278"/>
      <c r="C12" s="279" t="s">
        <v>4</v>
      </c>
      <c r="D12" s="279" t="s">
        <v>243</v>
      </c>
      <c r="E12" s="279" t="s">
        <v>244</v>
      </c>
      <c r="F12" s="279" t="s">
        <v>245</v>
      </c>
      <c r="G12" s="279" t="s">
        <v>246</v>
      </c>
    </row>
    <row r="13" spans="1:7" s="31" customFormat="1" ht="20">
      <c r="A13" s="280">
        <v>93572</v>
      </c>
      <c r="B13" s="281" t="s">
        <v>247</v>
      </c>
      <c r="C13" s="282" t="s">
        <v>26</v>
      </c>
      <c r="D13" s="282" t="s">
        <v>29</v>
      </c>
      <c r="E13" s="298">
        <v>4</v>
      </c>
      <c r="F13" s="283">
        <f>_xlfn.XLOOKUP(A13,COMP_AUX!$F$13:$F$1400,COMP_AUX!$G$13:$G$1400,_xlfn.XLOOKUP(A13,CUSTO_INSU!$A$12:$A$201,CUSTO_INSU!$G$12:$G$201))</f>
        <v>4275.25</v>
      </c>
      <c r="G13" s="283">
        <f>ROUND(ROUND(E13,8)*F13,2)</f>
        <v>17101</v>
      </c>
    </row>
    <row r="14" spans="1:7" s="31" customFormat="1" ht="20">
      <c r="A14" s="280">
        <v>93567</v>
      </c>
      <c r="B14" s="281" t="s">
        <v>248</v>
      </c>
      <c r="C14" s="282" t="s">
        <v>26</v>
      </c>
      <c r="D14" s="282" t="s">
        <v>29</v>
      </c>
      <c r="E14" s="298">
        <v>1</v>
      </c>
      <c r="F14" s="283">
        <f>_xlfn.XLOOKUP(A14,COMP_AUX!$F$13:$F$1400,COMP_AUX!$G$13:$G$1400,0)</f>
        <v>23965.329999999998</v>
      </c>
      <c r="G14" s="283">
        <f>ROUND(ROUND(E14,8)*F14,2)</f>
        <v>23965.33</v>
      </c>
    </row>
    <row r="15" spans="1:7" s="31" customFormat="1" ht="20">
      <c r="A15" s="280">
        <v>100321</v>
      </c>
      <c r="B15" s="281" t="s">
        <v>249</v>
      </c>
      <c r="C15" s="282" t="s">
        <v>26</v>
      </c>
      <c r="D15" s="282" t="s">
        <v>29</v>
      </c>
      <c r="E15" s="298">
        <v>1</v>
      </c>
      <c r="F15" s="283">
        <f>_xlfn.XLOOKUP(A15,COMP_AUX!$F$13:$F$1400,COMP_AUX!$G$13:$G$1400,0)</f>
        <v>5290.61</v>
      </c>
      <c r="G15" s="283">
        <f>ROUND(ROUND(E15,8)*F15,2)</f>
        <v>5290.61</v>
      </c>
    </row>
    <row r="16" spans="1:7" s="31" customFormat="1" ht="10.5">
      <c r="A16" s="284"/>
      <c r="B16" s="32"/>
      <c r="C16" s="32"/>
      <c r="D16" s="32"/>
      <c r="E16" s="285" t="s">
        <v>1303</v>
      </c>
      <c r="F16" s="285"/>
      <c r="G16" s="286">
        <f>SUM(G13:G15)</f>
        <v>46356.94</v>
      </c>
    </row>
    <row r="17" spans="1:7" s="31" customFormat="1" ht="21">
      <c r="A17" s="277" t="s">
        <v>250</v>
      </c>
      <c r="B17" s="278"/>
      <c r="C17" s="279" t="s">
        <v>4</v>
      </c>
      <c r="D17" s="279" t="s">
        <v>243</v>
      </c>
      <c r="E17" s="279" t="s">
        <v>244</v>
      </c>
      <c r="F17" s="279" t="s">
        <v>245</v>
      </c>
      <c r="G17" s="279" t="s">
        <v>246</v>
      </c>
    </row>
    <row r="18" spans="1:7" s="31" customFormat="1" ht="20">
      <c r="A18" s="280" t="s">
        <v>251</v>
      </c>
      <c r="B18" s="281" t="s">
        <v>252</v>
      </c>
      <c r="C18" s="282" t="s">
        <v>253</v>
      </c>
      <c r="D18" s="282" t="s">
        <v>29</v>
      </c>
      <c r="E18" s="298">
        <v>2</v>
      </c>
      <c r="F18" s="283">
        <f>_xlfn.XLOOKUP(A18,COMP_AUX!$F$13:$F$1400,COMP_AUX!$G$13:$G$1400,_xlfn.XLOOKUP(A18,CUSTO_INSU!$A$12:$A$201,CUSTO_INSU!$G$12:$G$201))</f>
        <v>23965.329999999998</v>
      </c>
      <c r="G18" s="283">
        <f>ROUND(ROUND(E18,8)*F18,2)</f>
        <v>47930.66</v>
      </c>
    </row>
    <row r="19" spans="1:7" s="31" customFormat="1" ht="21">
      <c r="A19" s="284"/>
      <c r="B19" s="32"/>
      <c r="C19" s="32"/>
      <c r="D19" s="32"/>
      <c r="E19" s="285" t="s">
        <v>254</v>
      </c>
      <c r="F19" s="285"/>
      <c r="G19" s="286">
        <f>SUM(G18:G18)</f>
        <v>47930.66</v>
      </c>
    </row>
    <row r="20" spans="1:7" s="31" customFormat="1" ht="21">
      <c r="A20" s="284"/>
      <c r="B20" s="32"/>
      <c r="C20" s="32"/>
      <c r="D20" s="32"/>
      <c r="E20" s="287" t="s">
        <v>255</v>
      </c>
      <c r="F20" s="287" t="str">
        <f>A11</f>
        <v>JFPB-23162206</v>
      </c>
      <c r="G20" s="288">
        <f>SUM(G16,G19)</f>
        <v>94287.6</v>
      </c>
    </row>
    <row r="21" spans="1:7" s="31" customFormat="1" ht="10">
      <c r="A21" s="284"/>
      <c r="B21" s="32"/>
      <c r="C21" s="32"/>
      <c r="D21" s="32"/>
      <c r="E21" s="289"/>
      <c r="F21" s="289"/>
      <c r="G21" s="289"/>
    </row>
    <row r="22" spans="1:7" s="31" customFormat="1" ht="21">
      <c r="A22" s="275" t="s">
        <v>20</v>
      </c>
      <c r="B22" s="276" t="s">
        <v>878</v>
      </c>
      <c r="C22" s="276"/>
      <c r="D22" s="276"/>
      <c r="E22" s="276"/>
      <c r="F22" s="276"/>
      <c r="G22" s="276"/>
    </row>
    <row r="23" spans="1:7" s="31" customFormat="1" ht="21">
      <c r="A23" s="277" t="s">
        <v>256</v>
      </c>
      <c r="B23" s="278"/>
      <c r="C23" s="279" t="s">
        <v>4</v>
      </c>
      <c r="D23" s="279" t="s">
        <v>243</v>
      </c>
      <c r="E23" s="279" t="s">
        <v>244</v>
      </c>
      <c r="F23" s="279" t="s">
        <v>245</v>
      </c>
      <c r="G23" s="279" t="s">
        <v>246</v>
      </c>
    </row>
    <row r="24" spans="1:7" s="31" customFormat="1" ht="10">
      <c r="A24" s="280" t="s">
        <v>257</v>
      </c>
      <c r="B24" s="281" t="s">
        <v>258</v>
      </c>
      <c r="C24" s="282" t="s">
        <v>253</v>
      </c>
      <c r="D24" s="282" t="s">
        <v>14</v>
      </c>
      <c r="E24" s="298">
        <v>1</v>
      </c>
      <c r="F24" s="283">
        <f>_xlfn.XLOOKUP(A24,COMP_AUX!$F$13:$F$1400,COMP_AUX!$G$13:$G$1400,_xlfn.XLOOKUP(A24,CUSTO_INSU!$A$12:$A$201,CUSTO_INSU!$G$12:$G$201))</f>
        <v>262.55</v>
      </c>
      <c r="G24" s="283">
        <f>ROUND(ROUND(E24,8)*F24,2)</f>
        <v>262.55</v>
      </c>
    </row>
    <row r="25" spans="1:7" s="31" customFormat="1" ht="10.5">
      <c r="A25" s="284"/>
      <c r="B25" s="32"/>
      <c r="C25" s="32"/>
      <c r="D25" s="32"/>
      <c r="E25" s="285" t="s">
        <v>1305</v>
      </c>
      <c r="F25" s="285"/>
      <c r="G25" s="286">
        <f>SUM(G24:G24)</f>
        <v>262.55</v>
      </c>
    </row>
    <row r="26" spans="1:7" s="31" customFormat="1" ht="21">
      <c r="A26" s="284"/>
      <c r="B26" s="32"/>
      <c r="C26" s="32"/>
      <c r="D26" s="32"/>
      <c r="E26" s="287" t="s">
        <v>255</v>
      </c>
      <c r="F26" s="287" t="str">
        <f>A22</f>
        <v>JCA-ART-002-2024</v>
      </c>
      <c r="G26" s="288">
        <f>SUM(G25)</f>
        <v>262.55</v>
      </c>
    </row>
    <row r="27" spans="1:7" s="31" customFormat="1" ht="10">
      <c r="A27" s="284"/>
      <c r="B27" s="32"/>
      <c r="C27" s="32"/>
      <c r="D27" s="32"/>
      <c r="E27" s="289"/>
      <c r="F27" s="289"/>
      <c r="G27" s="289"/>
    </row>
    <row r="28" spans="1:7" s="31" customFormat="1" ht="21">
      <c r="A28" s="275">
        <v>105115</v>
      </c>
      <c r="B28" s="276" t="s">
        <v>879</v>
      </c>
      <c r="C28" s="276"/>
      <c r="D28" s="276"/>
      <c r="E28" s="276"/>
      <c r="F28" s="276"/>
      <c r="G28" s="276"/>
    </row>
    <row r="29" spans="1:7" s="31" customFormat="1" ht="21">
      <c r="A29" s="277" t="s">
        <v>260</v>
      </c>
      <c r="B29" s="278"/>
      <c r="C29" s="279" t="s">
        <v>4</v>
      </c>
      <c r="D29" s="279" t="s">
        <v>243</v>
      </c>
      <c r="E29" s="279" t="s">
        <v>244</v>
      </c>
      <c r="F29" s="279" t="s">
        <v>245</v>
      </c>
      <c r="G29" s="279" t="s">
        <v>246</v>
      </c>
    </row>
    <row r="30" spans="1:7" s="31" customFormat="1" ht="40">
      <c r="A30" s="280">
        <v>5930</v>
      </c>
      <c r="B30" s="281" t="s">
        <v>261</v>
      </c>
      <c r="C30" s="282" t="s">
        <v>26</v>
      </c>
      <c r="D30" s="282" t="s">
        <v>234</v>
      </c>
      <c r="E30" s="298">
        <v>0.42859999999999998</v>
      </c>
      <c r="F30" s="283">
        <f>_xlfn.XLOOKUP(A30,COMP_AUX!$F$13:$F$1400,COMP_AUX!$G$13:$G$1400,_xlfn.XLOOKUP(A30,CUSTO_INSU!$A$12:$A$201,CUSTO_INSU!$G$12:$G$201))</f>
        <v>70</v>
      </c>
      <c r="G30" s="283">
        <f>TRUNC(TRUNC(E30,8)*F30,2)</f>
        <v>30</v>
      </c>
    </row>
    <row r="31" spans="1:7" s="31" customFormat="1" ht="40">
      <c r="A31" s="280">
        <v>5928</v>
      </c>
      <c r="B31" s="281" t="s">
        <v>262</v>
      </c>
      <c r="C31" s="282" t="s">
        <v>26</v>
      </c>
      <c r="D31" s="282" t="s">
        <v>237</v>
      </c>
      <c r="E31" s="298">
        <v>0.17080000000000001</v>
      </c>
      <c r="F31" s="283">
        <f>_xlfn.XLOOKUP(A31,COMP_AUX!$F$13:$F$1400,COMP_AUX!$G$13:$G$1400,_xlfn.XLOOKUP(A31,CUSTO_INSU!$A$12:$A$201,CUSTO_INSU!$G$12:$G$201))</f>
        <v>283.27999999999997</v>
      </c>
      <c r="G31" s="283">
        <f>TRUNC(TRUNC(E31,8)*F31,2)</f>
        <v>48.38</v>
      </c>
    </row>
    <row r="32" spans="1:7" s="31" customFormat="1" ht="10.5">
      <c r="A32" s="284"/>
      <c r="B32" s="32"/>
      <c r="C32" s="32"/>
      <c r="D32" s="32"/>
      <c r="E32" s="290" t="s">
        <v>1300</v>
      </c>
      <c r="F32" s="290"/>
      <c r="G32" s="286">
        <f>SUM(G30:G31)</f>
        <v>78.38</v>
      </c>
    </row>
    <row r="33" spans="1:7" s="31" customFormat="1" ht="21">
      <c r="A33" s="277" t="s">
        <v>242</v>
      </c>
      <c r="B33" s="278"/>
      <c r="C33" s="279" t="s">
        <v>4</v>
      </c>
      <c r="D33" s="279" t="s">
        <v>243</v>
      </c>
      <c r="E33" s="279" t="s">
        <v>244</v>
      </c>
      <c r="F33" s="279" t="s">
        <v>245</v>
      </c>
      <c r="G33" s="279" t="s">
        <v>246</v>
      </c>
    </row>
    <row r="34" spans="1:7" s="31" customFormat="1" ht="10">
      <c r="A34" s="280">
        <v>88239</v>
      </c>
      <c r="B34" s="281" t="s">
        <v>264</v>
      </c>
      <c r="C34" s="282" t="s">
        <v>26</v>
      </c>
      <c r="D34" s="282" t="s">
        <v>265</v>
      </c>
      <c r="E34" s="298">
        <v>0.74199999999999999</v>
      </c>
      <c r="F34" s="283">
        <f>_xlfn.XLOOKUP(A34,COMP_AUX!$F$13:$F$1400,COMP_AUX!$G$13:$G$1400,_xlfn.XLOOKUP(A34,CUSTO_INSU!$A$12:$A$201,CUSTO_INSU!$G$12:$G$201))</f>
        <v>20.89</v>
      </c>
      <c r="G34" s="283">
        <f>TRUNC(TRUNC(E34,8)*F34,2)</f>
        <v>15.5</v>
      </c>
    </row>
    <row r="35" spans="1:7" s="31" customFormat="1" ht="10">
      <c r="A35" s="280">
        <v>88262</v>
      </c>
      <c r="B35" s="281" t="s">
        <v>267</v>
      </c>
      <c r="C35" s="282" t="s">
        <v>26</v>
      </c>
      <c r="D35" s="282" t="s">
        <v>265</v>
      </c>
      <c r="E35" s="298">
        <v>1.1140000000000001</v>
      </c>
      <c r="F35" s="283">
        <f>_xlfn.XLOOKUP(A35,COMP_AUX!$F$13:$F$1400,COMP_AUX!$G$13:$G$1400,_xlfn.XLOOKUP(A35,CUSTO_INSU!$A$12:$A$201,CUSTO_INSU!$G$12:$G$201))</f>
        <v>24.580000000000002</v>
      </c>
      <c r="G35" s="283">
        <f>TRUNC(TRUNC(E35,8)*F35,2)</f>
        <v>27.38</v>
      </c>
    </row>
    <row r="36" spans="1:7" s="31" customFormat="1" ht="10.5">
      <c r="A36" s="284"/>
      <c r="B36" s="32"/>
      <c r="C36" s="32"/>
      <c r="D36" s="32"/>
      <c r="E36" s="285" t="s">
        <v>1303</v>
      </c>
      <c r="F36" s="285"/>
      <c r="G36" s="286">
        <f>SUM(G34:G35)</f>
        <v>42.879999999999995</v>
      </c>
    </row>
    <row r="37" spans="1:7" s="31" customFormat="1" ht="10.5">
      <c r="A37" s="284"/>
      <c r="B37" s="32"/>
      <c r="C37" s="32"/>
      <c r="D37" s="32"/>
      <c r="E37" s="287" t="s">
        <v>255</v>
      </c>
      <c r="F37" s="287">
        <f>A28</f>
        <v>105115</v>
      </c>
      <c r="G37" s="288">
        <f>SUM(G32,G36)</f>
        <v>121.25999999999999</v>
      </c>
    </row>
    <row r="38" spans="1:7" s="31" customFormat="1" ht="10">
      <c r="A38" s="284"/>
      <c r="B38" s="32"/>
      <c r="C38" s="32"/>
      <c r="D38" s="32"/>
      <c r="E38" s="289"/>
      <c r="F38" s="289"/>
      <c r="G38" s="289"/>
    </row>
    <row r="39" spans="1:7" s="31" customFormat="1" ht="31.5">
      <c r="A39" s="291">
        <v>10776</v>
      </c>
      <c r="B39" s="276" t="s">
        <v>880</v>
      </c>
      <c r="C39" s="276"/>
      <c r="D39" s="276"/>
      <c r="E39" s="276"/>
      <c r="F39" s="276"/>
      <c r="G39" s="276"/>
    </row>
    <row r="40" spans="1:7" s="31" customFormat="1" ht="21">
      <c r="A40" s="277" t="s">
        <v>268</v>
      </c>
      <c r="B40" s="278"/>
      <c r="C40" s="279" t="s">
        <v>4</v>
      </c>
      <c r="D40" s="279" t="s">
        <v>243</v>
      </c>
      <c r="E40" s="279" t="s">
        <v>244</v>
      </c>
      <c r="F40" s="279" t="s">
        <v>245</v>
      </c>
      <c r="G40" s="279" t="s">
        <v>246</v>
      </c>
    </row>
    <row r="41" spans="1:7" s="31" customFormat="1" ht="30">
      <c r="A41" s="292">
        <v>10776</v>
      </c>
      <c r="B41" s="281" t="s">
        <v>28</v>
      </c>
      <c r="C41" s="282" t="s">
        <v>26</v>
      </c>
      <c r="D41" s="282" t="s">
        <v>29</v>
      </c>
      <c r="E41" s="298">
        <v>1</v>
      </c>
      <c r="F41" s="283">
        <f>_xlfn.XLOOKUP(A41,COMP_AUX!$F$13:$F$1400,COMP_AUX!$G$13:$G$1400,_xlfn.XLOOKUP(A41,CUSTO_INSU!$A$12:$A$201,CUSTO_INSU!$G$12:$G$201))</f>
        <v>662.1</v>
      </c>
      <c r="G41" s="283">
        <f>TRUNC(TRUNC(E41,8)*F41,2)</f>
        <v>662.1</v>
      </c>
    </row>
    <row r="42" spans="1:7" s="31" customFormat="1" ht="21">
      <c r="A42" s="284"/>
      <c r="B42" s="32"/>
      <c r="C42" s="32"/>
      <c r="D42" s="32"/>
      <c r="E42" s="285" t="s">
        <v>269</v>
      </c>
      <c r="F42" s="285"/>
      <c r="G42" s="286">
        <f>SUM(G41:G41)</f>
        <v>662.1</v>
      </c>
    </row>
    <row r="43" spans="1:7" s="31" customFormat="1" ht="10.5">
      <c r="A43" s="284"/>
      <c r="B43" s="32"/>
      <c r="C43" s="32"/>
      <c r="D43" s="32"/>
      <c r="E43" s="287" t="s">
        <v>255</v>
      </c>
      <c r="F43" s="293">
        <f>A39</f>
        <v>10776</v>
      </c>
      <c r="G43" s="288">
        <f>SUM(G42)</f>
        <v>662.1</v>
      </c>
    </row>
    <row r="44" spans="1:7" s="31" customFormat="1" ht="10">
      <c r="A44" s="284"/>
      <c r="B44" s="32"/>
      <c r="C44" s="32"/>
      <c r="D44" s="32"/>
      <c r="E44" s="289"/>
      <c r="F44" s="289"/>
      <c r="G44" s="289"/>
    </row>
    <row r="45" spans="1:7" s="31" customFormat="1" ht="31.5">
      <c r="A45" s="291">
        <v>10778</v>
      </c>
      <c r="B45" s="276" t="s">
        <v>881</v>
      </c>
      <c r="C45" s="276"/>
      <c r="D45" s="276"/>
      <c r="E45" s="276"/>
      <c r="F45" s="276"/>
      <c r="G45" s="276"/>
    </row>
    <row r="46" spans="1:7" s="31" customFormat="1" ht="21">
      <c r="A46" s="277" t="s">
        <v>268</v>
      </c>
      <c r="B46" s="278"/>
      <c r="C46" s="279" t="s">
        <v>4</v>
      </c>
      <c r="D46" s="279" t="s">
        <v>243</v>
      </c>
      <c r="E46" s="279" t="s">
        <v>244</v>
      </c>
      <c r="F46" s="279" t="s">
        <v>245</v>
      </c>
      <c r="G46" s="279" t="s">
        <v>246</v>
      </c>
    </row>
    <row r="47" spans="1:7" s="31" customFormat="1" ht="30">
      <c r="A47" s="292">
        <v>10778</v>
      </c>
      <c r="B47" s="281" t="s">
        <v>31</v>
      </c>
      <c r="C47" s="282" t="s">
        <v>26</v>
      </c>
      <c r="D47" s="282" t="s">
        <v>29</v>
      </c>
      <c r="E47" s="298">
        <v>1</v>
      </c>
      <c r="F47" s="283">
        <f>_xlfn.XLOOKUP(A47,COMP_AUX!$F$13:$F$1400,COMP_AUX!$G$13:$G$1400,_xlfn.XLOOKUP(A47,CUSTO_INSU!$A$12:$A$201,CUSTO_INSU!$G$12:$G$201))</f>
        <v>1059.3699999999999</v>
      </c>
      <c r="G47" s="283">
        <f>TRUNC(TRUNC(E47,8)*F47,2)</f>
        <v>1059.3699999999999</v>
      </c>
    </row>
    <row r="48" spans="1:7" s="31" customFormat="1" ht="21">
      <c r="A48" s="284"/>
      <c r="B48" s="32"/>
      <c r="C48" s="32"/>
      <c r="D48" s="32"/>
      <c r="E48" s="285" t="s">
        <v>269</v>
      </c>
      <c r="F48" s="285"/>
      <c r="G48" s="286">
        <f>SUM(G47:G47)</f>
        <v>1059.3699999999999</v>
      </c>
    </row>
    <row r="49" spans="1:7" s="31" customFormat="1" ht="10.5">
      <c r="A49" s="284"/>
      <c r="B49" s="32"/>
      <c r="C49" s="32"/>
      <c r="D49" s="32"/>
      <c r="E49" s="287" t="s">
        <v>255</v>
      </c>
      <c r="F49" s="293">
        <f>A45</f>
        <v>10778</v>
      </c>
      <c r="G49" s="288">
        <f>SUM(G48)</f>
        <v>1059.3699999999999</v>
      </c>
    </row>
    <row r="50" spans="1:7" s="31" customFormat="1" ht="10">
      <c r="A50" s="284"/>
      <c r="B50" s="32"/>
      <c r="C50" s="32"/>
      <c r="D50" s="32"/>
      <c r="E50" s="289"/>
      <c r="F50" s="289"/>
      <c r="G50" s="289"/>
    </row>
    <row r="51" spans="1:7" s="31" customFormat="1" ht="21">
      <c r="A51" s="275">
        <v>103689</v>
      </c>
      <c r="B51" s="276" t="s">
        <v>882</v>
      </c>
      <c r="C51" s="276"/>
      <c r="D51" s="276"/>
      <c r="E51" s="276"/>
      <c r="F51" s="276"/>
      <c r="G51" s="276"/>
    </row>
    <row r="52" spans="1:7" s="31" customFormat="1" ht="21">
      <c r="A52" s="277" t="s">
        <v>256</v>
      </c>
      <c r="B52" s="278"/>
      <c r="C52" s="279" t="s">
        <v>4</v>
      </c>
      <c r="D52" s="279" t="s">
        <v>243</v>
      </c>
      <c r="E52" s="279" t="s">
        <v>244</v>
      </c>
      <c r="F52" s="279" t="s">
        <v>245</v>
      </c>
      <c r="G52" s="279" t="s">
        <v>246</v>
      </c>
    </row>
    <row r="53" spans="1:7" s="31" customFormat="1" ht="30">
      <c r="A53" s="280">
        <v>4813</v>
      </c>
      <c r="B53" s="281" t="s">
        <v>270</v>
      </c>
      <c r="C53" s="282" t="s">
        <v>26</v>
      </c>
      <c r="D53" s="282" t="s">
        <v>34</v>
      </c>
      <c r="E53" s="297">
        <v>1</v>
      </c>
      <c r="F53" s="283">
        <f>_xlfn.XLOOKUP(A53,COMP_AUX!$F$13:$F$1400,COMP_AUX!$G$13:$G$1400,_xlfn.XLOOKUP(A53,CUSTO_INSU!$A$12:$A$201,CUSTO_INSU!$G$12:$G$201))</f>
        <v>400</v>
      </c>
      <c r="G53" s="283">
        <f>TRUNC(TRUNC(E53,8)*F53,2)</f>
        <v>400</v>
      </c>
    </row>
    <row r="54" spans="1:7" s="31" customFormat="1" ht="10">
      <c r="A54" s="280">
        <v>5065</v>
      </c>
      <c r="B54" s="281" t="s">
        <v>271</v>
      </c>
      <c r="C54" s="282" t="s">
        <v>26</v>
      </c>
      <c r="D54" s="282" t="s">
        <v>83</v>
      </c>
      <c r="E54" s="297">
        <v>1.1299999999999999E-2</v>
      </c>
      <c r="F54" s="283">
        <f>_xlfn.XLOOKUP(A54,COMP_AUX!$F$13:$F$1400,COMP_AUX!$G$13:$G$1400,_xlfn.XLOOKUP(A54,CUSTO_INSU!$A$12:$A$201,CUSTO_INSU!$G$12:$G$201))</f>
        <v>38.700000000000003</v>
      </c>
      <c r="G54" s="283">
        <f>TRUNC(TRUNC(E54,8)*F54,2)</f>
        <v>0.43</v>
      </c>
    </row>
    <row r="55" spans="1:7" s="31" customFormat="1" ht="10">
      <c r="A55" s="280">
        <v>5069</v>
      </c>
      <c r="B55" s="281" t="s">
        <v>272</v>
      </c>
      <c r="C55" s="282" t="s">
        <v>26</v>
      </c>
      <c r="D55" s="282" t="s">
        <v>83</v>
      </c>
      <c r="E55" s="297">
        <v>1.32E-2</v>
      </c>
      <c r="F55" s="283">
        <f>_xlfn.XLOOKUP(A55,COMP_AUX!$F$13:$F$1400,COMP_AUX!$G$13:$G$1400,_xlfn.XLOOKUP(A55,CUSTO_INSU!$A$12:$A$201,CUSTO_INSU!$G$12:$G$201))</f>
        <v>20.74</v>
      </c>
      <c r="G55" s="283">
        <f>TRUNC(TRUNC(E55,8)*F55,2)</f>
        <v>0.27</v>
      </c>
    </row>
    <row r="56" spans="1:7" s="31" customFormat="1" ht="20">
      <c r="A56" s="280">
        <v>4509</v>
      </c>
      <c r="B56" s="281" t="s">
        <v>273</v>
      </c>
      <c r="C56" s="282" t="s">
        <v>26</v>
      </c>
      <c r="D56" s="282" t="s">
        <v>70</v>
      </c>
      <c r="E56" s="297">
        <v>3.2082999999999999</v>
      </c>
      <c r="F56" s="283">
        <f>_xlfn.XLOOKUP(A56,COMP_AUX!$F$13:$F$1400,COMP_AUX!$G$13:$G$1400,_xlfn.XLOOKUP(A56,CUSTO_INSU!$A$12:$A$201,CUSTO_INSU!$G$12:$G$201))</f>
        <v>5.69</v>
      </c>
      <c r="G56" s="283">
        <f>TRUNC(TRUNC(E56,8)*F56,2)</f>
        <v>18.25</v>
      </c>
    </row>
    <row r="57" spans="1:7" s="31" customFormat="1" ht="10.5">
      <c r="A57" s="284"/>
      <c r="B57" s="32"/>
      <c r="C57" s="32"/>
      <c r="D57" s="32"/>
      <c r="E57" s="285" t="s">
        <v>1305</v>
      </c>
      <c r="F57" s="285"/>
      <c r="G57" s="286">
        <f>SUM(G53:G56)</f>
        <v>418.95</v>
      </c>
    </row>
    <row r="58" spans="1:7" s="31" customFormat="1" ht="21">
      <c r="A58" s="277" t="s">
        <v>242</v>
      </c>
      <c r="B58" s="278"/>
      <c r="C58" s="279" t="s">
        <v>4</v>
      </c>
      <c r="D58" s="279" t="s">
        <v>243</v>
      </c>
      <c r="E58" s="279" t="s">
        <v>244</v>
      </c>
      <c r="F58" s="279" t="s">
        <v>245</v>
      </c>
      <c r="G58" s="279" t="s">
        <v>246</v>
      </c>
    </row>
    <row r="59" spans="1:7" s="31" customFormat="1" ht="10">
      <c r="A59" s="280">
        <v>88262</v>
      </c>
      <c r="B59" s="281" t="s">
        <v>267</v>
      </c>
      <c r="C59" s="282" t="s">
        <v>26</v>
      </c>
      <c r="D59" s="282" t="s">
        <v>265</v>
      </c>
      <c r="E59" s="298">
        <v>0.37290000000000001</v>
      </c>
      <c r="F59" s="283">
        <f>_xlfn.XLOOKUP(A59,COMP_AUX!$F$13:$F$1400,COMP_AUX!$G$13:$G$1400,_xlfn.XLOOKUP(A59,CUSTO_INSU!$A$12:$A$201,CUSTO_INSU!$G$12:$G$201))</f>
        <v>24.580000000000002</v>
      </c>
      <c r="G59" s="283">
        <f>TRUNC(TRUNC(E59,8)*F59,2)</f>
        <v>9.16</v>
      </c>
    </row>
    <row r="60" spans="1:7" s="31" customFormat="1" ht="10">
      <c r="A60" s="280">
        <v>88316</v>
      </c>
      <c r="B60" s="281" t="s">
        <v>275</v>
      </c>
      <c r="C60" s="282" t="s">
        <v>26</v>
      </c>
      <c r="D60" s="282" t="s">
        <v>265</v>
      </c>
      <c r="E60" s="298">
        <v>1.1186</v>
      </c>
      <c r="F60" s="283">
        <f>_xlfn.XLOOKUP(A60,COMP_AUX!$F$13:$F$1400,COMP_AUX!$G$13:$G$1400,_xlfn.XLOOKUP(A60,CUSTO_INSU!$A$12:$A$201,CUSTO_INSU!$G$12:$G$201))</f>
        <v>20.27</v>
      </c>
      <c r="G60" s="283">
        <f>TRUNC(TRUNC(E60,8)*F60,2)</f>
        <v>22.67</v>
      </c>
    </row>
    <row r="61" spans="1:7" s="31" customFormat="1" ht="10.5">
      <c r="A61" s="284"/>
      <c r="B61" s="32"/>
      <c r="C61" s="32"/>
      <c r="D61" s="32"/>
      <c r="E61" s="285" t="s">
        <v>1303</v>
      </c>
      <c r="F61" s="285"/>
      <c r="G61" s="286">
        <f>SUM(G59:G60)</f>
        <v>31.830000000000002</v>
      </c>
    </row>
    <row r="62" spans="1:7" s="31" customFormat="1" ht="21">
      <c r="A62" s="277" t="s">
        <v>250</v>
      </c>
      <c r="B62" s="278"/>
      <c r="C62" s="279" t="s">
        <v>4</v>
      </c>
      <c r="D62" s="279" t="s">
        <v>243</v>
      </c>
      <c r="E62" s="279" t="s">
        <v>244</v>
      </c>
      <c r="F62" s="279" t="s">
        <v>245</v>
      </c>
      <c r="G62" s="279" t="s">
        <v>246</v>
      </c>
    </row>
    <row r="63" spans="1:7" s="31" customFormat="1" ht="10">
      <c r="A63" s="280">
        <v>102234</v>
      </c>
      <c r="B63" s="281" t="s">
        <v>276</v>
      </c>
      <c r="C63" s="282" t="s">
        <v>26</v>
      </c>
      <c r="D63" s="282" t="s">
        <v>34</v>
      </c>
      <c r="E63" s="297">
        <v>0.5</v>
      </c>
      <c r="F63" s="283">
        <f>_xlfn.XLOOKUP(A63,COMP_AUX!$F$13:$F$1400,COMP_AUX!$G$13:$G$1400,_xlfn.XLOOKUP(A63,CUSTO_INSU!$A$12:$A$201,CUSTO_INSU!$G$12:$G$201))</f>
        <v>22.95</v>
      </c>
      <c r="G63" s="283">
        <f>TRUNC(TRUNC(E63,8)*F63,2)</f>
        <v>11.47</v>
      </c>
    </row>
    <row r="64" spans="1:7" s="31" customFormat="1" ht="21">
      <c r="A64" s="284"/>
      <c r="B64" s="32"/>
      <c r="C64" s="32"/>
      <c r="D64" s="32"/>
      <c r="E64" s="285" t="s">
        <v>254</v>
      </c>
      <c r="F64" s="285"/>
      <c r="G64" s="286">
        <f>SUM(G63:G63)</f>
        <v>11.47</v>
      </c>
    </row>
    <row r="65" spans="1:7" s="31" customFormat="1" ht="10.5">
      <c r="A65" s="284"/>
      <c r="B65" s="32"/>
      <c r="C65" s="32"/>
      <c r="D65" s="32"/>
      <c r="E65" s="287" t="s">
        <v>255</v>
      </c>
      <c r="F65" s="287">
        <f>A51</f>
        <v>103689</v>
      </c>
      <c r="G65" s="288">
        <f>SUM(G57,G61,G64)</f>
        <v>462.25</v>
      </c>
    </row>
    <row r="66" spans="1:7" s="31" customFormat="1" ht="10">
      <c r="A66" s="284"/>
      <c r="B66" s="32"/>
      <c r="C66" s="32"/>
      <c r="D66" s="32"/>
      <c r="E66" s="289"/>
      <c r="F66" s="289"/>
      <c r="G66" s="289"/>
    </row>
    <row r="67" spans="1:7" s="31" customFormat="1" ht="10.5">
      <c r="A67" s="275">
        <v>98459</v>
      </c>
      <c r="B67" s="276" t="s">
        <v>883</v>
      </c>
      <c r="C67" s="276"/>
      <c r="D67" s="276"/>
      <c r="E67" s="276"/>
      <c r="F67" s="276"/>
      <c r="G67" s="276"/>
    </row>
    <row r="68" spans="1:7" s="31" customFormat="1" ht="21">
      <c r="A68" s="277" t="s">
        <v>260</v>
      </c>
      <c r="B68" s="278"/>
      <c r="C68" s="279" t="s">
        <v>4</v>
      </c>
      <c r="D68" s="279" t="s">
        <v>243</v>
      </c>
      <c r="E68" s="279" t="s">
        <v>244</v>
      </c>
      <c r="F68" s="279" t="s">
        <v>245</v>
      </c>
      <c r="G68" s="279" t="s">
        <v>246</v>
      </c>
    </row>
    <row r="69" spans="1:7" s="31" customFormat="1" ht="20">
      <c r="A69" s="280">
        <v>91693</v>
      </c>
      <c r="B69" s="281" t="s">
        <v>277</v>
      </c>
      <c r="C69" s="282" t="s">
        <v>26</v>
      </c>
      <c r="D69" s="282" t="s">
        <v>234</v>
      </c>
      <c r="E69" s="298">
        <v>2.64E-2</v>
      </c>
      <c r="F69" s="283">
        <f>_xlfn.XLOOKUP(A69,COMP_AUX!$F$13:$F$1400,COMP_AUX!$G$13:$G$1400,_xlfn.XLOOKUP(A69,CUSTO_INSU!$A$12:$A$201,CUSTO_INSU!$G$12:$G$201))</f>
        <v>23.89</v>
      </c>
      <c r="G69" s="283">
        <f>TRUNC(TRUNC(E69,8)*F69,2)</f>
        <v>0.63</v>
      </c>
    </row>
    <row r="70" spans="1:7" s="31" customFormat="1" ht="20">
      <c r="A70" s="280">
        <v>91692</v>
      </c>
      <c r="B70" s="281" t="s">
        <v>278</v>
      </c>
      <c r="C70" s="282" t="s">
        <v>26</v>
      </c>
      <c r="D70" s="282" t="s">
        <v>237</v>
      </c>
      <c r="E70" s="298">
        <v>6.6E-3</v>
      </c>
      <c r="F70" s="283">
        <f>_xlfn.XLOOKUP(A70,COMP_AUX!$F$13:$F$1400,COMP_AUX!$G$13:$G$1400,_xlfn.XLOOKUP(A70,CUSTO_INSU!$A$12:$A$201,CUSTO_INSU!$G$12:$G$201))</f>
        <v>24.96</v>
      </c>
      <c r="G70" s="283">
        <f>TRUNC(TRUNC(E70,8)*F70,2)</f>
        <v>0.16</v>
      </c>
    </row>
    <row r="71" spans="1:7" s="31" customFormat="1" ht="10.5">
      <c r="A71" s="284"/>
      <c r="B71" s="32"/>
      <c r="C71" s="32"/>
      <c r="D71" s="32"/>
      <c r="E71" s="285" t="s">
        <v>1300</v>
      </c>
      <c r="F71" s="285"/>
      <c r="G71" s="286">
        <f>SUM(G69:G70)</f>
        <v>0.79</v>
      </c>
    </row>
    <row r="72" spans="1:7" s="31" customFormat="1" ht="21">
      <c r="A72" s="277" t="s">
        <v>256</v>
      </c>
      <c r="B72" s="278"/>
      <c r="C72" s="279" t="s">
        <v>4</v>
      </c>
      <c r="D72" s="279" t="s">
        <v>243</v>
      </c>
      <c r="E72" s="279" t="s">
        <v>244</v>
      </c>
      <c r="F72" s="279" t="s">
        <v>245</v>
      </c>
      <c r="G72" s="279" t="s">
        <v>246</v>
      </c>
    </row>
    <row r="73" spans="1:7" s="31" customFormat="1" ht="20">
      <c r="A73" s="280">
        <v>4491</v>
      </c>
      <c r="B73" s="281" t="s">
        <v>280</v>
      </c>
      <c r="C73" s="282" t="s">
        <v>26</v>
      </c>
      <c r="D73" s="282" t="s">
        <v>70</v>
      </c>
      <c r="E73" s="298">
        <v>1.2273000000000001</v>
      </c>
      <c r="F73" s="283">
        <f>_xlfn.XLOOKUP(A73,COMP_AUX!$F$13:$F$1400,COMP_AUX!$G$13:$G$1400,_xlfn.XLOOKUP(A73,CUSTO_INSU!$A$12:$A$201,CUSTO_INSU!$G$12:$G$201))</f>
        <v>11.21</v>
      </c>
      <c r="G73" s="283">
        <f>TRUNC(TRUNC(E73,8)*F73,2)</f>
        <v>13.75</v>
      </c>
    </row>
    <row r="74" spans="1:7" s="31" customFormat="1" ht="10">
      <c r="A74" s="280">
        <v>5061</v>
      </c>
      <c r="B74" s="281" t="s">
        <v>281</v>
      </c>
      <c r="C74" s="282" t="s">
        <v>26</v>
      </c>
      <c r="D74" s="282" t="s">
        <v>83</v>
      </c>
      <c r="E74" s="298">
        <v>6.8000000000000005E-2</v>
      </c>
      <c r="F74" s="283">
        <f>_xlfn.XLOOKUP(A74,COMP_AUX!$F$13:$F$1400,COMP_AUX!$G$13:$G$1400,_xlfn.XLOOKUP(A74,CUSTO_INSU!$A$12:$A$201,CUSTO_INSU!$G$12:$G$201))</f>
        <v>20</v>
      </c>
      <c r="G74" s="283">
        <f>TRUNC(TRUNC(E74,8)*F74,2)</f>
        <v>1.36</v>
      </c>
    </row>
    <row r="75" spans="1:7" s="31" customFormat="1" ht="20">
      <c r="A75" s="280">
        <v>6194</v>
      </c>
      <c r="B75" s="281" t="s">
        <v>282</v>
      </c>
      <c r="C75" s="282" t="s">
        <v>26</v>
      </c>
      <c r="D75" s="282" t="s">
        <v>70</v>
      </c>
      <c r="E75" s="298">
        <v>2</v>
      </c>
      <c r="F75" s="283">
        <f>_xlfn.XLOOKUP(A75,COMP_AUX!$F$13:$F$1400,COMP_AUX!$G$13:$G$1400,_xlfn.XLOOKUP(A75,CUSTO_INSU!$A$12:$A$201,CUSTO_INSU!$G$12:$G$201))</f>
        <v>8</v>
      </c>
      <c r="G75" s="283">
        <f>TRUNC(TRUNC(E75,8)*F75,2)</f>
        <v>16</v>
      </c>
    </row>
    <row r="76" spans="1:7" s="31" customFormat="1" ht="30">
      <c r="A76" s="280">
        <v>7243</v>
      </c>
      <c r="B76" s="281" t="s">
        <v>283</v>
      </c>
      <c r="C76" s="282" t="s">
        <v>26</v>
      </c>
      <c r="D76" s="282" t="s">
        <v>34</v>
      </c>
      <c r="E76" s="298">
        <v>0.58530000000000004</v>
      </c>
      <c r="F76" s="283">
        <f>_xlfn.XLOOKUP(A76,COMP_AUX!$F$13:$F$1400,COMP_AUX!$G$13:$G$1400,_xlfn.XLOOKUP(A76,CUSTO_INSU!$A$12:$A$201,CUSTO_INSU!$G$12:$G$201))</f>
        <v>50.74</v>
      </c>
      <c r="G76" s="283">
        <f>TRUNC(TRUNC(E76,8)*F76,2)</f>
        <v>29.69</v>
      </c>
    </row>
    <row r="77" spans="1:7" s="31" customFormat="1" ht="10.5">
      <c r="A77" s="284"/>
      <c r="B77" s="32"/>
      <c r="C77" s="32"/>
      <c r="D77" s="32"/>
      <c r="E77" s="285" t="s">
        <v>1305</v>
      </c>
      <c r="F77" s="285"/>
      <c r="G77" s="286">
        <f>SUM(G73:G76)</f>
        <v>60.8</v>
      </c>
    </row>
    <row r="78" spans="1:7" s="31" customFormat="1" ht="21">
      <c r="A78" s="277" t="s">
        <v>242</v>
      </c>
      <c r="B78" s="278"/>
      <c r="C78" s="279" t="s">
        <v>4</v>
      </c>
      <c r="D78" s="279" t="s">
        <v>243</v>
      </c>
      <c r="E78" s="279" t="s">
        <v>244</v>
      </c>
      <c r="F78" s="279" t="s">
        <v>245</v>
      </c>
      <c r="G78" s="279" t="s">
        <v>246</v>
      </c>
    </row>
    <row r="79" spans="1:7" s="31" customFormat="1" ht="10">
      <c r="A79" s="280">
        <v>88239</v>
      </c>
      <c r="B79" s="281" t="s">
        <v>264</v>
      </c>
      <c r="C79" s="282" t="s">
        <v>26</v>
      </c>
      <c r="D79" s="282" t="s">
        <v>265</v>
      </c>
      <c r="E79" s="298">
        <v>0.49199999999999999</v>
      </c>
      <c r="F79" s="283">
        <f>_xlfn.XLOOKUP(A79,COMP_AUX!$F$13:$F$1400,COMP_AUX!$G$13:$G$1400,_xlfn.XLOOKUP(A79,CUSTO_INSU!$A$12:$A$201,CUSTO_INSU!$G$12:$G$201))</f>
        <v>20.89</v>
      </c>
      <c r="G79" s="283">
        <f>TRUNC(TRUNC(E79,8)*F79,2)</f>
        <v>10.27</v>
      </c>
    </row>
    <row r="80" spans="1:7" s="31" customFormat="1" ht="10">
      <c r="A80" s="280">
        <v>88262</v>
      </c>
      <c r="B80" s="281" t="s">
        <v>267</v>
      </c>
      <c r="C80" s="282" t="s">
        <v>26</v>
      </c>
      <c r="D80" s="282" t="s">
        <v>265</v>
      </c>
      <c r="E80" s="298">
        <v>0.73499999999999999</v>
      </c>
      <c r="F80" s="283">
        <f>_xlfn.XLOOKUP(A80,COMP_AUX!$F$13:$F$1400,COMP_AUX!$G$13:$G$1400,_xlfn.XLOOKUP(A80,CUSTO_INSU!$A$12:$A$201,CUSTO_INSU!$G$12:$G$201))</f>
        <v>24.580000000000002</v>
      </c>
      <c r="G80" s="283">
        <f>TRUNC(TRUNC(E80,8)*F80,2)</f>
        <v>18.059999999999999</v>
      </c>
    </row>
    <row r="81" spans="1:7" s="31" customFormat="1" ht="10.5">
      <c r="A81" s="284"/>
      <c r="B81" s="32"/>
      <c r="C81" s="32"/>
      <c r="D81" s="32"/>
      <c r="E81" s="285" t="s">
        <v>1303</v>
      </c>
      <c r="F81" s="285"/>
      <c r="G81" s="286">
        <f>SUM(G79:G80)</f>
        <v>28.33</v>
      </c>
    </row>
    <row r="82" spans="1:7" s="31" customFormat="1" ht="21">
      <c r="A82" s="277" t="s">
        <v>250</v>
      </c>
      <c r="B82" s="278"/>
      <c r="C82" s="279" t="s">
        <v>4</v>
      </c>
      <c r="D82" s="279" t="s">
        <v>243</v>
      </c>
      <c r="E82" s="279" t="s">
        <v>244</v>
      </c>
      <c r="F82" s="279" t="s">
        <v>245</v>
      </c>
      <c r="G82" s="279" t="s">
        <v>246</v>
      </c>
    </row>
    <row r="83" spans="1:7" s="31" customFormat="1" ht="30">
      <c r="A83" s="280">
        <v>94974</v>
      </c>
      <c r="B83" s="281" t="s">
        <v>284</v>
      </c>
      <c r="C83" s="282" t="s">
        <v>26</v>
      </c>
      <c r="D83" s="282" t="s">
        <v>45</v>
      </c>
      <c r="E83" s="298">
        <v>6.1000000000000004E-3</v>
      </c>
      <c r="F83" s="283">
        <f>_xlfn.XLOOKUP(A83,COMP_AUX!$F$13:$F$1400,COMP_AUX!$G$13:$G$1400,_xlfn.XLOOKUP(A83,CUSTO_INSU!$A$12:$A$201,CUSTO_INSU!$G$12:$G$201))</f>
        <v>459.57999999999993</v>
      </c>
      <c r="G83" s="283">
        <f>TRUNC(TRUNC(E83,8)*F83,2)</f>
        <v>2.8</v>
      </c>
    </row>
    <row r="84" spans="1:7" s="31" customFormat="1" ht="21">
      <c r="A84" s="284"/>
      <c r="B84" s="32"/>
      <c r="C84" s="32"/>
      <c r="D84" s="32"/>
      <c r="E84" s="285" t="s">
        <v>254</v>
      </c>
      <c r="F84" s="285"/>
      <c r="G84" s="286">
        <f>SUM(G83:G83)</f>
        <v>2.8</v>
      </c>
    </row>
    <row r="85" spans="1:7" s="31" customFormat="1" ht="10.5">
      <c r="A85" s="284"/>
      <c r="B85" s="32"/>
      <c r="C85" s="32"/>
      <c r="D85" s="32"/>
      <c r="E85" s="287" t="s">
        <v>255</v>
      </c>
      <c r="F85" s="287">
        <f>A67</f>
        <v>98459</v>
      </c>
      <c r="G85" s="288">
        <f>SUM(G71,G77,G81,G84)</f>
        <v>92.719999999999985</v>
      </c>
    </row>
    <row r="86" spans="1:7" s="31" customFormat="1" ht="10">
      <c r="A86" s="284"/>
      <c r="B86" s="32"/>
      <c r="C86" s="32"/>
      <c r="D86" s="32"/>
      <c r="E86" s="289"/>
      <c r="F86" s="289"/>
      <c r="G86" s="289"/>
    </row>
    <row r="87" spans="1:7" s="31" customFormat="1" ht="21">
      <c r="A87" s="275">
        <v>97644</v>
      </c>
      <c r="B87" s="276" t="s">
        <v>884</v>
      </c>
      <c r="C87" s="276"/>
      <c r="D87" s="276"/>
      <c r="E87" s="276"/>
      <c r="F87" s="276"/>
      <c r="G87" s="276"/>
    </row>
    <row r="88" spans="1:7" s="31" customFormat="1" ht="21">
      <c r="A88" s="277" t="s">
        <v>242</v>
      </c>
      <c r="B88" s="278"/>
      <c r="C88" s="279" t="s">
        <v>4</v>
      </c>
      <c r="D88" s="279" t="s">
        <v>243</v>
      </c>
      <c r="E88" s="279" t="s">
        <v>244</v>
      </c>
      <c r="F88" s="279" t="s">
        <v>245</v>
      </c>
      <c r="G88" s="279" t="s">
        <v>246</v>
      </c>
    </row>
    <row r="89" spans="1:7" s="31" customFormat="1" ht="10">
      <c r="A89" s="280">
        <v>88309</v>
      </c>
      <c r="B89" s="281" t="s">
        <v>286</v>
      </c>
      <c r="C89" s="282" t="s">
        <v>26</v>
      </c>
      <c r="D89" s="282" t="s">
        <v>265</v>
      </c>
      <c r="E89" s="298">
        <v>0.1087</v>
      </c>
      <c r="F89" s="283">
        <f>_xlfn.XLOOKUP(A89,COMP_AUX!$F$13:$F$1400,COMP_AUX!$G$13:$G$1400,_xlfn.XLOOKUP(A89,CUSTO_INSU!$A$12:$A$201,CUSTO_INSU!$G$12:$G$201))</f>
        <v>25.21</v>
      </c>
      <c r="G89" s="283">
        <f>TRUNC(TRUNC(E89,8)*F89,2)</f>
        <v>2.74</v>
      </c>
    </row>
    <row r="90" spans="1:7" s="31" customFormat="1" ht="10">
      <c r="A90" s="280">
        <v>88316</v>
      </c>
      <c r="B90" s="281" t="s">
        <v>275</v>
      </c>
      <c r="C90" s="282" t="s">
        <v>26</v>
      </c>
      <c r="D90" s="282" t="s">
        <v>265</v>
      </c>
      <c r="E90" s="298">
        <v>0.3075</v>
      </c>
      <c r="F90" s="283">
        <f>_xlfn.XLOOKUP(A90,COMP_AUX!$F$13:$F$1400,COMP_AUX!$G$13:$G$1400,_xlfn.XLOOKUP(A90,CUSTO_INSU!$A$12:$A$201,CUSTO_INSU!$G$12:$G$201))</f>
        <v>20.27</v>
      </c>
      <c r="G90" s="283">
        <f>TRUNC(TRUNC(E90,8)*F90,2)</f>
        <v>6.23</v>
      </c>
    </row>
    <row r="91" spans="1:7" s="31" customFormat="1" ht="10.5">
      <c r="A91" s="284"/>
      <c r="B91" s="32"/>
      <c r="C91" s="32"/>
      <c r="D91" s="32"/>
      <c r="E91" s="285" t="s">
        <v>1303</v>
      </c>
      <c r="F91" s="285"/>
      <c r="G91" s="286">
        <f>SUM(G89:G90)</f>
        <v>8.9700000000000006</v>
      </c>
    </row>
    <row r="92" spans="1:7" s="31" customFormat="1" ht="10.5">
      <c r="A92" s="284"/>
      <c r="B92" s="32"/>
      <c r="C92" s="32"/>
      <c r="D92" s="32"/>
      <c r="E92" s="287" t="s">
        <v>255</v>
      </c>
      <c r="F92" s="287">
        <f>A87</f>
        <v>97644</v>
      </c>
      <c r="G92" s="288">
        <f>SUM(G91)</f>
        <v>8.9700000000000006</v>
      </c>
    </row>
    <row r="93" spans="1:7" s="31" customFormat="1" ht="10">
      <c r="A93" s="284"/>
      <c r="B93" s="32"/>
      <c r="C93" s="32"/>
      <c r="D93" s="32"/>
      <c r="E93" s="289"/>
      <c r="F93" s="289"/>
      <c r="G93" s="289"/>
    </row>
    <row r="94" spans="1:7" s="31" customFormat="1" ht="31.5">
      <c r="A94" s="275">
        <v>97647</v>
      </c>
      <c r="B94" s="276" t="s">
        <v>888</v>
      </c>
      <c r="C94" s="276"/>
      <c r="D94" s="276"/>
      <c r="E94" s="276"/>
      <c r="F94" s="276"/>
      <c r="G94" s="276"/>
    </row>
    <row r="95" spans="1:7" s="31" customFormat="1" ht="21">
      <c r="A95" s="277" t="s">
        <v>242</v>
      </c>
      <c r="B95" s="278"/>
      <c r="C95" s="279" t="s">
        <v>4</v>
      </c>
      <c r="D95" s="279" t="s">
        <v>243</v>
      </c>
      <c r="E95" s="279" t="s">
        <v>244</v>
      </c>
      <c r="F95" s="279" t="s">
        <v>245</v>
      </c>
      <c r="G95" s="279" t="s">
        <v>246</v>
      </c>
    </row>
    <row r="96" spans="1:7" s="31" customFormat="1" ht="10">
      <c r="A96" s="280">
        <v>88316</v>
      </c>
      <c r="B96" s="281" t="s">
        <v>275</v>
      </c>
      <c r="C96" s="282" t="s">
        <v>26</v>
      </c>
      <c r="D96" s="282" t="s">
        <v>265</v>
      </c>
      <c r="E96" s="298">
        <v>0.1153</v>
      </c>
      <c r="F96" s="283">
        <f>_xlfn.XLOOKUP(A96,COMP_AUX!$F$13:$F$1400,COMP_AUX!$G$13:$G$1400,_xlfn.XLOOKUP(A96,CUSTO_INSU!$A$12:$A$201,CUSTO_INSU!$G$12:$G$201))</f>
        <v>20.27</v>
      </c>
      <c r="G96" s="283">
        <f>TRUNC(TRUNC(E96,8)*F96,2)</f>
        <v>2.33</v>
      </c>
    </row>
    <row r="97" spans="1:7" s="31" customFormat="1" ht="10">
      <c r="A97" s="280">
        <v>88323</v>
      </c>
      <c r="B97" s="281" t="s">
        <v>287</v>
      </c>
      <c r="C97" s="282" t="s">
        <v>26</v>
      </c>
      <c r="D97" s="282" t="s">
        <v>265</v>
      </c>
      <c r="E97" s="298">
        <v>4.0800000000000003E-2</v>
      </c>
      <c r="F97" s="283">
        <f>_xlfn.XLOOKUP(A97,COMP_AUX!$F$13:$F$1400,COMP_AUX!$G$13:$G$1400,_xlfn.XLOOKUP(A97,CUSTO_INSU!$A$12:$A$201,CUSTO_INSU!$G$12:$G$201))</f>
        <v>24.340000000000003</v>
      </c>
      <c r="G97" s="283">
        <f>TRUNC(TRUNC(E97,8)*F97,2)</f>
        <v>0.99</v>
      </c>
    </row>
    <row r="98" spans="1:7" s="31" customFormat="1" ht="10.5">
      <c r="A98" s="284"/>
      <c r="B98" s="32"/>
      <c r="C98" s="32"/>
      <c r="D98" s="32"/>
      <c r="E98" s="285" t="s">
        <v>1303</v>
      </c>
      <c r="F98" s="285"/>
      <c r="G98" s="286">
        <f>SUM(G96:G97)</f>
        <v>3.3200000000000003</v>
      </c>
    </row>
    <row r="99" spans="1:7" s="31" customFormat="1" ht="10.5">
      <c r="A99" s="284"/>
      <c r="B99" s="32"/>
      <c r="C99" s="32"/>
      <c r="D99" s="32"/>
      <c r="E99" s="287" t="s">
        <v>255</v>
      </c>
      <c r="F99" s="287">
        <f>A94</f>
        <v>97647</v>
      </c>
      <c r="G99" s="288">
        <f>SUM(G98)</f>
        <v>3.3200000000000003</v>
      </c>
    </row>
    <row r="100" spans="1:7" s="31" customFormat="1" ht="10">
      <c r="A100" s="284"/>
      <c r="B100" s="32"/>
      <c r="C100" s="32"/>
      <c r="D100" s="32"/>
      <c r="E100" s="289"/>
      <c r="F100" s="289"/>
      <c r="G100" s="289"/>
    </row>
    <row r="101" spans="1:7" s="31" customFormat="1" ht="21">
      <c r="A101" s="275">
        <v>97622</v>
      </c>
      <c r="B101" s="276" t="s">
        <v>885</v>
      </c>
      <c r="C101" s="276"/>
      <c r="D101" s="276"/>
      <c r="E101" s="276"/>
      <c r="F101" s="276"/>
      <c r="G101" s="276"/>
    </row>
    <row r="102" spans="1:7" s="31" customFormat="1" ht="21">
      <c r="A102" s="277" t="s">
        <v>242</v>
      </c>
      <c r="B102" s="278"/>
      <c r="C102" s="279" t="s">
        <v>4</v>
      </c>
      <c r="D102" s="279" t="s">
        <v>243</v>
      </c>
      <c r="E102" s="279" t="s">
        <v>244</v>
      </c>
      <c r="F102" s="279" t="s">
        <v>245</v>
      </c>
      <c r="G102" s="279" t="s">
        <v>246</v>
      </c>
    </row>
    <row r="103" spans="1:7" s="31" customFormat="1" ht="10">
      <c r="A103" s="280">
        <v>88309</v>
      </c>
      <c r="B103" s="281" t="s">
        <v>286</v>
      </c>
      <c r="C103" s="282" t="s">
        <v>26</v>
      </c>
      <c r="D103" s="282" t="s">
        <v>265</v>
      </c>
      <c r="E103" s="298">
        <v>0.35410000000000003</v>
      </c>
      <c r="F103" s="283">
        <f>_xlfn.XLOOKUP(A103,COMP_AUX!$F$13:$F$1400,COMP_AUX!$G$13:$G$1400,_xlfn.XLOOKUP(A103,CUSTO_INSU!$A$12:$A$201,CUSTO_INSU!$G$12:$G$201))</f>
        <v>25.21</v>
      </c>
      <c r="G103" s="283">
        <f>TRUNC(TRUNC(E103,8)*F103,2)</f>
        <v>8.92</v>
      </c>
    </row>
    <row r="104" spans="1:7" s="31" customFormat="1" ht="10">
      <c r="A104" s="280">
        <v>88316</v>
      </c>
      <c r="B104" s="281" t="s">
        <v>275</v>
      </c>
      <c r="C104" s="282" t="s">
        <v>26</v>
      </c>
      <c r="D104" s="282" t="s">
        <v>265</v>
      </c>
      <c r="E104" s="298">
        <v>2.1957</v>
      </c>
      <c r="F104" s="283">
        <v>19.97</v>
      </c>
      <c r="G104" s="283">
        <f>TRUNC(TRUNC(E104,8)*F104,2)</f>
        <v>43.84</v>
      </c>
    </row>
    <row r="105" spans="1:7" s="31" customFormat="1" ht="10.5">
      <c r="A105" s="284"/>
      <c r="B105" s="32"/>
      <c r="C105" s="32"/>
      <c r="D105" s="32"/>
      <c r="E105" s="285" t="s">
        <v>1303</v>
      </c>
      <c r="F105" s="285"/>
      <c r="G105" s="286">
        <f>SUM(G103:G104)</f>
        <v>52.760000000000005</v>
      </c>
    </row>
    <row r="106" spans="1:7" s="31" customFormat="1" ht="10.5">
      <c r="A106" s="284"/>
      <c r="B106" s="32"/>
      <c r="C106" s="32"/>
      <c r="D106" s="32"/>
      <c r="E106" s="287" t="s">
        <v>255</v>
      </c>
      <c r="F106" s="287">
        <f>A101</f>
        <v>97622</v>
      </c>
      <c r="G106" s="288">
        <f>SUM(G105)</f>
        <v>52.760000000000005</v>
      </c>
    </row>
    <row r="107" spans="1:7" s="31" customFormat="1" ht="10">
      <c r="A107" s="284"/>
      <c r="B107" s="32"/>
      <c r="C107" s="32"/>
      <c r="D107" s="32"/>
      <c r="E107" s="289"/>
      <c r="F107" s="289"/>
      <c r="G107" s="289"/>
    </row>
    <row r="108" spans="1:7" s="31" customFormat="1" ht="21">
      <c r="A108" s="275">
        <v>97628</v>
      </c>
      <c r="B108" s="276" t="s">
        <v>886</v>
      </c>
      <c r="C108" s="276"/>
      <c r="D108" s="276"/>
      <c r="E108" s="276"/>
      <c r="F108" s="276"/>
      <c r="G108" s="276"/>
    </row>
    <row r="109" spans="1:7" s="31" customFormat="1" ht="21">
      <c r="A109" s="277" t="s">
        <v>242</v>
      </c>
      <c r="B109" s="278"/>
      <c r="C109" s="279" t="s">
        <v>4</v>
      </c>
      <c r="D109" s="279" t="s">
        <v>243</v>
      </c>
      <c r="E109" s="279" t="s">
        <v>244</v>
      </c>
      <c r="F109" s="279" t="s">
        <v>245</v>
      </c>
      <c r="G109" s="279" t="s">
        <v>246</v>
      </c>
    </row>
    <row r="110" spans="1:7" s="31" customFormat="1" ht="10">
      <c r="A110" s="280">
        <v>88309</v>
      </c>
      <c r="B110" s="281" t="s">
        <v>286</v>
      </c>
      <c r="C110" s="282" t="s">
        <v>26</v>
      </c>
      <c r="D110" s="282" t="s">
        <v>265</v>
      </c>
      <c r="E110" s="298">
        <v>1.6574</v>
      </c>
      <c r="F110" s="283">
        <f>_xlfn.XLOOKUP(A110,COMP_AUX!$F$13:$F$1400,COMP_AUX!$G$13:$G$1400,_xlfn.XLOOKUP(A110,CUSTO_INSU!$A$12:$A$201,CUSTO_INSU!$G$12:$G$201))</f>
        <v>25.21</v>
      </c>
      <c r="G110" s="283">
        <f>TRUNC(TRUNC(E110,8)*F110,2)</f>
        <v>41.78</v>
      </c>
    </row>
    <row r="111" spans="1:7" s="31" customFormat="1" ht="10">
      <c r="A111" s="280">
        <v>88316</v>
      </c>
      <c r="B111" s="281" t="s">
        <v>275</v>
      </c>
      <c r="C111" s="282" t="s">
        <v>26</v>
      </c>
      <c r="D111" s="282" t="s">
        <v>265</v>
      </c>
      <c r="E111" s="298">
        <v>10.2759</v>
      </c>
      <c r="F111" s="283">
        <f>_xlfn.XLOOKUP(A111,COMP_AUX!$F$13:$F$1400,COMP_AUX!$G$13:$G$1400,_xlfn.XLOOKUP(A111,CUSTO_INSU!$A$12:$A$201,CUSTO_INSU!$G$12:$G$201))</f>
        <v>20.27</v>
      </c>
      <c r="G111" s="283">
        <f>TRUNC(TRUNC(E111,8)*F111,2)</f>
        <v>208.29</v>
      </c>
    </row>
    <row r="112" spans="1:7" s="31" customFormat="1" ht="10.5">
      <c r="A112" s="284"/>
      <c r="B112" s="32"/>
      <c r="C112" s="32"/>
      <c r="D112" s="32"/>
      <c r="E112" s="285" t="s">
        <v>1303</v>
      </c>
      <c r="F112" s="285"/>
      <c r="G112" s="286">
        <f>SUM(G110:G111)</f>
        <v>250.07</v>
      </c>
    </row>
    <row r="113" spans="1:7" s="31" customFormat="1" ht="10.5">
      <c r="A113" s="284"/>
      <c r="B113" s="32"/>
      <c r="C113" s="32"/>
      <c r="D113" s="32"/>
      <c r="E113" s="287" t="s">
        <v>255</v>
      </c>
      <c r="F113" s="287">
        <f>A108</f>
        <v>97628</v>
      </c>
      <c r="G113" s="288">
        <f>SUM(G112)</f>
        <v>250.07</v>
      </c>
    </row>
    <row r="114" spans="1:7" s="31" customFormat="1" ht="10">
      <c r="A114" s="284"/>
      <c r="B114" s="32"/>
      <c r="C114" s="32"/>
      <c r="D114" s="32"/>
      <c r="E114" s="289"/>
      <c r="F114" s="289"/>
      <c r="G114" s="289"/>
    </row>
    <row r="115" spans="1:7" s="31" customFormat="1" ht="21">
      <c r="A115" s="275">
        <v>97626</v>
      </c>
      <c r="B115" s="276" t="s">
        <v>887</v>
      </c>
      <c r="C115" s="276"/>
      <c r="D115" s="276"/>
      <c r="E115" s="276"/>
      <c r="F115" s="276"/>
      <c r="G115" s="276"/>
    </row>
    <row r="116" spans="1:7" s="31" customFormat="1" ht="21">
      <c r="A116" s="277" t="s">
        <v>242</v>
      </c>
      <c r="B116" s="278"/>
      <c r="C116" s="279" t="s">
        <v>4</v>
      </c>
      <c r="D116" s="279" t="s">
        <v>243</v>
      </c>
      <c r="E116" s="279" t="s">
        <v>244</v>
      </c>
      <c r="F116" s="279" t="s">
        <v>245</v>
      </c>
      <c r="G116" s="279" t="s">
        <v>246</v>
      </c>
    </row>
    <row r="117" spans="1:7" s="31" customFormat="1" ht="10">
      <c r="A117" s="280">
        <v>88309</v>
      </c>
      <c r="B117" s="281" t="s">
        <v>286</v>
      </c>
      <c r="C117" s="282" t="s">
        <v>26</v>
      </c>
      <c r="D117" s="282" t="s">
        <v>265</v>
      </c>
      <c r="E117" s="298">
        <v>3.5586000000000002</v>
      </c>
      <c r="F117" s="283">
        <f>_xlfn.XLOOKUP(A117,COMP_AUX!$F$13:$F$1400,COMP_AUX!$G$13:$G$1400,_xlfn.XLOOKUP(A117,CUSTO_INSU!$A$12:$A$201,CUSTO_INSU!$G$12:$G$201))</f>
        <v>25.21</v>
      </c>
      <c r="G117" s="283">
        <f>TRUNC(TRUNC(E117,8)*F117,2)</f>
        <v>89.71</v>
      </c>
    </row>
    <row r="118" spans="1:7" s="31" customFormat="1" ht="10">
      <c r="A118" s="280">
        <v>88316</v>
      </c>
      <c r="B118" s="281" t="s">
        <v>275</v>
      </c>
      <c r="C118" s="282" t="s">
        <v>26</v>
      </c>
      <c r="D118" s="282" t="s">
        <v>265</v>
      </c>
      <c r="E118" s="298">
        <v>22.063600000000001</v>
      </c>
      <c r="F118" s="283">
        <f>_xlfn.XLOOKUP(A118,COMP_AUX!$F$13:$F$1400,COMP_AUX!$G$13:$G$1400,_xlfn.XLOOKUP(A118,CUSTO_INSU!$A$12:$A$201,CUSTO_INSU!$G$12:$G$201))</f>
        <v>20.27</v>
      </c>
      <c r="G118" s="283">
        <f>TRUNC(TRUNC(E118,8)*F118,2)</f>
        <v>447.22</v>
      </c>
    </row>
    <row r="119" spans="1:7" s="31" customFormat="1" ht="10.5">
      <c r="A119" s="284"/>
      <c r="B119" s="32"/>
      <c r="C119" s="32"/>
      <c r="D119" s="32"/>
      <c r="E119" s="285" t="s">
        <v>1303</v>
      </c>
      <c r="F119" s="285"/>
      <c r="G119" s="286">
        <f>SUM(G117:G118)</f>
        <v>536.93000000000006</v>
      </c>
    </row>
    <row r="120" spans="1:7" s="31" customFormat="1" ht="10.5">
      <c r="A120" s="284"/>
      <c r="B120" s="32"/>
      <c r="C120" s="32"/>
      <c r="D120" s="32"/>
      <c r="E120" s="287" t="s">
        <v>255</v>
      </c>
      <c r="F120" s="287">
        <f>A115</f>
        <v>97626</v>
      </c>
      <c r="G120" s="288">
        <f>SUM(G119)</f>
        <v>536.93000000000006</v>
      </c>
    </row>
    <row r="121" spans="1:7" s="31" customFormat="1" ht="10">
      <c r="A121" s="284"/>
      <c r="B121" s="32"/>
      <c r="C121" s="32"/>
      <c r="D121" s="32"/>
      <c r="E121" s="289"/>
      <c r="F121" s="289"/>
      <c r="G121" s="289"/>
    </row>
    <row r="122" spans="1:7" s="31" customFormat="1" ht="42">
      <c r="A122" s="275">
        <v>100982</v>
      </c>
      <c r="B122" s="276" t="s">
        <v>889</v>
      </c>
      <c r="C122" s="276"/>
      <c r="D122" s="276"/>
      <c r="E122" s="276"/>
      <c r="F122" s="276"/>
      <c r="G122" s="276"/>
    </row>
    <row r="123" spans="1:7" s="31" customFormat="1" ht="21">
      <c r="A123" s="277" t="s">
        <v>260</v>
      </c>
      <c r="B123" s="278"/>
      <c r="C123" s="279" t="s">
        <v>4</v>
      </c>
      <c r="D123" s="279" t="s">
        <v>243</v>
      </c>
      <c r="E123" s="279" t="s">
        <v>244</v>
      </c>
      <c r="F123" s="279" t="s">
        <v>245</v>
      </c>
      <c r="G123" s="279" t="s">
        <v>246</v>
      </c>
    </row>
    <row r="124" spans="1:7" s="31" customFormat="1" ht="40">
      <c r="A124" s="280">
        <v>91387</v>
      </c>
      <c r="B124" s="281" t="s">
        <v>288</v>
      </c>
      <c r="C124" s="282" t="s">
        <v>26</v>
      </c>
      <c r="D124" s="282" t="s">
        <v>234</v>
      </c>
      <c r="E124" s="298">
        <v>1.38E-2</v>
      </c>
      <c r="F124" s="283">
        <f>_xlfn.XLOOKUP(A124,COMP_AUX!$F$13:$F$1400,COMP_AUX!$G$13:$G$1400,_xlfn.XLOOKUP(A124,CUSTO_INSU!$A$12:$A$201,CUSTO_INSU!$G$12:$G$201))</f>
        <v>71.900000000000006</v>
      </c>
      <c r="G124" s="283">
        <f>TRUNC(TRUNC(E124,8)*F124,2)</f>
        <v>0.99</v>
      </c>
    </row>
    <row r="125" spans="1:7" s="31" customFormat="1" ht="40">
      <c r="A125" s="280">
        <v>91386</v>
      </c>
      <c r="B125" s="281" t="s">
        <v>289</v>
      </c>
      <c r="C125" s="282" t="s">
        <v>26</v>
      </c>
      <c r="D125" s="282" t="s">
        <v>237</v>
      </c>
      <c r="E125" s="298">
        <v>1.9800000000000002E-2</v>
      </c>
      <c r="F125" s="283">
        <f>_xlfn.XLOOKUP(A125,COMP_AUX!$F$13:$F$1400,COMP_AUX!$G$13:$G$1400,_xlfn.XLOOKUP(A125,CUSTO_INSU!$A$12:$A$201,CUSTO_INSU!$G$12:$G$201))</f>
        <v>274.66000000000003</v>
      </c>
      <c r="G125" s="283">
        <f>TRUNC(TRUNC(E125,8)*F125,2)</f>
        <v>5.43</v>
      </c>
    </row>
    <row r="126" spans="1:7" s="31" customFormat="1" ht="30">
      <c r="A126" s="280">
        <v>5632</v>
      </c>
      <c r="B126" s="281" t="s">
        <v>290</v>
      </c>
      <c r="C126" s="282" t="s">
        <v>26</v>
      </c>
      <c r="D126" s="282" t="s">
        <v>234</v>
      </c>
      <c r="E126" s="298">
        <v>1.0500000000000001E-2</v>
      </c>
      <c r="F126" s="283">
        <f>_xlfn.XLOOKUP(A126,COMP_AUX!$F$13:$F$1400,COMP_AUX!$G$13:$G$1400,_xlfn.XLOOKUP(A126,CUSTO_INSU!$A$12:$A$201,CUSTO_INSU!$G$12:$G$201))</f>
        <v>85.48</v>
      </c>
      <c r="G126" s="283">
        <f>TRUNC(TRUNC(E126,8)*F126,2)</f>
        <v>0.89</v>
      </c>
    </row>
    <row r="127" spans="1:7" s="31" customFormat="1" ht="30">
      <c r="A127" s="280">
        <v>5631</v>
      </c>
      <c r="B127" s="281" t="s">
        <v>291</v>
      </c>
      <c r="C127" s="282" t="s">
        <v>26</v>
      </c>
      <c r="D127" s="282" t="s">
        <v>237</v>
      </c>
      <c r="E127" s="298">
        <v>8.3000000000000001E-3</v>
      </c>
      <c r="F127" s="283">
        <f>_xlfn.XLOOKUP(A127,COMP_AUX!$F$13:$F$1400,COMP_AUX!$G$13:$G$1400,_xlfn.XLOOKUP(A127,CUSTO_INSU!$A$12:$A$201,CUSTO_INSU!$G$12:$G$201))</f>
        <v>212.72000000000003</v>
      </c>
      <c r="G127" s="283">
        <f>TRUNC(TRUNC(E127,8)*F127,2)</f>
        <v>1.76</v>
      </c>
    </row>
    <row r="128" spans="1:7" s="31" customFormat="1" ht="10.5">
      <c r="A128" s="284"/>
      <c r="B128" s="32"/>
      <c r="C128" s="32"/>
      <c r="D128" s="32"/>
      <c r="E128" s="285" t="s">
        <v>1300</v>
      </c>
      <c r="F128" s="285"/>
      <c r="G128" s="286">
        <f>SUM(G124:G127)</f>
        <v>9.07</v>
      </c>
    </row>
    <row r="129" spans="1:7" s="31" customFormat="1" ht="10.5">
      <c r="A129" s="284"/>
      <c r="B129" s="32"/>
      <c r="C129" s="32"/>
      <c r="D129" s="32"/>
      <c r="E129" s="287" t="s">
        <v>255</v>
      </c>
      <c r="F129" s="287">
        <f>A122</f>
        <v>100982</v>
      </c>
      <c r="G129" s="288">
        <f>SUM(G128)</f>
        <v>9.07</v>
      </c>
    </row>
    <row r="130" spans="1:7" s="31" customFormat="1" ht="10">
      <c r="A130" s="284"/>
      <c r="B130" s="32"/>
      <c r="C130" s="32"/>
      <c r="D130" s="32"/>
      <c r="E130" s="289"/>
      <c r="F130" s="289"/>
      <c r="G130" s="289"/>
    </row>
    <row r="131" spans="1:7" s="31" customFormat="1" ht="31.5">
      <c r="A131" s="275">
        <v>95875</v>
      </c>
      <c r="B131" s="276" t="s">
        <v>890</v>
      </c>
      <c r="C131" s="276"/>
      <c r="D131" s="276"/>
      <c r="E131" s="276"/>
      <c r="F131" s="276"/>
      <c r="G131" s="276"/>
    </row>
    <row r="132" spans="1:7" s="31" customFormat="1" ht="21">
      <c r="A132" s="277" t="s">
        <v>260</v>
      </c>
      <c r="B132" s="278"/>
      <c r="C132" s="279" t="s">
        <v>4</v>
      </c>
      <c r="D132" s="279" t="s">
        <v>243</v>
      </c>
      <c r="E132" s="279" t="s">
        <v>244</v>
      </c>
      <c r="F132" s="279" t="s">
        <v>245</v>
      </c>
      <c r="G132" s="279" t="s">
        <v>246</v>
      </c>
    </row>
    <row r="133" spans="1:7" s="31" customFormat="1" ht="40">
      <c r="A133" s="280">
        <v>91387</v>
      </c>
      <c r="B133" s="281" t="s">
        <v>288</v>
      </c>
      <c r="C133" s="282" t="s">
        <v>26</v>
      </c>
      <c r="D133" s="282" t="s">
        <v>234</v>
      </c>
      <c r="E133" s="298">
        <v>3.5999999999999999E-3</v>
      </c>
      <c r="F133" s="283">
        <f>_xlfn.XLOOKUP(A133,COMP_AUX!$F$13:$F$1400,COMP_AUX!$G$13:$G$1400,_xlfn.XLOOKUP(A133,CUSTO_INSU!$A$12:$A$201,CUSTO_INSU!$G$12:$G$201))</f>
        <v>71.900000000000006</v>
      </c>
      <c r="G133" s="283">
        <f>TRUNC(TRUNC(E133,8)*F133,2)</f>
        <v>0.25</v>
      </c>
    </row>
    <row r="134" spans="1:7" s="31" customFormat="1" ht="40">
      <c r="A134" s="280">
        <v>91386</v>
      </c>
      <c r="B134" s="281" t="s">
        <v>289</v>
      </c>
      <c r="C134" s="282" t="s">
        <v>26</v>
      </c>
      <c r="D134" s="282" t="s">
        <v>237</v>
      </c>
      <c r="E134" s="298">
        <v>8.3000000000000001E-3</v>
      </c>
      <c r="F134" s="283">
        <f>_xlfn.XLOOKUP(A134,COMP_AUX!$F$13:$F$1400,COMP_AUX!$G$13:$G$1400,_xlfn.XLOOKUP(A134,CUSTO_INSU!$A$12:$A$201,CUSTO_INSU!$G$12:$G$201))</f>
        <v>274.66000000000003</v>
      </c>
      <c r="G134" s="283">
        <f>TRUNC(TRUNC(E134,8)*F134,2)</f>
        <v>2.27</v>
      </c>
    </row>
    <row r="135" spans="1:7" s="31" customFormat="1" ht="10.5">
      <c r="A135" s="284"/>
      <c r="B135" s="32"/>
      <c r="C135" s="32"/>
      <c r="D135" s="32"/>
      <c r="E135" s="285" t="s">
        <v>1300</v>
      </c>
      <c r="F135" s="285"/>
      <c r="G135" s="286">
        <f>SUM(G133:G134)</f>
        <v>2.52</v>
      </c>
    </row>
    <row r="136" spans="1:7" s="31" customFormat="1" ht="10.5">
      <c r="A136" s="284"/>
      <c r="B136" s="32"/>
      <c r="C136" s="32"/>
      <c r="D136" s="32"/>
      <c r="E136" s="287" t="s">
        <v>255</v>
      </c>
      <c r="F136" s="287">
        <f>A131</f>
        <v>95875</v>
      </c>
      <c r="G136" s="288">
        <f>SUM(G135)</f>
        <v>2.52</v>
      </c>
    </row>
    <row r="137" spans="1:7" s="31" customFormat="1" ht="10">
      <c r="A137" s="284"/>
      <c r="B137" s="32"/>
      <c r="C137" s="32"/>
      <c r="D137" s="32"/>
      <c r="E137" s="289"/>
      <c r="F137" s="289"/>
      <c r="G137" s="289"/>
    </row>
    <row r="138" spans="1:7" s="31" customFormat="1" ht="10.5">
      <c r="A138" s="275" t="s">
        <v>56</v>
      </c>
      <c r="B138" s="276" t="s">
        <v>891</v>
      </c>
      <c r="C138" s="276"/>
      <c r="D138" s="276"/>
      <c r="E138" s="276"/>
      <c r="F138" s="276"/>
      <c r="G138" s="276"/>
    </row>
    <row r="139" spans="1:7" s="31" customFormat="1" ht="21">
      <c r="A139" s="277" t="s">
        <v>260</v>
      </c>
      <c r="B139" s="278"/>
      <c r="C139" s="279" t="s">
        <v>4</v>
      </c>
      <c r="D139" s="279" t="s">
        <v>243</v>
      </c>
      <c r="E139" s="279" t="s">
        <v>244</v>
      </c>
      <c r="F139" s="279" t="s">
        <v>245</v>
      </c>
      <c r="G139" s="279" t="s">
        <v>246</v>
      </c>
    </row>
    <row r="140" spans="1:7" s="31" customFormat="1" ht="40">
      <c r="A140" s="280">
        <v>91634</v>
      </c>
      <c r="B140" s="281" t="s">
        <v>236</v>
      </c>
      <c r="C140" s="282" t="s">
        <v>26</v>
      </c>
      <c r="D140" s="282" t="s">
        <v>237</v>
      </c>
      <c r="E140" s="298">
        <v>4</v>
      </c>
      <c r="F140" s="283">
        <f>_xlfn.XLOOKUP(A140,COMP_AUX!$F$13:$F$1400,COMP_AUX!$G$13:$G$1400,_xlfn.XLOOKUP(A140,CUSTO_INSU!$A$12:$A$201,CUSTO_INSU!$G$12:$G$201))</f>
        <v>239.79999999999998</v>
      </c>
      <c r="G140" s="283">
        <f>ROUND(ROUND(E140,8)*F140,2)</f>
        <v>959.2</v>
      </c>
    </row>
    <row r="141" spans="1:7" s="31" customFormat="1" ht="10.5">
      <c r="A141" s="284"/>
      <c r="B141" s="32"/>
      <c r="C141" s="32"/>
      <c r="D141" s="32"/>
      <c r="E141" s="285" t="s">
        <v>1300</v>
      </c>
      <c r="F141" s="285"/>
      <c r="G141" s="286">
        <f>SUM(G140:G140)</f>
        <v>959.2</v>
      </c>
    </row>
    <row r="142" spans="1:7" s="31" customFormat="1" ht="21">
      <c r="A142" s="277" t="s">
        <v>242</v>
      </c>
      <c r="B142" s="278"/>
      <c r="C142" s="279" t="s">
        <v>4</v>
      </c>
      <c r="D142" s="279" t="s">
        <v>243</v>
      </c>
      <c r="E142" s="279" t="s">
        <v>244</v>
      </c>
      <c r="F142" s="279" t="s">
        <v>245</v>
      </c>
      <c r="G142" s="279" t="s">
        <v>246</v>
      </c>
    </row>
    <row r="143" spans="1:7" s="31" customFormat="1" ht="10">
      <c r="A143" s="280">
        <v>88247</v>
      </c>
      <c r="B143" s="281" t="s">
        <v>293</v>
      </c>
      <c r="C143" s="282" t="s">
        <v>26</v>
      </c>
      <c r="D143" s="282" t="s">
        <v>265</v>
      </c>
      <c r="E143" s="298">
        <v>8</v>
      </c>
      <c r="F143" s="283">
        <f>_xlfn.XLOOKUP(A143,COMP_AUX!$F$13:$F$1400,COMP_AUX!$G$13:$G$1400,_xlfn.XLOOKUP(A143,CUSTO_INSU!$A$12:$A$201,CUSTO_INSU!$G$12:$G$201))</f>
        <v>21.5</v>
      </c>
      <c r="G143" s="283">
        <f>ROUND(ROUND(E143,8)*F143,2)</f>
        <v>172</v>
      </c>
    </row>
    <row r="144" spans="1:7" s="31" customFormat="1" ht="10">
      <c r="A144" s="280">
        <v>88264</v>
      </c>
      <c r="B144" s="281" t="s">
        <v>295</v>
      </c>
      <c r="C144" s="282" t="s">
        <v>26</v>
      </c>
      <c r="D144" s="282" t="s">
        <v>265</v>
      </c>
      <c r="E144" s="298">
        <v>20</v>
      </c>
      <c r="F144" s="283">
        <f>_xlfn.XLOOKUP(A144,COMP_AUX!$F$13:$F$1400,COMP_AUX!$G$13:$G$1400,_xlfn.XLOOKUP(A144,CUSTO_INSU!$A$12:$A$201,CUSTO_INSU!$G$12:$G$201))</f>
        <v>25.55</v>
      </c>
      <c r="G144" s="283">
        <f>ROUND(ROUND(E144,8)*F144,2)</f>
        <v>511</v>
      </c>
    </row>
    <row r="145" spans="1:7" s="31" customFormat="1" ht="10.5">
      <c r="A145" s="284"/>
      <c r="B145" s="32"/>
      <c r="C145" s="32"/>
      <c r="D145" s="32"/>
      <c r="E145" s="285" t="s">
        <v>1303</v>
      </c>
      <c r="F145" s="285"/>
      <c r="G145" s="286">
        <f>SUM(G143:G144)</f>
        <v>683</v>
      </c>
    </row>
    <row r="146" spans="1:7" s="31" customFormat="1" ht="21">
      <c r="A146" s="403" t="s">
        <v>296</v>
      </c>
      <c r="B146" s="403"/>
      <c r="C146" s="403"/>
      <c r="D146" s="32"/>
      <c r="E146" s="287" t="s">
        <v>255</v>
      </c>
      <c r="F146" s="287" t="str">
        <f>A138</f>
        <v>JFPB-78575372</v>
      </c>
      <c r="G146" s="288">
        <f>SUM(G145,G141)</f>
        <v>1642.2</v>
      </c>
    </row>
    <row r="147" spans="1:7" s="31" customFormat="1" ht="10">
      <c r="A147" s="294"/>
      <c r="B147" s="295"/>
      <c r="C147" s="295"/>
      <c r="D147" s="32"/>
      <c r="E147" s="32"/>
      <c r="F147" s="32"/>
      <c r="G147" s="32"/>
    </row>
    <row r="148" spans="1:7" s="31" customFormat="1" ht="10">
      <c r="A148" s="284"/>
      <c r="B148" s="32"/>
      <c r="C148" s="32"/>
      <c r="D148" s="32"/>
      <c r="E148" s="289"/>
      <c r="F148" s="289"/>
      <c r="G148" s="289"/>
    </row>
    <row r="149" spans="1:7" s="31" customFormat="1" ht="10.5">
      <c r="A149" s="275" t="s">
        <v>60</v>
      </c>
      <c r="B149" s="276" t="s">
        <v>892</v>
      </c>
      <c r="C149" s="276"/>
      <c r="D149" s="276"/>
      <c r="E149" s="276"/>
      <c r="F149" s="276"/>
      <c r="G149" s="276"/>
    </row>
    <row r="150" spans="1:7" s="31" customFormat="1" ht="21">
      <c r="A150" s="277" t="s">
        <v>260</v>
      </c>
      <c r="B150" s="278"/>
      <c r="C150" s="279" t="s">
        <v>4</v>
      </c>
      <c r="D150" s="279" t="s">
        <v>243</v>
      </c>
      <c r="E150" s="279" t="s">
        <v>244</v>
      </c>
      <c r="F150" s="279" t="s">
        <v>245</v>
      </c>
      <c r="G150" s="279" t="s">
        <v>246</v>
      </c>
    </row>
    <row r="151" spans="1:7" s="31" customFormat="1" ht="40">
      <c r="A151" s="280">
        <v>91634</v>
      </c>
      <c r="B151" s="281" t="s">
        <v>236</v>
      </c>
      <c r="C151" s="282" t="s">
        <v>26</v>
      </c>
      <c r="D151" s="282" t="s">
        <v>237</v>
      </c>
      <c r="E151" s="298">
        <v>8</v>
      </c>
      <c r="F151" s="283">
        <f>_xlfn.XLOOKUP(A151,COMP_AUX!$F$13:$F$1400,COMP_AUX!$G$13:$G$1400,_xlfn.XLOOKUP(A151,CUSTO_INSU!$A$12:$A$201,CUSTO_INSU!$G$12:$G$201))</f>
        <v>239.79999999999998</v>
      </c>
      <c r="G151" s="283">
        <f>ROUND(ROUND(E151,8)*F151,2)</f>
        <v>1918.4</v>
      </c>
    </row>
    <row r="152" spans="1:7" s="31" customFormat="1" ht="10.5">
      <c r="A152" s="284"/>
      <c r="B152" s="32"/>
      <c r="C152" s="32"/>
      <c r="D152" s="32"/>
      <c r="E152" s="285" t="s">
        <v>1300</v>
      </c>
      <c r="F152" s="285"/>
      <c r="G152" s="286">
        <f>SUM(G151:G151)</f>
        <v>1918.4</v>
      </c>
    </row>
    <row r="153" spans="1:7" s="31" customFormat="1" ht="21">
      <c r="A153" s="277" t="s">
        <v>242</v>
      </c>
      <c r="B153" s="278"/>
      <c r="C153" s="279" t="s">
        <v>4</v>
      </c>
      <c r="D153" s="279" t="s">
        <v>243</v>
      </c>
      <c r="E153" s="279" t="s">
        <v>244</v>
      </c>
      <c r="F153" s="279" t="s">
        <v>245</v>
      </c>
      <c r="G153" s="279" t="s">
        <v>246</v>
      </c>
    </row>
    <row r="154" spans="1:7" s="31" customFormat="1" ht="10">
      <c r="A154" s="280">
        <v>88247</v>
      </c>
      <c r="B154" s="281" t="s">
        <v>293</v>
      </c>
      <c r="C154" s="282" t="s">
        <v>26</v>
      </c>
      <c r="D154" s="282" t="s">
        <v>265</v>
      </c>
      <c r="E154" s="298">
        <v>12</v>
      </c>
      <c r="F154" s="283">
        <f>_xlfn.XLOOKUP(A154,COMP_AUX!$F$13:$F$1400,COMP_AUX!$G$13:$G$1400,_xlfn.XLOOKUP(A154,CUSTO_INSU!$A$12:$A$201,CUSTO_INSU!$G$12:$G$201))</f>
        <v>21.5</v>
      </c>
      <c r="G154" s="283">
        <f>ROUND(ROUND(E154,8)*F154,2)</f>
        <v>258</v>
      </c>
    </row>
    <row r="155" spans="1:7" s="31" customFormat="1" ht="10">
      <c r="A155" s="280">
        <v>88264</v>
      </c>
      <c r="B155" s="281" t="s">
        <v>295</v>
      </c>
      <c r="C155" s="282" t="s">
        <v>26</v>
      </c>
      <c r="D155" s="282" t="s">
        <v>265</v>
      </c>
      <c r="E155" s="298">
        <v>20</v>
      </c>
      <c r="F155" s="283">
        <f>_xlfn.XLOOKUP(A155,COMP_AUX!$F$13:$F$1400,COMP_AUX!$G$13:$G$1400,_xlfn.XLOOKUP(A155,CUSTO_INSU!$A$12:$A$201,CUSTO_INSU!$G$12:$G$201))</f>
        <v>25.55</v>
      </c>
      <c r="G155" s="283">
        <f>ROUND(ROUND(E155,8)*F155,2)</f>
        <v>511</v>
      </c>
    </row>
    <row r="156" spans="1:7" s="31" customFormat="1" ht="10.5">
      <c r="A156" s="284"/>
      <c r="B156" s="32"/>
      <c r="C156" s="32"/>
      <c r="D156" s="32"/>
      <c r="E156" s="285" t="s">
        <v>1303</v>
      </c>
      <c r="F156" s="285"/>
      <c r="G156" s="286">
        <f>SUM(G154:G155)</f>
        <v>769</v>
      </c>
    </row>
    <row r="157" spans="1:7" s="31" customFormat="1" ht="21">
      <c r="A157" s="403" t="s">
        <v>296</v>
      </c>
      <c r="B157" s="403"/>
      <c r="C157" s="403"/>
      <c r="D157" s="32"/>
      <c r="E157" s="287" t="s">
        <v>255</v>
      </c>
      <c r="F157" s="287" t="str">
        <f>A149</f>
        <v>JFPB-83751331</v>
      </c>
      <c r="G157" s="288">
        <f>SUM(G156,G152)</f>
        <v>2687.4</v>
      </c>
    </row>
    <row r="158" spans="1:7" s="31" customFormat="1" ht="10">
      <c r="A158" s="294"/>
      <c r="B158" s="295"/>
      <c r="C158" s="295"/>
      <c r="D158" s="32"/>
      <c r="E158" s="32"/>
      <c r="F158" s="32"/>
      <c r="G158" s="32"/>
    </row>
    <row r="159" spans="1:7" s="31" customFormat="1" ht="10">
      <c r="A159" s="284"/>
      <c r="B159" s="32"/>
      <c r="C159" s="32"/>
      <c r="D159" s="32"/>
      <c r="E159" s="289"/>
      <c r="F159" s="289"/>
      <c r="G159" s="289"/>
    </row>
    <row r="160" spans="1:7" s="31" customFormat="1" ht="31.5">
      <c r="A160" s="275" t="s">
        <v>65</v>
      </c>
      <c r="B160" s="276" t="s">
        <v>893</v>
      </c>
      <c r="C160" s="276"/>
      <c r="D160" s="276"/>
      <c r="E160" s="276"/>
      <c r="F160" s="276"/>
      <c r="G160" s="276"/>
    </row>
    <row r="161" spans="1:7" s="31" customFormat="1" ht="21">
      <c r="A161" s="277" t="s">
        <v>242</v>
      </c>
      <c r="B161" s="278"/>
      <c r="C161" s="279" t="s">
        <v>4</v>
      </c>
      <c r="D161" s="279" t="s">
        <v>243</v>
      </c>
      <c r="E161" s="279" t="s">
        <v>244</v>
      </c>
      <c r="F161" s="279" t="s">
        <v>245</v>
      </c>
      <c r="G161" s="279" t="s">
        <v>246</v>
      </c>
    </row>
    <row r="162" spans="1:7" s="31" customFormat="1" ht="10">
      <c r="A162" s="280">
        <v>88247</v>
      </c>
      <c r="B162" s="281" t="s">
        <v>293</v>
      </c>
      <c r="C162" s="282" t="s">
        <v>26</v>
      </c>
      <c r="D162" s="282" t="s">
        <v>265</v>
      </c>
      <c r="E162" s="298">
        <v>60</v>
      </c>
      <c r="F162" s="283">
        <f>_xlfn.XLOOKUP(A162,COMP_AUX!$F$13:$F$1400,COMP_AUX!$G$13:$G$1400,_xlfn.XLOOKUP(A162,CUSTO_INSU!$A$12:$A$201,CUSTO_INSU!$G$12:$G$201))</f>
        <v>21.5</v>
      </c>
      <c r="G162" s="283">
        <f>ROUND(ROUND(E162,8)*F162,2)</f>
        <v>1290</v>
      </c>
    </row>
    <row r="163" spans="1:7" s="31" customFormat="1" ht="10">
      <c r="A163" s="280">
        <v>88264</v>
      </c>
      <c r="B163" s="281" t="s">
        <v>295</v>
      </c>
      <c r="C163" s="282" t="s">
        <v>26</v>
      </c>
      <c r="D163" s="282" t="s">
        <v>265</v>
      </c>
      <c r="E163" s="298">
        <v>60</v>
      </c>
      <c r="F163" s="283">
        <f>_xlfn.XLOOKUP(A163,COMP_AUX!$F$13:$F$1400,COMP_AUX!$G$13:$G$1400,_xlfn.XLOOKUP(A163,CUSTO_INSU!$A$12:$A$201,CUSTO_INSU!$G$12:$G$201))</f>
        <v>25.55</v>
      </c>
      <c r="G163" s="283">
        <f>ROUND(ROUND(E163,8)*F163,2)</f>
        <v>1533</v>
      </c>
    </row>
    <row r="164" spans="1:7" s="31" customFormat="1" ht="20">
      <c r="A164" s="280">
        <v>88279</v>
      </c>
      <c r="B164" s="281" t="s">
        <v>297</v>
      </c>
      <c r="C164" s="282" t="s">
        <v>26</v>
      </c>
      <c r="D164" s="282" t="s">
        <v>265</v>
      </c>
      <c r="E164" s="298">
        <v>60</v>
      </c>
      <c r="F164" s="283">
        <f>_xlfn.XLOOKUP(A164,COMP_AUX!$F$13:$F$1400,COMP_AUX!$G$13:$G$1400,_xlfn.XLOOKUP(A164,CUSTO_INSU!$A$12:$A$201,CUSTO_INSU!$G$12:$G$201))</f>
        <v>24.520000000000003</v>
      </c>
      <c r="G164" s="283">
        <f>ROUND(ROUND(E164,8)*F164,2)</f>
        <v>1471.2</v>
      </c>
    </row>
    <row r="165" spans="1:7" s="31" customFormat="1" ht="10.5">
      <c r="A165" s="284"/>
      <c r="B165" s="32"/>
      <c r="C165" s="32"/>
      <c r="D165" s="32"/>
      <c r="E165" s="285" t="s">
        <v>1303</v>
      </c>
      <c r="F165" s="285"/>
      <c r="G165" s="286">
        <f>SUM(G162:G164)</f>
        <v>4294.2</v>
      </c>
    </row>
    <row r="166" spans="1:7" s="31" customFormat="1" ht="21">
      <c r="A166" s="403" t="s">
        <v>298</v>
      </c>
      <c r="B166" s="403"/>
      <c r="C166" s="403"/>
      <c r="D166" s="32"/>
      <c r="E166" s="287" t="s">
        <v>255</v>
      </c>
      <c r="F166" s="287" t="str">
        <f>A160</f>
        <v>JFPB-57729649</v>
      </c>
      <c r="G166" s="288">
        <f>SUM(G165)</f>
        <v>4294.2</v>
      </c>
    </row>
    <row r="167" spans="1:7" s="31" customFormat="1" ht="10">
      <c r="A167" s="294"/>
      <c r="B167" s="295"/>
      <c r="C167" s="295"/>
      <c r="D167" s="32"/>
      <c r="E167" s="32"/>
      <c r="F167" s="32"/>
      <c r="G167" s="32"/>
    </row>
    <row r="168" spans="1:7" s="31" customFormat="1" ht="10">
      <c r="A168" s="284"/>
      <c r="B168" s="32"/>
      <c r="C168" s="32"/>
      <c r="D168" s="32"/>
      <c r="E168" s="289"/>
      <c r="F168" s="289"/>
      <c r="G168" s="289"/>
    </row>
    <row r="169" spans="1:7" s="31" customFormat="1" ht="42">
      <c r="A169" s="275" t="s">
        <v>68</v>
      </c>
      <c r="B169" s="276" t="s">
        <v>894</v>
      </c>
      <c r="C169" s="276"/>
      <c r="D169" s="276"/>
      <c r="E169" s="276"/>
      <c r="F169" s="276"/>
      <c r="G169" s="276"/>
    </row>
    <row r="170" spans="1:7" s="31" customFormat="1" ht="21">
      <c r="A170" s="277" t="s">
        <v>256</v>
      </c>
      <c r="B170" s="278"/>
      <c r="C170" s="279" t="s">
        <v>4</v>
      </c>
      <c r="D170" s="279" t="s">
        <v>243</v>
      </c>
      <c r="E170" s="279" t="s">
        <v>244</v>
      </c>
      <c r="F170" s="279" t="s">
        <v>245</v>
      </c>
      <c r="G170" s="279" t="s">
        <v>246</v>
      </c>
    </row>
    <row r="171" spans="1:7" s="31" customFormat="1" ht="20">
      <c r="A171" s="280">
        <v>21127</v>
      </c>
      <c r="B171" s="281" t="s">
        <v>299</v>
      </c>
      <c r="C171" s="282" t="s">
        <v>26</v>
      </c>
      <c r="D171" s="282" t="s">
        <v>14</v>
      </c>
      <c r="E171" s="298">
        <v>8.9999999999999993E-3</v>
      </c>
      <c r="F171" s="283">
        <f>_xlfn.XLOOKUP(A171,COMP_AUX!$F$13:$F$1400,COMP_AUX!$G$13:$G$1400,_xlfn.XLOOKUP(A171,CUSTO_INSU!$A$12:$A$201,CUSTO_INSU!$G$12:$G$201))</f>
        <v>3.4</v>
      </c>
      <c r="G171" s="283">
        <f>ROUND(ROUND(E171,8)*F171,2)</f>
        <v>0.03</v>
      </c>
    </row>
    <row r="172" spans="1:7" s="31" customFormat="1" ht="10.5">
      <c r="A172" s="284"/>
      <c r="B172" s="32"/>
      <c r="C172" s="32"/>
      <c r="D172" s="32"/>
      <c r="E172" s="285" t="s">
        <v>1305</v>
      </c>
      <c r="F172" s="285"/>
      <c r="G172" s="286">
        <f>SUM(G171:G171)</f>
        <v>0.03</v>
      </c>
    </row>
    <row r="173" spans="1:7" s="31" customFormat="1" ht="21">
      <c r="A173" s="277" t="s">
        <v>242</v>
      </c>
      <c r="B173" s="278"/>
      <c r="C173" s="279" t="s">
        <v>4</v>
      </c>
      <c r="D173" s="279" t="s">
        <v>243</v>
      </c>
      <c r="E173" s="279" t="s">
        <v>244</v>
      </c>
      <c r="F173" s="279" t="s">
        <v>245</v>
      </c>
      <c r="G173" s="279" t="s">
        <v>246</v>
      </c>
    </row>
    <row r="174" spans="1:7" s="31" customFormat="1" ht="10">
      <c r="A174" s="280">
        <v>88247</v>
      </c>
      <c r="B174" s="281" t="s">
        <v>293</v>
      </c>
      <c r="C174" s="282" t="s">
        <v>26</v>
      </c>
      <c r="D174" s="282" t="s">
        <v>265</v>
      </c>
      <c r="E174" s="298">
        <v>0.3044</v>
      </c>
      <c r="F174" s="283">
        <f>_xlfn.XLOOKUP(A174,COMP_AUX!$F$13:$F$1400,COMP_AUX!$G$13:$G$1400,_xlfn.XLOOKUP(A174,CUSTO_INSU!$A$12:$A$201,CUSTO_INSU!$G$12:$G$201))</f>
        <v>21.5</v>
      </c>
      <c r="G174" s="283">
        <f>ROUND(ROUND(E174,8)*F174,2)</f>
        <v>6.54</v>
      </c>
    </row>
    <row r="175" spans="1:7" s="31" customFormat="1" ht="10">
      <c r="A175" s="280">
        <v>88264</v>
      </c>
      <c r="B175" s="281" t="s">
        <v>295</v>
      </c>
      <c r="C175" s="282" t="s">
        <v>26</v>
      </c>
      <c r="D175" s="282" t="s">
        <v>265</v>
      </c>
      <c r="E175" s="298">
        <v>0.3044</v>
      </c>
      <c r="F175" s="283">
        <f>_xlfn.XLOOKUP(A175,COMP_AUX!$F$13:$F$1400,COMP_AUX!$G$13:$G$1400,_xlfn.XLOOKUP(A175,CUSTO_INSU!$A$12:$A$201,CUSTO_INSU!$G$12:$G$201))</f>
        <v>25.55</v>
      </c>
      <c r="G175" s="283">
        <f>ROUND(ROUND(E175,8)*F175,2)</f>
        <v>7.78</v>
      </c>
    </row>
    <row r="176" spans="1:7" s="31" customFormat="1" ht="10.5">
      <c r="A176" s="284"/>
      <c r="B176" s="32"/>
      <c r="C176" s="32"/>
      <c r="D176" s="32"/>
      <c r="E176" s="285" t="s">
        <v>1303</v>
      </c>
      <c r="F176" s="285"/>
      <c r="G176" s="286">
        <f>SUM(G174:G175)</f>
        <v>14.32</v>
      </c>
    </row>
    <row r="177" spans="1:7" s="31" customFormat="1" ht="21">
      <c r="A177" s="403" t="s">
        <v>300</v>
      </c>
      <c r="B177" s="403"/>
      <c r="C177" s="403"/>
      <c r="D177" s="32"/>
      <c r="E177" s="287" t="s">
        <v>255</v>
      </c>
      <c r="F177" s="287" t="str">
        <f>A169</f>
        <v>JFPB-54419820</v>
      </c>
      <c r="G177" s="288">
        <f>SUM(G176,G172)</f>
        <v>14.35</v>
      </c>
    </row>
    <row r="178" spans="1:7" s="31" customFormat="1" ht="10">
      <c r="A178" s="294"/>
      <c r="B178" s="295"/>
      <c r="C178" s="295"/>
      <c r="D178" s="32"/>
      <c r="E178" s="32"/>
      <c r="F178" s="32"/>
      <c r="G178" s="32"/>
    </row>
    <row r="179" spans="1:7" s="31" customFormat="1" ht="10">
      <c r="A179" s="284"/>
      <c r="B179" s="32"/>
      <c r="C179" s="32"/>
      <c r="D179" s="32"/>
      <c r="E179" s="289"/>
      <c r="F179" s="289"/>
      <c r="G179" s="289"/>
    </row>
    <row r="180" spans="1:7" s="31" customFormat="1" ht="31.5">
      <c r="A180" s="275" t="s">
        <v>74</v>
      </c>
      <c r="B180" s="276" t="s">
        <v>895</v>
      </c>
      <c r="C180" s="276"/>
      <c r="D180" s="276"/>
      <c r="E180" s="276"/>
      <c r="F180" s="276"/>
      <c r="G180" s="276"/>
    </row>
    <row r="181" spans="1:7" s="31" customFormat="1" ht="21">
      <c r="A181" s="277" t="s">
        <v>242</v>
      </c>
      <c r="B181" s="278"/>
      <c r="C181" s="279" t="s">
        <v>4</v>
      </c>
      <c r="D181" s="279" t="s">
        <v>243</v>
      </c>
      <c r="E181" s="279" t="s">
        <v>244</v>
      </c>
      <c r="F181" s="279" t="s">
        <v>245</v>
      </c>
      <c r="G181" s="279" t="s">
        <v>246</v>
      </c>
    </row>
    <row r="182" spans="1:7" s="31" customFormat="1" ht="10">
      <c r="A182" s="280">
        <v>88316</v>
      </c>
      <c r="B182" s="281" t="s">
        <v>275</v>
      </c>
      <c r="C182" s="282" t="s">
        <v>26</v>
      </c>
      <c r="D182" s="282" t="s">
        <v>265</v>
      </c>
      <c r="E182" s="298">
        <v>1</v>
      </c>
      <c r="F182" s="283">
        <f>_xlfn.XLOOKUP(A182,COMP_AUX!$F$13:$F$1400,COMP_AUX!$G$13:$G$1400,_xlfn.XLOOKUP(A182,CUSTO_INSU!$A$12:$A$201,CUSTO_INSU!$G$12:$G$201))</f>
        <v>20.27</v>
      </c>
      <c r="G182" s="283">
        <f>ROUND(ROUND(E182,8)*F182,2)</f>
        <v>20.27</v>
      </c>
    </row>
    <row r="183" spans="1:7" s="31" customFormat="1" ht="10.5">
      <c r="A183" s="284"/>
      <c r="B183" s="32"/>
      <c r="C183" s="32"/>
      <c r="D183" s="32"/>
      <c r="E183" s="285" t="s">
        <v>1303</v>
      </c>
      <c r="F183" s="285"/>
      <c r="G183" s="286">
        <f>SUM(G182:G182)</f>
        <v>20.27</v>
      </c>
    </row>
    <row r="184" spans="1:7" s="31" customFormat="1" ht="21">
      <c r="A184" s="403" t="s">
        <v>301</v>
      </c>
      <c r="B184" s="403"/>
      <c r="C184" s="403"/>
      <c r="D184" s="32"/>
      <c r="E184" s="287" t="s">
        <v>255</v>
      </c>
      <c r="F184" s="287" t="str">
        <f>A180</f>
        <v>JFPB-83571042</v>
      </c>
      <c r="G184" s="288">
        <f>SUM(G183)</f>
        <v>20.27</v>
      </c>
    </row>
    <row r="185" spans="1:7" s="31" customFormat="1" ht="10">
      <c r="A185" s="294"/>
      <c r="B185" s="295"/>
      <c r="C185" s="295"/>
      <c r="D185" s="32"/>
      <c r="E185" s="32"/>
      <c r="F185" s="32"/>
      <c r="G185" s="32"/>
    </row>
    <row r="186" spans="1:7" s="31" customFormat="1" ht="10">
      <c r="A186" s="284"/>
      <c r="B186" s="32"/>
      <c r="C186" s="32"/>
      <c r="D186" s="32"/>
      <c r="E186" s="289"/>
      <c r="F186" s="289"/>
      <c r="G186" s="289"/>
    </row>
    <row r="187" spans="1:7" s="31" customFormat="1" ht="10.5">
      <c r="A187" s="275" t="s">
        <v>77</v>
      </c>
      <c r="B187" s="276" t="s">
        <v>896</v>
      </c>
      <c r="C187" s="276"/>
      <c r="D187" s="276"/>
      <c r="E187" s="276"/>
      <c r="F187" s="276"/>
      <c r="G187" s="276"/>
    </row>
    <row r="188" spans="1:7" s="31" customFormat="1" ht="21">
      <c r="A188" s="277" t="s">
        <v>256</v>
      </c>
      <c r="B188" s="278"/>
      <c r="C188" s="279" t="s">
        <v>4</v>
      </c>
      <c r="D188" s="279" t="s">
        <v>243</v>
      </c>
      <c r="E188" s="279" t="s">
        <v>244</v>
      </c>
      <c r="F188" s="279" t="s">
        <v>245</v>
      </c>
      <c r="G188" s="279" t="s">
        <v>246</v>
      </c>
    </row>
    <row r="189" spans="1:7" s="31" customFormat="1" ht="10">
      <c r="A189" s="280">
        <v>4791</v>
      </c>
      <c r="B189" s="281" t="s">
        <v>302</v>
      </c>
      <c r="C189" s="282" t="s">
        <v>26</v>
      </c>
      <c r="D189" s="282" t="s">
        <v>83</v>
      </c>
      <c r="E189" s="298">
        <v>0.36</v>
      </c>
      <c r="F189" s="283">
        <f>_xlfn.XLOOKUP(A189,COMP_AUX!$F$13:$F$1400,COMP_AUX!$G$13:$G$1400,_xlfn.XLOOKUP(A189,CUSTO_INSU!$A$12:$A$201,CUSTO_INSU!$G$12:$G$201))</f>
        <v>40.71</v>
      </c>
      <c r="G189" s="283">
        <f>ROUND(ROUND(E189,8)*F189,2)</f>
        <v>14.66</v>
      </c>
    </row>
    <row r="190" spans="1:7" s="31" customFormat="1" ht="10">
      <c r="A190" s="280">
        <v>1379</v>
      </c>
      <c r="B190" s="281" t="s">
        <v>304</v>
      </c>
      <c r="C190" s="282" t="s">
        <v>26</v>
      </c>
      <c r="D190" s="282" t="s">
        <v>83</v>
      </c>
      <c r="E190" s="298">
        <v>1.2</v>
      </c>
      <c r="F190" s="283">
        <f>_xlfn.XLOOKUP(A190,COMP_AUX!$F$13:$F$1400,COMP_AUX!$G$13:$G$1400,_xlfn.XLOOKUP(A190,CUSTO_INSU!$A$12:$A$201,CUSTO_INSU!$G$12:$G$201))</f>
        <v>0.7</v>
      </c>
      <c r="G190" s="283">
        <f>ROUND(ROUND(E190,8)*F190,2)</f>
        <v>0.84</v>
      </c>
    </row>
    <row r="191" spans="1:7" s="31" customFormat="1" ht="10.5">
      <c r="A191" s="284"/>
      <c r="B191" s="32"/>
      <c r="C191" s="32"/>
      <c r="D191" s="32"/>
      <c r="E191" s="285" t="s">
        <v>1305</v>
      </c>
      <c r="F191" s="285"/>
      <c r="G191" s="286">
        <f>SUM(G189:G190)</f>
        <v>15.5</v>
      </c>
    </row>
    <row r="192" spans="1:7" s="31" customFormat="1" ht="21">
      <c r="A192" s="277" t="s">
        <v>242</v>
      </c>
      <c r="B192" s="278"/>
      <c r="C192" s="279" t="s">
        <v>4</v>
      </c>
      <c r="D192" s="279" t="s">
        <v>243</v>
      </c>
      <c r="E192" s="279" t="s">
        <v>244</v>
      </c>
      <c r="F192" s="279" t="s">
        <v>245</v>
      </c>
      <c r="G192" s="279" t="s">
        <v>246</v>
      </c>
    </row>
    <row r="193" spans="1:7" s="31" customFormat="1" ht="10">
      <c r="A193" s="280">
        <v>88309</v>
      </c>
      <c r="B193" s="281" t="s">
        <v>286</v>
      </c>
      <c r="C193" s="282" t="s">
        <v>26</v>
      </c>
      <c r="D193" s="282" t="s">
        <v>265</v>
      </c>
      <c r="E193" s="298">
        <v>0.2</v>
      </c>
      <c r="F193" s="283">
        <f>_xlfn.XLOOKUP(A193,COMP_AUX!$F$13:$F$1400,COMP_AUX!$G$13:$G$1400,_xlfn.XLOOKUP(A193,CUSTO_INSU!$A$12:$A$201,CUSTO_INSU!$G$12:$G$201))</f>
        <v>25.21</v>
      </c>
      <c r="G193" s="283">
        <f>ROUND(ROUND(E193,8)*F193,2)</f>
        <v>5.04</v>
      </c>
    </row>
    <row r="194" spans="1:7" s="31" customFormat="1" ht="10">
      <c r="A194" s="280">
        <v>88316</v>
      </c>
      <c r="B194" s="281" t="s">
        <v>275</v>
      </c>
      <c r="C194" s="282" t="s">
        <v>26</v>
      </c>
      <c r="D194" s="282" t="s">
        <v>265</v>
      </c>
      <c r="E194" s="298">
        <v>0.2</v>
      </c>
      <c r="F194" s="283">
        <f>_xlfn.XLOOKUP(A194,COMP_AUX!$F$13:$F$1400,COMP_AUX!$G$13:$G$1400,_xlfn.XLOOKUP(A194,CUSTO_INSU!$A$12:$A$201,CUSTO_INSU!$G$12:$G$201))</f>
        <v>20.27</v>
      </c>
      <c r="G194" s="283">
        <f>ROUND(ROUND(E194,8)*F194,2)</f>
        <v>4.05</v>
      </c>
    </row>
    <row r="195" spans="1:7" s="31" customFormat="1" ht="10.5">
      <c r="A195" s="284"/>
      <c r="B195" s="32"/>
      <c r="C195" s="32"/>
      <c r="D195" s="32"/>
      <c r="E195" s="285" t="s">
        <v>1303</v>
      </c>
      <c r="F195" s="285"/>
      <c r="G195" s="286">
        <f>SUM(G193:G194)</f>
        <v>9.09</v>
      </c>
    </row>
    <row r="196" spans="1:7" s="31" customFormat="1" ht="21">
      <c r="A196" s="403" t="s">
        <v>305</v>
      </c>
      <c r="B196" s="403"/>
      <c r="C196" s="403"/>
      <c r="D196" s="32"/>
      <c r="E196" s="287" t="s">
        <v>255</v>
      </c>
      <c r="F196" s="287" t="str">
        <f>A187</f>
        <v>JFPB-26610867</v>
      </c>
      <c r="G196" s="288">
        <f>SUM(G195,G191)</f>
        <v>24.59</v>
      </c>
    </row>
    <row r="197" spans="1:7" s="31" customFormat="1" ht="10">
      <c r="A197" s="294"/>
      <c r="B197" s="295"/>
      <c r="C197" s="295"/>
      <c r="D197" s="32"/>
      <c r="E197" s="32"/>
      <c r="F197" s="32"/>
      <c r="G197" s="32"/>
    </row>
    <row r="198" spans="1:7" s="31" customFormat="1" ht="10">
      <c r="A198" s="284"/>
      <c r="B198" s="32"/>
      <c r="C198" s="32"/>
      <c r="D198" s="32"/>
      <c r="E198" s="289"/>
      <c r="F198" s="289"/>
      <c r="G198" s="289"/>
    </row>
    <row r="199" spans="1:7" s="31" customFormat="1" ht="31.5">
      <c r="A199" s="275">
        <v>103075</v>
      </c>
      <c r="B199" s="276" t="s">
        <v>897</v>
      </c>
      <c r="C199" s="276"/>
      <c r="D199" s="276"/>
      <c r="E199" s="276"/>
      <c r="F199" s="276"/>
      <c r="G199" s="276"/>
    </row>
    <row r="200" spans="1:7" s="31" customFormat="1" ht="21">
      <c r="A200" s="277" t="s">
        <v>250</v>
      </c>
      <c r="B200" s="278"/>
      <c r="C200" s="279" t="s">
        <v>4</v>
      </c>
      <c r="D200" s="279" t="s">
        <v>243</v>
      </c>
      <c r="E200" s="279" t="s">
        <v>244</v>
      </c>
      <c r="F200" s="279" t="s">
        <v>245</v>
      </c>
      <c r="G200" s="279" t="s">
        <v>246</v>
      </c>
    </row>
    <row r="201" spans="1:7" s="31" customFormat="1" ht="20">
      <c r="A201" s="280">
        <v>97097</v>
      </c>
      <c r="B201" s="281" t="s">
        <v>306</v>
      </c>
      <c r="C201" s="282" t="s">
        <v>26</v>
      </c>
      <c r="D201" s="282" t="s">
        <v>34</v>
      </c>
      <c r="E201" s="298">
        <v>1</v>
      </c>
      <c r="F201" s="283">
        <f>_xlfn.XLOOKUP(A201,COMP_AUX!$F$13:$F$1400,COMP_AUX!$G$13:$G$1400,_xlfn.XLOOKUP(A201,CUSTO_INSU!$A$12:$A$201,CUSTO_INSU!$G$12:$G$201))</f>
        <v>52.28</v>
      </c>
      <c r="G201" s="283">
        <f t="shared" ref="G201:G207" si="0">TRUNC(TRUNC(E201,8)*F201,2)</f>
        <v>52.28</v>
      </c>
    </row>
    <row r="202" spans="1:7" s="31" customFormat="1" ht="20">
      <c r="A202" s="280">
        <v>97092</v>
      </c>
      <c r="B202" s="281" t="s">
        <v>307</v>
      </c>
      <c r="C202" s="282" t="s">
        <v>26</v>
      </c>
      <c r="D202" s="282" t="s">
        <v>83</v>
      </c>
      <c r="E202" s="298">
        <v>3.11</v>
      </c>
      <c r="F202" s="283">
        <f>_xlfn.XLOOKUP(A202,COMP_AUX!$F$13:$F$1400,COMP_AUX!$G$13:$G$1400,_xlfn.XLOOKUP(A202,CUSTO_INSU!$A$12:$A$201,CUSTO_INSU!$G$12:$G$201))</f>
        <v>13.11</v>
      </c>
      <c r="G202" s="283">
        <f t="shared" si="0"/>
        <v>40.770000000000003</v>
      </c>
    </row>
    <row r="203" spans="1:7" s="31" customFormat="1" ht="30">
      <c r="A203" s="280">
        <v>97087</v>
      </c>
      <c r="B203" s="281" t="s">
        <v>308</v>
      </c>
      <c r="C203" s="282" t="s">
        <v>26</v>
      </c>
      <c r="D203" s="282" t="s">
        <v>34</v>
      </c>
      <c r="E203" s="298">
        <v>1</v>
      </c>
      <c r="F203" s="283">
        <f>_xlfn.XLOOKUP(A203,COMP_AUX!$F$13:$F$1400,COMP_AUX!$G$13:$G$1400,_xlfn.XLOOKUP(A203,CUSTO_INSU!$A$12:$A$201,CUSTO_INSU!$G$12:$G$201))</f>
        <v>2.96</v>
      </c>
      <c r="G203" s="283">
        <f t="shared" si="0"/>
        <v>2.96</v>
      </c>
    </row>
    <row r="204" spans="1:7" s="31" customFormat="1" ht="30">
      <c r="A204" s="280">
        <v>97083</v>
      </c>
      <c r="B204" s="281" t="s">
        <v>309</v>
      </c>
      <c r="C204" s="282" t="s">
        <v>26</v>
      </c>
      <c r="D204" s="282" t="s">
        <v>34</v>
      </c>
      <c r="E204" s="298">
        <v>1</v>
      </c>
      <c r="F204" s="283">
        <f>_xlfn.XLOOKUP(A204,COMP_AUX!$F$13:$F$1400,COMP_AUX!$G$13:$G$1400,_xlfn.XLOOKUP(A204,CUSTO_INSU!$A$12:$A$201,CUSTO_INSU!$G$12:$G$201))</f>
        <v>3.1199999999999997</v>
      </c>
      <c r="G204" s="283">
        <f t="shared" si="0"/>
        <v>3.12</v>
      </c>
    </row>
    <row r="205" spans="1:7" s="31" customFormat="1" ht="30">
      <c r="A205" s="280">
        <v>97096</v>
      </c>
      <c r="B205" s="281" t="s">
        <v>310</v>
      </c>
      <c r="C205" s="282" t="s">
        <v>26</v>
      </c>
      <c r="D205" s="282" t="s">
        <v>45</v>
      </c>
      <c r="E205" s="298">
        <v>0.15</v>
      </c>
      <c r="F205" s="283">
        <f>_xlfn.XLOOKUP(A205,COMP_AUX!$F$13:$F$1400,COMP_AUX!$G$13:$G$1400,_xlfn.XLOOKUP(A205,CUSTO_INSU!$A$12:$A$201,CUSTO_INSU!$G$12:$G$201))</f>
        <v>648.56999999999994</v>
      </c>
      <c r="G205" s="283">
        <f t="shared" si="0"/>
        <v>97.28</v>
      </c>
    </row>
    <row r="206" spans="1:7" s="31" customFormat="1" ht="30">
      <c r="A206" s="280">
        <v>97086</v>
      </c>
      <c r="B206" s="281" t="s">
        <v>311</v>
      </c>
      <c r="C206" s="282" t="s">
        <v>26</v>
      </c>
      <c r="D206" s="282" t="s">
        <v>34</v>
      </c>
      <c r="E206" s="298">
        <v>0.1</v>
      </c>
      <c r="F206" s="283">
        <f>_xlfn.XLOOKUP(A206,COMP_AUX!$F$13:$F$1400,COMP_AUX!$G$13:$G$1400,_xlfn.XLOOKUP(A206,CUSTO_INSU!$A$12:$A$201,CUSTO_INSU!$G$12:$G$201))</f>
        <v>119.27000000000001</v>
      </c>
      <c r="G206" s="283">
        <f t="shared" si="0"/>
        <v>11.92</v>
      </c>
    </row>
    <row r="207" spans="1:7" s="31" customFormat="1" ht="30">
      <c r="A207" s="280">
        <v>96624</v>
      </c>
      <c r="B207" s="281" t="s">
        <v>312</v>
      </c>
      <c r="C207" s="282" t="s">
        <v>26</v>
      </c>
      <c r="D207" s="282" t="s">
        <v>45</v>
      </c>
      <c r="E207" s="298">
        <v>0.1</v>
      </c>
      <c r="F207" s="283">
        <f>_xlfn.XLOOKUP(A207,COMP_AUX!$F$13:$F$1400,COMP_AUX!$G$13:$G$1400,_xlfn.XLOOKUP(A207,CUSTO_INSU!$A$12:$A$201,CUSTO_INSU!$G$12:$G$201))</f>
        <v>172</v>
      </c>
      <c r="G207" s="283">
        <f t="shared" si="0"/>
        <v>17.2</v>
      </c>
    </row>
    <row r="208" spans="1:7" s="31" customFormat="1" ht="21">
      <c r="A208" s="284"/>
      <c r="B208" s="32"/>
      <c r="C208" s="32"/>
      <c r="D208" s="32"/>
      <c r="E208" s="285" t="s">
        <v>254</v>
      </c>
      <c r="F208" s="285"/>
      <c r="G208" s="286">
        <f>SUM(G201:G207)</f>
        <v>225.53</v>
      </c>
    </row>
    <row r="209" spans="1:7" s="31" customFormat="1" ht="10.5">
      <c r="A209" s="284"/>
      <c r="B209" s="32"/>
      <c r="C209" s="32"/>
      <c r="D209" s="32"/>
      <c r="E209" s="287" t="s">
        <v>255</v>
      </c>
      <c r="F209" s="287">
        <f>A199</f>
        <v>103075</v>
      </c>
      <c r="G209" s="288">
        <f>SUM(G208)</f>
        <v>225.53</v>
      </c>
    </row>
    <row r="210" spans="1:7" s="31" customFormat="1" ht="10">
      <c r="A210" s="284"/>
      <c r="B210" s="32"/>
      <c r="C210" s="32"/>
      <c r="D210" s="32"/>
      <c r="E210" s="289"/>
      <c r="F210" s="289"/>
      <c r="G210" s="289"/>
    </row>
    <row r="211" spans="1:7" s="31" customFormat="1" ht="42">
      <c r="A211" s="275">
        <v>100766</v>
      </c>
      <c r="B211" s="276" t="s">
        <v>898</v>
      </c>
      <c r="C211" s="276"/>
      <c r="D211" s="276"/>
      <c r="E211" s="276"/>
      <c r="F211" s="276"/>
      <c r="G211" s="276"/>
    </row>
    <row r="212" spans="1:7" s="31" customFormat="1" ht="21">
      <c r="A212" s="277" t="s">
        <v>260</v>
      </c>
      <c r="B212" s="278"/>
      <c r="C212" s="279" t="s">
        <v>4</v>
      </c>
      <c r="D212" s="279" t="s">
        <v>243</v>
      </c>
      <c r="E212" s="279" t="s">
        <v>244</v>
      </c>
      <c r="F212" s="279" t="s">
        <v>245</v>
      </c>
      <c r="G212" s="279" t="s">
        <v>246</v>
      </c>
    </row>
    <row r="213" spans="1:7" s="31" customFormat="1" ht="30">
      <c r="A213" s="280">
        <v>93288</v>
      </c>
      <c r="B213" s="281" t="s">
        <v>313</v>
      </c>
      <c r="C213" s="282" t="s">
        <v>26</v>
      </c>
      <c r="D213" s="282" t="s">
        <v>234</v>
      </c>
      <c r="E213" s="298">
        <v>1.4E-3</v>
      </c>
      <c r="F213" s="283">
        <f>_xlfn.XLOOKUP(A213,COMP_AUX!$F$13:$F$1400,COMP_AUX!$G$13:$G$1400,_xlfn.XLOOKUP(A213,CUSTO_INSU!$A$12:$A$201,CUSTO_INSU!$G$12:$G$201))</f>
        <v>178.04999999999998</v>
      </c>
      <c r="G213" s="283">
        <f>TRUNC(TRUNC(E213,8)*F213,2)</f>
        <v>0.24</v>
      </c>
    </row>
    <row r="214" spans="1:7" s="31" customFormat="1" ht="30">
      <c r="A214" s="280">
        <v>93287</v>
      </c>
      <c r="B214" s="281" t="s">
        <v>314</v>
      </c>
      <c r="C214" s="282" t="s">
        <v>26</v>
      </c>
      <c r="D214" s="282" t="s">
        <v>237</v>
      </c>
      <c r="E214" s="298">
        <v>1.5100000000000001E-3</v>
      </c>
      <c r="F214" s="283">
        <f>_xlfn.XLOOKUP(A214,COMP_AUX!$F$13:$F$1400,COMP_AUX!$G$13:$G$1400,_xlfn.XLOOKUP(A214,CUSTO_INSU!$A$12:$A$201,CUSTO_INSU!$G$12:$G$201))</f>
        <v>347.63000000000005</v>
      </c>
      <c r="G214" s="283">
        <f>TRUNC(TRUNC(E214,8)*F214,2)</f>
        <v>0.52</v>
      </c>
    </row>
    <row r="215" spans="1:7" s="31" customFormat="1" ht="10.5">
      <c r="A215" s="284"/>
      <c r="B215" s="32"/>
      <c r="C215" s="32"/>
      <c r="D215" s="32"/>
      <c r="E215" s="285" t="s">
        <v>1300</v>
      </c>
      <c r="F215" s="285"/>
      <c r="G215" s="286">
        <f>SUM(G213:G214)</f>
        <v>0.76</v>
      </c>
    </row>
    <row r="216" spans="1:7" s="31" customFormat="1" ht="21">
      <c r="A216" s="277" t="s">
        <v>256</v>
      </c>
      <c r="B216" s="278"/>
      <c r="C216" s="279" t="s">
        <v>4</v>
      </c>
      <c r="D216" s="279" t="s">
        <v>243</v>
      </c>
      <c r="E216" s="279" t="s">
        <v>244</v>
      </c>
      <c r="F216" s="279" t="s">
        <v>245</v>
      </c>
      <c r="G216" s="279" t="s">
        <v>246</v>
      </c>
    </row>
    <row r="217" spans="1:7" s="31" customFormat="1" ht="20">
      <c r="A217" s="280">
        <v>1333</v>
      </c>
      <c r="B217" s="281" t="s">
        <v>315</v>
      </c>
      <c r="C217" s="282" t="s">
        <v>26</v>
      </c>
      <c r="D217" s="282" t="s">
        <v>83</v>
      </c>
      <c r="E217" s="298">
        <v>6.0005000000000003E-2</v>
      </c>
      <c r="F217" s="283">
        <f>_xlfn.XLOOKUP(A217,COMP_AUX!$F$13:$F$1400,COMP_AUX!$G$13:$G$1400,_xlfn.XLOOKUP(A217,CUSTO_INSU!$A$12:$A$201,CUSTO_INSU!$G$12:$G$201))</f>
        <v>9.32</v>
      </c>
      <c r="G217" s="283">
        <f>TRUNC(TRUNC(E217,8)*F217,2)</f>
        <v>0.55000000000000004</v>
      </c>
    </row>
    <row r="218" spans="1:7" s="31" customFormat="1" ht="10">
      <c r="A218" s="280">
        <v>10997</v>
      </c>
      <c r="B218" s="281" t="s">
        <v>316</v>
      </c>
      <c r="C218" s="282" t="s">
        <v>26</v>
      </c>
      <c r="D218" s="282" t="s">
        <v>83</v>
      </c>
      <c r="E218" s="298">
        <v>1.6999999999999999E-3</v>
      </c>
      <c r="F218" s="283">
        <f>_xlfn.XLOOKUP(A218,COMP_AUX!$F$13:$F$1400,COMP_AUX!$G$13:$G$1400,_xlfn.XLOOKUP(A218,CUSTO_INSU!$A$12:$A$201,CUSTO_INSU!$G$12:$G$201))</f>
        <v>28.48</v>
      </c>
      <c r="G218" s="283">
        <f>TRUNC(TRUNC(E218,8)*F218,2)</f>
        <v>0.04</v>
      </c>
    </row>
    <row r="219" spans="1:7" s="31" customFormat="1" ht="10">
      <c r="A219" s="280">
        <v>43082</v>
      </c>
      <c r="B219" s="281" t="s">
        <v>317</v>
      </c>
      <c r="C219" s="282" t="s">
        <v>26</v>
      </c>
      <c r="D219" s="282" t="s">
        <v>83</v>
      </c>
      <c r="E219" s="298">
        <v>1.091</v>
      </c>
      <c r="F219" s="283">
        <f>_xlfn.XLOOKUP(A219,COMP_AUX!$F$13:$F$1400,COMP_AUX!$G$13:$G$1400,_xlfn.XLOOKUP(A219,CUSTO_INSU!$A$12:$A$201,CUSTO_INSU!$G$12:$G$201))</f>
        <v>10</v>
      </c>
      <c r="G219" s="283">
        <f>TRUNC(TRUNC(E219,8)*F219,2)</f>
        <v>10.91</v>
      </c>
    </row>
    <row r="220" spans="1:7" s="31" customFormat="1" ht="10.5">
      <c r="A220" s="284"/>
      <c r="B220" s="32"/>
      <c r="C220" s="32"/>
      <c r="D220" s="32"/>
      <c r="E220" s="285" t="s">
        <v>1305</v>
      </c>
      <c r="F220" s="285"/>
      <c r="G220" s="286">
        <f>SUM(G217:G219)</f>
        <v>11.5</v>
      </c>
    </row>
    <row r="221" spans="1:7" s="31" customFormat="1" ht="21">
      <c r="A221" s="277" t="s">
        <v>242</v>
      </c>
      <c r="B221" s="278"/>
      <c r="C221" s="279" t="s">
        <v>4</v>
      </c>
      <c r="D221" s="279" t="s">
        <v>243</v>
      </c>
      <c r="E221" s="279" t="s">
        <v>244</v>
      </c>
      <c r="F221" s="279" t="s">
        <v>245</v>
      </c>
      <c r="G221" s="279" t="s">
        <v>246</v>
      </c>
    </row>
    <row r="222" spans="1:7" s="31" customFormat="1" ht="20">
      <c r="A222" s="280">
        <v>88240</v>
      </c>
      <c r="B222" s="281" t="s">
        <v>318</v>
      </c>
      <c r="C222" s="282" t="s">
        <v>26</v>
      </c>
      <c r="D222" s="282" t="s">
        <v>265</v>
      </c>
      <c r="E222" s="298">
        <v>1.2999999999999999E-3</v>
      </c>
      <c r="F222" s="283">
        <f>_xlfn.XLOOKUP(A222,COMP_AUX!$F$13:$F$1400,COMP_AUX!$G$13:$G$1400,_xlfn.XLOOKUP(A222,CUSTO_INSU!$A$12:$A$201,CUSTO_INSU!$G$12:$G$201))</f>
        <v>19.87</v>
      </c>
      <c r="G222" s="283">
        <f>TRUNC(TRUNC(E222,8)*F222,2)</f>
        <v>0.02</v>
      </c>
    </row>
    <row r="223" spans="1:7" s="31" customFormat="1" ht="20">
      <c r="A223" s="280">
        <v>88278</v>
      </c>
      <c r="B223" s="281" t="s">
        <v>319</v>
      </c>
      <c r="C223" s="282" t="s">
        <v>26</v>
      </c>
      <c r="D223" s="282" t="s">
        <v>265</v>
      </c>
      <c r="E223" s="298">
        <v>5.0000000000000001E-3</v>
      </c>
      <c r="F223" s="283">
        <f>_xlfn.XLOOKUP(A223,COMP_AUX!$F$13:$F$1400,COMP_AUX!$G$13:$G$1400,_xlfn.XLOOKUP(A223,CUSTO_INSU!$A$12:$A$201,CUSTO_INSU!$G$12:$G$201))</f>
        <v>19.080000000000002</v>
      </c>
      <c r="G223" s="283">
        <f>TRUNC(TRUNC(E223,8)*F223,2)</f>
        <v>0.09</v>
      </c>
    </row>
    <row r="224" spans="1:7" s="31" customFormat="1" ht="10">
      <c r="A224" s="280">
        <v>88317</v>
      </c>
      <c r="B224" s="281" t="s">
        <v>320</v>
      </c>
      <c r="C224" s="282" t="s">
        <v>26</v>
      </c>
      <c r="D224" s="282" t="s">
        <v>265</v>
      </c>
      <c r="E224" s="298">
        <v>2.8299999999999999E-2</v>
      </c>
      <c r="F224" s="283">
        <f>_xlfn.XLOOKUP(A224,COMP_AUX!$F$13:$F$1400,COMP_AUX!$G$13:$G$1400,_xlfn.XLOOKUP(A224,CUSTO_INSU!$A$12:$A$201,CUSTO_INSU!$G$12:$G$201))</f>
        <v>25.72</v>
      </c>
      <c r="G224" s="283">
        <f>TRUNC(TRUNC(E224,8)*F224,2)</f>
        <v>0.72</v>
      </c>
    </row>
    <row r="225" spans="1:7" s="31" customFormat="1" ht="10.5">
      <c r="A225" s="284"/>
      <c r="B225" s="32"/>
      <c r="C225" s="32"/>
      <c r="D225" s="32"/>
      <c r="E225" s="285" t="s">
        <v>1303</v>
      </c>
      <c r="F225" s="285"/>
      <c r="G225" s="286">
        <f>SUM(G222:G224)</f>
        <v>0.83</v>
      </c>
    </row>
    <row r="226" spans="1:7" s="31" customFormat="1" ht="21">
      <c r="A226" s="277" t="s">
        <v>250</v>
      </c>
      <c r="B226" s="278"/>
      <c r="C226" s="279" t="s">
        <v>4</v>
      </c>
      <c r="D226" s="279" t="s">
        <v>243</v>
      </c>
      <c r="E226" s="279" t="s">
        <v>244</v>
      </c>
      <c r="F226" s="279" t="s">
        <v>245</v>
      </c>
      <c r="G226" s="279" t="s">
        <v>246</v>
      </c>
    </row>
    <row r="227" spans="1:7" s="31" customFormat="1" ht="20">
      <c r="A227" s="280">
        <v>100716</v>
      </c>
      <c r="B227" s="281" t="s">
        <v>321</v>
      </c>
      <c r="C227" s="282" t="s">
        <v>26</v>
      </c>
      <c r="D227" s="282" t="s">
        <v>34</v>
      </c>
      <c r="E227" s="298">
        <v>2.2700000000000001E-2</v>
      </c>
      <c r="F227" s="283">
        <f>_xlfn.XLOOKUP(A227,COMP_AUX!$F$13:$F$1400,COMP_AUX!$G$13:$G$1400,_xlfn.XLOOKUP(A227,CUSTO_INSU!$A$12:$A$201,CUSTO_INSU!$G$12:$G$201))</f>
        <v>23.449999999999996</v>
      </c>
      <c r="G227" s="283">
        <f>TRUNC(TRUNC(E227,8)*F227,2)</f>
        <v>0.53</v>
      </c>
    </row>
    <row r="228" spans="1:7" s="31" customFormat="1" ht="30">
      <c r="A228" s="280">
        <v>100719</v>
      </c>
      <c r="B228" s="281" t="s">
        <v>322</v>
      </c>
      <c r="C228" s="282" t="s">
        <v>26</v>
      </c>
      <c r="D228" s="282" t="s">
        <v>34</v>
      </c>
      <c r="E228" s="298">
        <v>2.2700000000000001E-2</v>
      </c>
      <c r="F228" s="283">
        <f>_xlfn.XLOOKUP(A228,COMP_AUX!$F$13:$F$1400,COMP_AUX!$G$13:$G$1400,_xlfn.XLOOKUP(A228,CUSTO_INSU!$A$12:$A$201,CUSTO_INSU!$G$12:$G$201))</f>
        <v>9.06</v>
      </c>
      <c r="G228" s="283">
        <f>TRUNC(TRUNC(E228,8)*F228,2)</f>
        <v>0.2</v>
      </c>
    </row>
    <row r="229" spans="1:7" s="31" customFormat="1" ht="21">
      <c r="A229" s="284"/>
      <c r="B229" s="32"/>
      <c r="C229" s="32"/>
      <c r="D229" s="32"/>
      <c r="E229" s="285" t="s">
        <v>254</v>
      </c>
      <c r="F229" s="285"/>
      <c r="G229" s="286">
        <f>SUM(G227:G228)</f>
        <v>0.73</v>
      </c>
    </row>
    <row r="230" spans="1:7" s="31" customFormat="1" ht="10.5">
      <c r="A230" s="284"/>
      <c r="B230" s="32"/>
      <c r="C230" s="32"/>
      <c r="D230" s="32"/>
      <c r="E230" s="287" t="s">
        <v>255</v>
      </c>
      <c r="F230" s="287">
        <f>A211</f>
        <v>100766</v>
      </c>
      <c r="G230" s="288">
        <f>SUM(G215,G220,G225,G229)</f>
        <v>13.82</v>
      </c>
    </row>
    <row r="231" spans="1:7" s="31" customFormat="1" ht="10">
      <c r="A231" s="284"/>
      <c r="B231" s="32"/>
      <c r="C231" s="32"/>
      <c r="D231" s="32"/>
      <c r="E231" s="289"/>
      <c r="F231" s="289"/>
      <c r="G231" s="289"/>
    </row>
    <row r="232" spans="1:7" s="31" customFormat="1" ht="21">
      <c r="A232" s="275" t="s">
        <v>85</v>
      </c>
      <c r="B232" s="276" t="s">
        <v>899</v>
      </c>
      <c r="C232" s="276"/>
      <c r="D232" s="276"/>
      <c r="E232" s="276"/>
      <c r="F232" s="276"/>
      <c r="G232" s="276"/>
    </row>
    <row r="233" spans="1:7" s="31" customFormat="1" ht="21">
      <c r="A233" s="277" t="s">
        <v>256</v>
      </c>
      <c r="B233" s="278"/>
      <c r="C233" s="279" t="s">
        <v>4</v>
      </c>
      <c r="D233" s="279" t="s">
        <v>243</v>
      </c>
      <c r="E233" s="279" t="s">
        <v>244</v>
      </c>
      <c r="F233" s="279" t="s">
        <v>245</v>
      </c>
      <c r="G233" s="279" t="s">
        <v>246</v>
      </c>
    </row>
    <row r="234" spans="1:7" s="31" customFormat="1" ht="10">
      <c r="A234" s="280">
        <v>1332</v>
      </c>
      <c r="B234" s="281" t="s">
        <v>323</v>
      </c>
      <c r="C234" s="282" t="s">
        <v>26</v>
      </c>
      <c r="D234" s="282" t="s">
        <v>83</v>
      </c>
      <c r="E234" s="298">
        <v>0.04</v>
      </c>
      <c r="F234" s="283">
        <f>_xlfn.XLOOKUP(A234,COMP_AUX!$F$13:$F$1400,COMP_AUX!$G$13:$G$1400,_xlfn.XLOOKUP(A234,CUSTO_INSU!$A$12:$A$201,CUSTO_INSU!$G$12:$G$201))</f>
        <v>9.4700000000000006</v>
      </c>
      <c r="G234" s="283">
        <f>ROUND(ROUND(E234,8)*F234,2)</f>
        <v>0.38</v>
      </c>
    </row>
    <row r="235" spans="1:7" s="31" customFormat="1" ht="20">
      <c r="A235" s="280">
        <v>11963</v>
      </c>
      <c r="B235" s="281" t="s">
        <v>324</v>
      </c>
      <c r="C235" s="282" t="s">
        <v>26</v>
      </c>
      <c r="D235" s="282" t="s">
        <v>14</v>
      </c>
      <c r="E235" s="298">
        <v>4</v>
      </c>
      <c r="F235" s="283">
        <f>_xlfn.XLOOKUP(A235,COMP_AUX!$F$13:$F$1400,COMP_AUX!$G$13:$G$1400,_xlfn.XLOOKUP(A235,CUSTO_INSU!$A$12:$A$201,CUSTO_INSU!$G$12:$G$201))</f>
        <v>10.49</v>
      </c>
      <c r="G235" s="283">
        <f>ROUND(ROUND(E235,8)*F235,2)</f>
        <v>41.96</v>
      </c>
    </row>
    <row r="236" spans="1:7" s="31" customFormat="1" ht="10.5">
      <c r="A236" s="284"/>
      <c r="B236" s="32"/>
      <c r="C236" s="32"/>
      <c r="D236" s="32"/>
      <c r="E236" s="285" t="s">
        <v>1305</v>
      </c>
      <c r="F236" s="285"/>
      <c r="G236" s="286">
        <f>SUM(G234:G235)</f>
        <v>42.34</v>
      </c>
    </row>
    <row r="237" spans="1:7" s="31" customFormat="1" ht="21">
      <c r="A237" s="403" t="s">
        <v>325</v>
      </c>
      <c r="B237" s="403"/>
      <c r="C237" s="403"/>
      <c r="D237" s="32"/>
      <c r="E237" s="287" t="s">
        <v>255</v>
      </c>
      <c r="F237" s="287" t="str">
        <f>A232</f>
        <v>JFPB-03642294</v>
      </c>
      <c r="G237" s="288">
        <f>SUM(G236)</f>
        <v>42.34</v>
      </c>
    </row>
    <row r="238" spans="1:7" s="31" customFormat="1" ht="10">
      <c r="A238" s="294"/>
      <c r="B238" s="295"/>
      <c r="C238" s="295"/>
      <c r="D238" s="32"/>
      <c r="E238" s="32"/>
      <c r="F238" s="32"/>
      <c r="G238" s="32"/>
    </row>
    <row r="239" spans="1:7" s="31" customFormat="1" ht="10">
      <c r="A239" s="284"/>
      <c r="B239" s="32"/>
      <c r="C239" s="32"/>
      <c r="D239" s="32"/>
      <c r="E239" s="289"/>
      <c r="F239" s="289"/>
      <c r="G239" s="289"/>
    </row>
    <row r="240" spans="1:7" s="31" customFormat="1" ht="42">
      <c r="A240" s="275">
        <v>100764</v>
      </c>
      <c r="B240" s="276" t="s">
        <v>1304</v>
      </c>
      <c r="C240" s="276"/>
      <c r="D240" s="276"/>
      <c r="E240" s="276"/>
      <c r="F240" s="276"/>
      <c r="G240" s="276"/>
    </row>
    <row r="241" spans="1:7" s="31" customFormat="1" ht="21">
      <c r="A241" s="277" t="s">
        <v>260</v>
      </c>
      <c r="B241" s="278"/>
      <c r="C241" s="279" t="s">
        <v>4</v>
      </c>
      <c r="D241" s="279" t="s">
        <v>243</v>
      </c>
      <c r="E241" s="279" t="s">
        <v>244</v>
      </c>
      <c r="F241" s="279" t="s">
        <v>245</v>
      </c>
      <c r="G241" s="279" t="s">
        <v>246</v>
      </c>
    </row>
    <row r="242" spans="1:7" s="31" customFormat="1" ht="30">
      <c r="A242" s="280">
        <v>93288</v>
      </c>
      <c r="B242" s="281" t="s">
        <v>313</v>
      </c>
      <c r="C242" s="282" t="s">
        <v>26</v>
      </c>
      <c r="D242" s="282" t="s">
        <v>234</v>
      </c>
      <c r="E242" s="298">
        <v>3.6703E-3</v>
      </c>
      <c r="F242" s="283">
        <f>_xlfn.XLOOKUP(A242,COMP_AUX!$F$13:$F$1400,COMP_AUX!$G$13:$G$1400,_xlfn.XLOOKUP(A242,CUSTO_INSU!$A$12:$A$201,CUSTO_INSU!$G$12:$G$201))</f>
        <v>178.04999999999998</v>
      </c>
      <c r="G242" s="283">
        <f>TRUNC(TRUNC(E242,8)*F242,2)</f>
        <v>0.65</v>
      </c>
    </row>
    <row r="243" spans="1:7" s="31" customFormat="1" ht="30">
      <c r="A243" s="280">
        <v>93287</v>
      </c>
      <c r="B243" s="281" t="s">
        <v>314</v>
      </c>
      <c r="C243" s="282" t="s">
        <v>26</v>
      </c>
      <c r="D243" s="282" t="s">
        <v>237</v>
      </c>
      <c r="E243" s="298">
        <v>3.9667000000000001E-3</v>
      </c>
      <c r="F243" s="283">
        <f>_xlfn.XLOOKUP(A243,COMP_AUX!$F$13:$F$1400,COMP_AUX!$G$13:$G$1400,_xlfn.XLOOKUP(A243,CUSTO_INSU!$A$12:$A$201,CUSTO_INSU!$G$12:$G$201))</f>
        <v>347.63000000000005</v>
      </c>
      <c r="G243" s="283">
        <f>TRUNC(TRUNC(E243,8)*F243,2)</f>
        <v>1.37</v>
      </c>
    </row>
    <row r="244" spans="1:7" s="31" customFormat="1" ht="10.5">
      <c r="A244" s="284"/>
      <c r="B244" s="32"/>
      <c r="C244" s="32"/>
      <c r="D244" s="32"/>
      <c r="E244" s="285" t="s">
        <v>1300</v>
      </c>
      <c r="F244" s="285"/>
      <c r="G244" s="286">
        <f>SUM(G242:G243)</f>
        <v>2.02</v>
      </c>
    </row>
    <row r="245" spans="1:7" s="31" customFormat="1" ht="21">
      <c r="A245" s="277" t="s">
        <v>256</v>
      </c>
      <c r="B245" s="278"/>
      <c r="C245" s="279" t="s">
        <v>4</v>
      </c>
      <c r="D245" s="279" t="s">
        <v>243</v>
      </c>
      <c r="E245" s="279" t="s">
        <v>244</v>
      </c>
      <c r="F245" s="279" t="s">
        <v>245</v>
      </c>
      <c r="G245" s="279" t="s">
        <v>246</v>
      </c>
    </row>
    <row r="246" spans="1:7" s="31" customFormat="1" ht="20">
      <c r="A246" s="280">
        <v>4777</v>
      </c>
      <c r="B246" s="281" t="s">
        <v>326</v>
      </c>
      <c r="C246" s="282" t="s">
        <v>26</v>
      </c>
      <c r="D246" s="282" t="s">
        <v>83</v>
      </c>
      <c r="E246" s="298">
        <v>3.0547999999999999E-2</v>
      </c>
      <c r="F246" s="283">
        <f>_xlfn.XLOOKUP(A246,COMP_AUX!$F$13:$F$1400,COMP_AUX!$G$13:$G$1400,_xlfn.XLOOKUP(A246,CUSTO_INSU!$A$12:$A$201,CUSTO_INSU!$G$12:$G$201))</f>
        <v>8.02</v>
      </c>
      <c r="G246" s="283">
        <f>TRUNC(TRUNC(E246,8)*F246,2)</f>
        <v>0.24</v>
      </c>
    </row>
    <row r="247" spans="1:7" s="31" customFormat="1" ht="10">
      <c r="A247" s="280">
        <v>10997</v>
      </c>
      <c r="B247" s="281" t="s">
        <v>316</v>
      </c>
      <c r="C247" s="282" t="s">
        <v>26</v>
      </c>
      <c r="D247" s="282" t="s">
        <v>83</v>
      </c>
      <c r="E247" s="298">
        <v>1.5E-3</v>
      </c>
      <c r="F247" s="283">
        <f>_xlfn.XLOOKUP(A247,COMP_AUX!$F$13:$F$1400,COMP_AUX!$G$13:$G$1400,_xlfn.XLOOKUP(A247,CUSTO_INSU!$A$12:$A$201,CUSTO_INSU!$G$12:$G$201))</f>
        <v>28.48</v>
      </c>
      <c r="G247" s="283">
        <f>TRUNC(TRUNC(E247,8)*F247,2)</f>
        <v>0.04</v>
      </c>
    </row>
    <row r="248" spans="1:7" s="31" customFormat="1" ht="10">
      <c r="A248" s="280">
        <v>43082</v>
      </c>
      <c r="B248" s="281" t="s">
        <v>317</v>
      </c>
      <c r="C248" s="282" t="s">
        <v>26</v>
      </c>
      <c r="D248" s="282" t="s">
        <v>83</v>
      </c>
      <c r="E248" s="298">
        <v>1.091</v>
      </c>
      <c r="F248" s="283">
        <f>_xlfn.XLOOKUP(A248,COMP_AUX!$F$13:$F$1400,COMP_AUX!$G$13:$G$1400,_xlfn.XLOOKUP(A248,CUSTO_INSU!$A$12:$A$201,CUSTO_INSU!$G$12:$G$201))</f>
        <v>10</v>
      </c>
      <c r="G248" s="283">
        <f>TRUNC(TRUNC(E248,8)*F248,2)</f>
        <v>10.91</v>
      </c>
    </row>
    <row r="249" spans="1:7" s="31" customFormat="1" ht="10.5">
      <c r="A249" s="284"/>
      <c r="B249" s="32"/>
      <c r="C249" s="32"/>
      <c r="D249" s="32"/>
      <c r="E249" s="285" t="s">
        <v>1305</v>
      </c>
      <c r="F249" s="285"/>
      <c r="G249" s="286">
        <f>SUM(G246:G248)</f>
        <v>11.19</v>
      </c>
    </row>
    <row r="250" spans="1:7" s="31" customFormat="1" ht="21">
      <c r="A250" s="277" t="s">
        <v>242</v>
      </c>
      <c r="B250" s="278"/>
      <c r="C250" s="279" t="s">
        <v>4</v>
      </c>
      <c r="D250" s="279" t="s">
        <v>243</v>
      </c>
      <c r="E250" s="279" t="s">
        <v>244</v>
      </c>
      <c r="F250" s="279" t="s">
        <v>245</v>
      </c>
      <c r="G250" s="279" t="s">
        <v>246</v>
      </c>
    </row>
    <row r="251" spans="1:7" s="31" customFormat="1" ht="20">
      <c r="A251" s="280">
        <v>88240</v>
      </c>
      <c r="B251" s="281" t="s">
        <v>318</v>
      </c>
      <c r="C251" s="282" t="s">
        <v>26</v>
      </c>
      <c r="D251" s="282" t="s">
        <v>265</v>
      </c>
      <c r="E251" s="298">
        <v>4.4000000000000003E-3</v>
      </c>
      <c r="F251" s="283">
        <f>_xlfn.XLOOKUP(A251,COMP_AUX!$F$13:$F$1400,COMP_AUX!$G$13:$G$1400,_xlfn.XLOOKUP(A251,CUSTO_INSU!$A$12:$A$201,CUSTO_INSU!$G$12:$G$201))</f>
        <v>19.87</v>
      </c>
      <c r="G251" s="283">
        <f>TRUNC(TRUNC(E251,8)*F251,2)</f>
        <v>0.08</v>
      </c>
    </row>
    <row r="252" spans="1:7" s="31" customFormat="1" ht="20">
      <c r="A252" s="280">
        <v>88278</v>
      </c>
      <c r="B252" s="281" t="s">
        <v>319</v>
      </c>
      <c r="C252" s="282" t="s">
        <v>26</v>
      </c>
      <c r="D252" s="282" t="s">
        <v>265</v>
      </c>
      <c r="E252" s="298">
        <v>1.4E-2</v>
      </c>
      <c r="F252" s="283">
        <f>_xlfn.XLOOKUP(A252,COMP_AUX!$F$13:$F$1400,COMP_AUX!$G$13:$G$1400,_xlfn.XLOOKUP(A252,CUSTO_INSU!$A$12:$A$201,CUSTO_INSU!$G$12:$G$201))</f>
        <v>19.080000000000002</v>
      </c>
      <c r="G252" s="283">
        <f>TRUNC(TRUNC(E252,8)*F252,2)</f>
        <v>0.26</v>
      </c>
    </row>
    <row r="253" spans="1:7" s="31" customFormat="1" ht="10">
      <c r="A253" s="280">
        <v>88317</v>
      </c>
      <c r="B253" s="281" t="s">
        <v>320</v>
      </c>
      <c r="C253" s="282" t="s">
        <v>26</v>
      </c>
      <c r="D253" s="282" t="s">
        <v>265</v>
      </c>
      <c r="E253" s="298">
        <v>1.8100000000000002E-2</v>
      </c>
      <c r="F253" s="283">
        <f>_xlfn.XLOOKUP(A253,COMP_AUX!$F$13:$F$1400,COMP_AUX!$G$13:$G$1400,_xlfn.XLOOKUP(A253,CUSTO_INSU!$A$12:$A$201,CUSTO_INSU!$G$12:$G$201))</f>
        <v>25.72</v>
      </c>
      <c r="G253" s="283">
        <f>TRUNC(TRUNC(E253,8)*F253,2)</f>
        <v>0.46</v>
      </c>
    </row>
    <row r="254" spans="1:7" s="31" customFormat="1" ht="10.5">
      <c r="A254" s="284"/>
      <c r="B254" s="32"/>
      <c r="C254" s="32"/>
      <c r="D254" s="32"/>
      <c r="E254" s="285" t="s">
        <v>1303</v>
      </c>
      <c r="F254" s="285"/>
      <c r="G254" s="286">
        <f>SUM(G251:G253)</f>
        <v>0.8</v>
      </c>
    </row>
    <row r="255" spans="1:7" s="31" customFormat="1" ht="21">
      <c r="A255" s="277" t="s">
        <v>250</v>
      </c>
      <c r="B255" s="278"/>
      <c r="C255" s="279" t="s">
        <v>4</v>
      </c>
      <c r="D255" s="279" t="s">
        <v>243</v>
      </c>
      <c r="E255" s="279" t="s">
        <v>244</v>
      </c>
      <c r="F255" s="279" t="s">
        <v>245</v>
      </c>
      <c r="G255" s="279" t="s">
        <v>246</v>
      </c>
    </row>
    <row r="256" spans="1:7" s="31" customFormat="1" ht="20">
      <c r="A256" s="280">
        <v>100716</v>
      </c>
      <c r="B256" s="281" t="s">
        <v>321</v>
      </c>
      <c r="C256" s="282" t="s">
        <v>26</v>
      </c>
      <c r="D256" s="282" t="s">
        <v>34</v>
      </c>
      <c r="E256" s="298">
        <v>3.5842400000000003E-2</v>
      </c>
      <c r="F256" s="283">
        <f>_xlfn.XLOOKUP(A256,COMP_AUX!$F$13:$F$1400,COMP_AUX!$G$13:$G$1400,_xlfn.XLOOKUP(A256,CUSTO_INSU!$A$12:$A$201,CUSTO_INSU!$G$12:$G$201))</f>
        <v>23.449999999999996</v>
      </c>
      <c r="G256" s="283">
        <f>TRUNC(TRUNC(E256,8)*F256,2)</f>
        <v>0.84</v>
      </c>
    </row>
    <row r="257" spans="1:7" s="31" customFormat="1" ht="30">
      <c r="A257" s="280">
        <v>100719</v>
      </c>
      <c r="B257" s="281" t="s">
        <v>322</v>
      </c>
      <c r="C257" s="282" t="s">
        <v>26</v>
      </c>
      <c r="D257" s="282" t="s">
        <v>34</v>
      </c>
      <c r="E257" s="298">
        <v>3.5842400000000003E-2</v>
      </c>
      <c r="F257" s="283">
        <f>_xlfn.XLOOKUP(A257,COMP_AUX!$F$13:$F$1400,COMP_AUX!$G$13:$G$1400,_xlfn.XLOOKUP(A257,CUSTO_INSU!$A$12:$A$201,CUSTO_INSU!$G$12:$G$201))</f>
        <v>9.06</v>
      </c>
      <c r="G257" s="283">
        <f>TRUNC(TRUNC(E257,8)*F257,2)</f>
        <v>0.32</v>
      </c>
    </row>
    <row r="258" spans="1:7" s="31" customFormat="1" ht="21">
      <c r="A258" s="284"/>
      <c r="B258" s="32"/>
      <c r="C258" s="32"/>
      <c r="D258" s="32"/>
      <c r="E258" s="285" t="s">
        <v>254</v>
      </c>
      <c r="F258" s="285"/>
      <c r="G258" s="286">
        <f>SUM(G256:G257)</f>
        <v>1.1599999999999999</v>
      </c>
    </row>
    <row r="259" spans="1:7" s="31" customFormat="1" ht="10.5">
      <c r="A259" s="284"/>
      <c r="B259" s="32"/>
      <c r="C259" s="32"/>
      <c r="D259" s="32"/>
      <c r="E259" s="287" t="s">
        <v>255</v>
      </c>
      <c r="F259" s="287">
        <f>A240</f>
        <v>100764</v>
      </c>
      <c r="G259" s="288">
        <f>SUM(G244,G249,G254,G258)</f>
        <v>15.17</v>
      </c>
    </row>
    <row r="260" spans="1:7" s="31" customFormat="1" ht="10">
      <c r="A260" s="284"/>
      <c r="B260" s="32"/>
      <c r="C260" s="32"/>
      <c r="D260" s="32"/>
      <c r="E260" s="289"/>
      <c r="F260" s="289"/>
      <c r="G260" s="289"/>
    </row>
    <row r="261" spans="1:7" s="31" customFormat="1" ht="42">
      <c r="A261" s="275">
        <v>92580</v>
      </c>
      <c r="B261" s="276" t="s">
        <v>900</v>
      </c>
      <c r="C261" s="276"/>
      <c r="D261" s="276"/>
      <c r="E261" s="276"/>
      <c r="F261" s="276"/>
      <c r="G261" s="276"/>
    </row>
    <row r="262" spans="1:7" s="31" customFormat="1" ht="21">
      <c r="A262" s="277" t="s">
        <v>260</v>
      </c>
      <c r="B262" s="278"/>
      <c r="C262" s="279" t="s">
        <v>4</v>
      </c>
      <c r="D262" s="279" t="s">
        <v>243</v>
      </c>
      <c r="E262" s="279" t="s">
        <v>244</v>
      </c>
      <c r="F262" s="279" t="s">
        <v>245</v>
      </c>
      <c r="G262" s="279" t="s">
        <v>246</v>
      </c>
    </row>
    <row r="263" spans="1:7" s="31" customFormat="1" ht="20">
      <c r="A263" s="280">
        <v>93282</v>
      </c>
      <c r="B263" s="281" t="s">
        <v>327</v>
      </c>
      <c r="C263" s="282" t="s">
        <v>26</v>
      </c>
      <c r="D263" s="282" t="s">
        <v>234</v>
      </c>
      <c r="E263" s="298">
        <v>9.4000000000000004E-3</v>
      </c>
      <c r="F263" s="283">
        <f>_xlfn.XLOOKUP(A263,COMP_AUX!$F$13:$F$1400,COMP_AUX!$G$13:$G$1400,_xlfn.XLOOKUP(A263,CUSTO_INSU!$A$12:$A$201,CUSTO_INSU!$G$12:$G$201))</f>
        <v>20.799999999999997</v>
      </c>
      <c r="G263" s="283">
        <f>TRUNC(TRUNC(E263,8)*F263,2)</f>
        <v>0.19</v>
      </c>
    </row>
    <row r="264" spans="1:7" s="31" customFormat="1" ht="20">
      <c r="A264" s="280">
        <v>93281</v>
      </c>
      <c r="B264" s="281" t="s">
        <v>328</v>
      </c>
      <c r="C264" s="282" t="s">
        <v>26</v>
      </c>
      <c r="D264" s="282" t="s">
        <v>237</v>
      </c>
      <c r="E264" s="298">
        <v>6.7999999999999996E-3</v>
      </c>
      <c r="F264" s="283">
        <f>_xlfn.XLOOKUP(A264,COMP_AUX!$F$13:$F$1400,COMP_AUX!$G$13:$G$1400,_xlfn.XLOOKUP(A264,CUSTO_INSU!$A$12:$A$201,CUSTO_INSU!$G$12:$G$201))</f>
        <v>21.64</v>
      </c>
      <c r="G264" s="283">
        <f>TRUNC(TRUNC(E264,8)*F264,2)</f>
        <v>0.14000000000000001</v>
      </c>
    </row>
    <row r="265" spans="1:7" s="31" customFormat="1" ht="10.5">
      <c r="A265" s="284"/>
      <c r="B265" s="32"/>
      <c r="C265" s="32"/>
      <c r="D265" s="32"/>
      <c r="E265" s="285" t="s">
        <v>1300</v>
      </c>
      <c r="F265" s="285"/>
      <c r="G265" s="286">
        <f>SUM(G263:G264)</f>
        <v>0.33</v>
      </c>
    </row>
    <row r="266" spans="1:7" s="31" customFormat="1" ht="21">
      <c r="A266" s="277" t="s">
        <v>256</v>
      </c>
      <c r="B266" s="278"/>
      <c r="C266" s="279" t="s">
        <v>4</v>
      </c>
      <c r="D266" s="279" t="s">
        <v>243</v>
      </c>
      <c r="E266" s="279" t="s">
        <v>244</v>
      </c>
      <c r="F266" s="279" t="s">
        <v>245</v>
      </c>
      <c r="G266" s="279" t="s">
        <v>246</v>
      </c>
    </row>
    <row r="267" spans="1:7" s="31" customFormat="1" ht="20">
      <c r="A267" s="280">
        <v>40549</v>
      </c>
      <c r="B267" s="281" t="s">
        <v>329</v>
      </c>
      <c r="C267" s="282" t="s">
        <v>26</v>
      </c>
      <c r="D267" s="282" t="s">
        <v>330</v>
      </c>
      <c r="E267" s="298">
        <v>7.0000000000000001E-3</v>
      </c>
      <c r="F267" s="283">
        <f>_xlfn.XLOOKUP(A267,COMP_AUX!$F$13:$F$1400,COMP_AUX!$G$13:$G$1400,_xlfn.XLOOKUP(A267,CUSTO_INSU!$A$12:$A$201,CUSTO_INSU!$G$12:$G$201))</f>
        <v>205.62</v>
      </c>
      <c r="G267" s="283">
        <f>TRUNC(TRUNC(E267,8)*F267,2)</f>
        <v>1.43</v>
      </c>
    </row>
    <row r="268" spans="1:7" s="31" customFormat="1" ht="20">
      <c r="A268" s="280">
        <v>43083</v>
      </c>
      <c r="B268" s="281" t="s">
        <v>331</v>
      </c>
      <c r="C268" s="282" t="s">
        <v>26</v>
      </c>
      <c r="D268" s="282" t="s">
        <v>83</v>
      </c>
      <c r="E268" s="298">
        <v>4.3330000000000002</v>
      </c>
      <c r="F268" s="283">
        <f>_xlfn.XLOOKUP(A268,COMP_AUX!$F$13:$F$1400,COMP_AUX!$G$13:$G$1400,_xlfn.XLOOKUP(A268,CUSTO_INSU!$A$12:$A$201,CUSTO_INSU!$G$12:$G$201))</f>
        <v>8.66</v>
      </c>
      <c r="G268" s="283">
        <f>TRUNC(TRUNC(E268,8)*F268,2)</f>
        <v>37.520000000000003</v>
      </c>
    </row>
    <row r="269" spans="1:7" s="31" customFormat="1" ht="10.5">
      <c r="A269" s="284"/>
      <c r="B269" s="32"/>
      <c r="C269" s="32"/>
      <c r="D269" s="32"/>
      <c r="E269" s="285" t="s">
        <v>1305</v>
      </c>
      <c r="F269" s="285"/>
      <c r="G269" s="286">
        <f>SUM(G267:G268)</f>
        <v>38.950000000000003</v>
      </c>
    </row>
    <row r="270" spans="1:7" s="31" customFormat="1" ht="21">
      <c r="A270" s="277" t="s">
        <v>242</v>
      </c>
      <c r="B270" s="278"/>
      <c r="C270" s="279" t="s">
        <v>4</v>
      </c>
      <c r="D270" s="279" t="s">
        <v>243</v>
      </c>
      <c r="E270" s="279" t="s">
        <v>244</v>
      </c>
      <c r="F270" s="279" t="s">
        <v>245</v>
      </c>
      <c r="G270" s="279" t="s">
        <v>246</v>
      </c>
    </row>
    <row r="271" spans="1:7" s="31" customFormat="1" ht="20">
      <c r="A271" s="280">
        <v>88278</v>
      </c>
      <c r="B271" s="281" t="s">
        <v>319</v>
      </c>
      <c r="C271" s="282" t="s">
        <v>26</v>
      </c>
      <c r="D271" s="282" t="s">
        <v>265</v>
      </c>
      <c r="E271" s="298">
        <v>0.21299999999999999</v>
      </c>
      <c r="F271" s="283">
        <f>_xlfn.XLOOKUP(A271,COMP_AUX!$F$13:$F$1400,COMP_AUX!$G$13:$G$1400,_xlfn.XLOOKUP(A271,CUSTO_INSU!$A$12:$A$201,CUSTO_INSU!$G$12:$G$201))</f>
        <v>19.080000000000002</v>
      </c>
      <c r="G271" s="283">
        <f>TRUNC(TRUNC(E271,8)*F271,2)</f>
        <v>4.0599999999999996</v>
      </c>
    </row>
    <row r="272" spans="1:7" s="31" customFormat="1" ht="10">
      <c r="A272" s="280">
        <v>88316</v>
      </c>
      <c r="B272" s="281" t="s">
        <v>275</v>
      </c>
      <c r="C272" s="282" t="s">
        <v>26</v>
      </c>
      <c r="D272" s="282" t="s">
        <v>265</v>
      </c>
      <c r="E272" s="298">
        <v>0.106</v>
      </c>
      <c r="F272" s="283">
        <f>_xlfn.XLOOKUP(A272,COMP_AUX!$F$13:$F$1400,COMP_AUX!$G$13:$G$1400,_xlfn.XLOOKUP(A272,CUSTO_INSU!$A$12:$A$201,CUSTO_INSU!$G$12:$G$201))</f>
        <v>20.27</v>
      </c>
      <c r="G272" s="283">
        <f>TRUNC(TRUNC(E272,8)*F272,2)</f>
        <v>2.14</v>
      </c>
    </row>
    <row r="273" spans="1:7" s="31" customFormat="1" ht="10.5">
      <c r="A273" s="284"/>
      <c r="B273" s="32"/>
      <c r="C273" s="32"/>
      <c r="D273" s="32"/>
      <c r="E273" s="285" t="s">
        <v>1303</v>
      </c>
      <c r="F273" s="285"/>
      <c r="G273" s="286">
        <f>SUM(G271:G272)</f>
        <v>6.1999999999999993</v>
      </c>
    </row>
    <row r="274" spans="1:7" s="31" customFormat="1" ht="10.5">
      <c r="A274" s="284"/>
      <c r="B274" s="32"/>
      <c r="C274" s="32"/>
      <c r="D274" s="32"/>
      <c r="E274" s="287" t="s">
        <v>255</v>
      </c>
      <c r="F274" s="287">
        <f>A261</f>
        <v>92580</v>
      </c>
      <c r="G274" s="288">
        <f>SUM(G265,G269,G273)</f>
        <v>45.480000000000004</v>
      </c>
    </row>
    <row r="275" spans="1:7" s="31" customFormat="1" ht="10">
      <c r="A275" s="284"/>
      <c r="B275" s="32"/>
      <c r="C275" s="32"/>
      <c r="D275" s="32"/>
      <c r="E275" s="289"/>
      <c r="F275" s="289"/>
      <c r="G275" s="289"/>
    </row>
    <row r="276" spans="1:7" s="31" customFormat="1" ht="21">
      <c r="A276" s="275">
        <v>94213</v>
      </c>
      <c r="B276" s="276" t="s">
        <v>901</v>
      </c>
      <c r="C276" s="276"/>
      <c r="D276" s="276"/>
      <c r="E276" s="276"/>
      <c r="F276" s="276"/>
      <c r="G276" s="276"/>
    </row>
    <row r="277" spans="1:7" s="31" customFormat="1" ht="21">
      <c r="A277" s="277" t="s">
        <v>260</v>
      </c>
      <c r="B277" s="278"/>
      <c r="C277" s="279" t="s">
        <v>4</v>
      </c>
      <c r="D277" s="279" t="s">
        <v>243</v>
      </c>
      <c r="E277" s="279" t="s">
        <v>244</v>
      </c>
      <c r="F277" s="279" t="s">
        <v>245</v>
      </c>
      <c r="G277" s="279" t="s">
        <v>246</v>
      </c>
    </row>
    <row r="278" spans="1:7" s="31" customFormat="1" ht="20">
      <c r="A278" s="280">
        <v>93282</v>
      </c>
      <c r="B278" s="281" t="s">
        <v>327</v>
      </c>
      <c r="C278" s="282" t="s">
        <v>26</v>
      </c>
      <c r="D278" s="282" t="s">
        <v>234</v>
      </c>
      <c r="E278" s="298">
        <v>1.2999999999999999E-3</v>
      </c>
      <c r="F278" s="283">
        <f>_xlfn.XLOOKUP(A278,COMP_AUX!$F$13:$F$1400,COMP_AUX!$G$13:$G$1400,_xlfn.XLOOKUP(A278,CUSTO_INSU!$A$12:$A$201,CUSTO_INSU!$G$12:$G$201))</f>
        <v>20.799999999999997</v>
      </c>
      <c r="G278" s="283">
        <f>TRUNC(TRUNC(E278,8)*F278,2)</f>
        <v>0.02</v>
      </c>
    </row>
    <row r="279" spans="1:7" s="31" customFormat="1" ht="20">
      <c r="A279" s="280">
        <v>93281</v>
      </c>
      <c r="B279" s="281" t="s">
        <v>328</v>
      </c>
      <c r="C279" s="282" t="s">
        <v>26</v>
      </c>
      <c r="D279" s="282" t="s">
        <v>237</v>
      </c>
      <c r="E279" s="298">
        <v>8.9999999999999998E-4</v>
      </c>
      <c r="F279" s="283">
        <f>_xlfn.XLOOKUP(A279,COMP_AUX!$F$13:$F$1400,COMP_AUX!$G$13:$G$1400,_xlfn.XLOOKUP(A279,CUSTO_INSU!$A$12:$A$201,CUSTO_INSU!$G$12:$G$201))</f>
        <v>21.64</v>
      </c>
      <c r="G279" s="283">
        <f>TRUNC(TRUNC(E279,8)*F279,2)</f>
        <v>0.01</v>
      </c>
    </row>
    <row r="280" spans="1:7" s="31" customFormat="1" ht="10.5">
      <c r="A280" s="284"/>
      <c r="B280" s="32"/>
      <c r="C280" s="32"/>
      <c r="D280" s="32"/>
      <c r="E280" s="285" t="s">
        <v>1300</v>
      </c>
      <c r="F280" s="285"/>
      <c r="G280" s="286">
        <f>SUM(G278:G279)</f>
        <v>0.03</v>
      </c>
    </row>
    <row r="281" spans="1:7" s="31" customFormat="1" ht="21">
      <c r="A281" s="277" t="s">
        <v>256</v>
      </c>
      <c r="B281" s="278"/>
      <c r="C281" s="279" t="s">
        <v>4</v>
      </c>
      <c r="D281" s="279" t="s">
        <v>243</v>
      </c>
      <c r="E281" s="279" t="s">
        <v>244</v>
      </c>
      <c r="F281" s="279" t="s">
        <v>245</v>
      </c>
      <c r="G281" s="279" t="s">
        <v>246</v>
      </c>
    </row>
    <row r="282" spans="1:7" s="31" customFormat="1" ht="30">
      <c r="A282" s="280">
        <v>11029</v>
      </c>
      <c r="B282" s="281" t="s">
        <v>332</v>
      </c>
      <c r="C282" s="282" t="s">
        <v>26</v>
      </c>
      <c r="D282" s="282" t="s">
        <v>58</v>
      </c>
      <c r="E282" s="298">
        <v>4.1500000000000004</v>
      </c>
      <c r="F282" s="283">
        <f>_xlfn.XLOOKUP(A282,COMP_AUX!$F$13:$F$1400,COMP_AUX!$G$13:$G$1400,_xlfn.XLOOKUP(A282,CUSTO_INSU!$A$12:$A$201,CUSTO_INSU!$G$12:$G$201))</f>
        <v>2.23</v>
      </c>
      <c r="G282" s="283">
        <f>TRUNC(TRUNC(E282,8)*F282,2)</f>
        <v>9.25</v>
      </c>
    </row>
    <row r="283" spans="1:7" s="31" customFormat="1" ht="30">
      <c r="A283" s="280">
        <v>7243</v>
      </c>
      <c r="B283" s="281" t="s">
        <v>283</v>
      </c>
      <c r="C283" s="282" t="s">
        <v>26</v>
      </c>
      <c r="D283" s="282" t="s">
        <v>34</v>
      </c>
      <c r="E283" s="298">
        <v>1.1659999999999999</v>
      </c>
      <c r="F283" s="283">
        <f>_xlfn.XLOOKUP(A283,COMP_AUX!$F$13:$F$1400,COMP_AUX!$G$13:$G$1400,_xlfn.XLOOKUP(A283,CUSTO_INSU!$A$12:$A$201,CUSTO_INSU!$G$12:$G$201))</f>
        <v>50.74</v>
      </c>
      <c r="G283" s="283">
        <f>TRUNC(TRUNC(E283,8)*F283,2)</f>
        <v>59.16</v>
      </c>
    </row>
    <row r="284" spans="1:7" s="31" customFormat="1" ht="10.5">
      <c r="A284" s="284"/>
      <c r="B284" s="32"/>
      <c r="C284" s="32"/>
      <c r="D284" s="32"/>
      <c r="E284" s="285" t="s">
        <v>1305</v>
      </c>
      <c r="F284" s="285"/>
      <c r="G284" s="286">
        <f>SUM(G282:G283)</f>
        <v>68.41</v>
      </c>
    </row>
    <row r="285" spans="1:7" s="31" customFormat="1" ht="21">
      <c r="A285" s="277" t="s">
        <v>242</v>
      </c>
      <c r="B285" s="278"/>
      <c r="C285" s="279" t="s">
        <v>4</v>
      </c>
      <c r="D285" s="279" t="s">
        <v>243</v>
      </c>
      <c r="E285" s="279" t="s">
        <v>244</v>
      </c>
      <c r="F285" s="279" t="s">
        <v>245</v>
      </c>
      <c r="G285" s="279" t="s">
        <v>246</v>
      </c>
    </row>
    <row r="286" spans="1:7" s="31" customFormat="1" ht="10">
      <c r="A286" s="280">
        <v>88316</v>
      </c>
      <c r="B286" s="281" t="s">
        <v>275</v>
      </c>
      <c r="C286" s="282" t="s">
        <v>26</v>
      </c>
      <c r="D286" s="282" t="s">
        <v>265</v>
      </c>
      <c r="E286" s="298">
        <v>9.7000000000000003E-2</v>
      </c>
      <c r="F286" s="283">
        <f>_xlfn.XLOOKUP(A286,COMP_AUX!$F$13:$F$1400,COMP_AUX!$G$13:$G$1400,_xlfn.XLOOKUP(A286,CUSTO_INSU!$A$12:$A$201,CUSTO_INSU!$G$12:$G$201))</f>
        <v>20.27</v>
      </c>
      <c r="G286" s="283">
        <f>TRUNC(TRUNC(E286,8)*F286,2)</f>
        <v>1.96</v>
      </c>
    </row>
    <row r="287" spans="1:7" s="31" customFormat="1" ht="10">
      <c r="A287" s="280">
        <v>88323</v>
      </c>
      <c r="B287" s="281" t="s">
        <v>287</v>
      </c>
      <c r="C287" s="282" t="s">
        <v>26</v>
      </c>
      <c r="D287" s="282" t="s">
        <v>265</v>
      </c>
      <c r="E287" s="298">
        <v>9.0999999999999998E-2</v>
      </c>
      <c r="F287" s="283">
        <f>_xlfn.XLOOKUP(A287,COMP_AUX!$F$13:$F$1400,COMP_AUX!$G$13:$G$1400,_xlfn.XLOOKUP(A287,CUSTO_INSU!$A$12:$A$201,CUSTO_INSU!$G$12:$G$201))</f>
        <v>24.340000000000003</v>
      </c>
      <c r="G287" s="283">
        <f>TRUNC(TRUNC(E287,8)*F287,2)</f>
        <v>2.21</v>
      </c>
    </row>
    <row r="288" spans="1:7" s="31" customFormat="1" ht="10.5">
      <c r="A288" s="284"/>
      <c r="B288" s="32"/>
      <c r="C288" s="32"/>
      <c r="D288" s="32"/>
      <c r="E288" s="299" t="s">
        <v>1303</v>
      </c>
      <c r="F288" s="285"/>
      <c r="G288" s="286">
        <f>SUM(G286:G287)</f>
        <v>4.17</v>
      </c>
    </row>
    <row r="289" spans="1:7" s="31" customFormat="1" ht="10.5">
      <c r="A289" s="284"/>
      <c r="B289" s="32"/>
      <c r="C289" s="32"/>
      <c r="D289" s="32"/>
      <c r="E289" s="287" t="s">
        <v>255</v>
      </c>
      <c r="F289" s="287">
        <f>A276</f>
        <v>94213</v>
      </c>
      <c r="G289" s="288">
        <f>SUM(G280,G284,G288)</f>
        <v>72.61</v>
      </c>
    </row>
    <row r="290" spans="1:7" s="31" customFormat="1" ht="10">
      <c r="A290" s="284"/>
      <c r="B290" s="32"/>
      <c r="C290" s="32"/>
      <c r="D290" s="32"/>
      <c r="E290" s="289"/>
      <c r="F290" s="289"/>
      <c r="G290" s="289"/>
    </row>
    <row r="291" spans="1:7" s="31" customFormat="1" ht="31.5">
      <c r="A291" s="275">
        <v>100720</v>
      </c>
      <c r="B291" s="276" t="s">
        <v>902</v>
      </c>
      <c r="C291" s="276"/>
      <c r="D291" s="276"/>
      <c r="E291" s="276"/>
      <c r="F291" s="276"/>
      <c r="G291" s="276"/>
    </row>
    <row r="292" spans="1:7" s="31" customFormat="1" ht="21">
      <c r="A292" s="277" t="s">
        <v>256</v>
      </c>
      <c r="B292" s="278"/>
      <c r="C292" s="279" t="s">
        <v>4</v>
      </c>
      <c r="D292" s="279" t="s">
        <v>243</v>
      </c>
      <c r="E292" s="279" t="s">
        <v>244</v>
      </c>
      <c r="F292" s="279" t="s">
        <v>245</v>
      </c>
      <c r="G292" s="279" t="s">
        <v>246</v>
      </c>
    </row>
    <row r="293" spans="1:7" s="31" customFormat="1" ht="10">
      <c r="A293" s="280">
        <v>5318</v>
      </c>
      <c r="B293" s="281" t="s">
        <v>334</v>
      </c>
      <c r="C293" s="282" t="s">
        <v>26</v>
      </c>
      <c r="D293" s="282" t="s">
        <v>335</v>
      </c>
      <c r="E293" s="298">
        <v>1.06E-2</v>
      </c>
      <c r="F293" s="283">
        <f>_xlfn.XLOOKUP(A293,COMP_AUX!$F$13:$F$1400,COMP_AUX!$G$13:$G$1400,_xlfn.XLOOKUP(A293,CUSTO_INSU!$A$12:$A$201,CUSTO_INSU!$G$12:$G$201))</f>
        <v>19.29</v>
      </c>
      <c r="G293" s="283">
        <f>TRUNC(TRUNC(E293,8)*F293,2)</f>
        <v>0.2</v>
      </c>
    </row>
    <row r="294" spans="1:7" s="31" customFormat="1" ht="10">
      <c r="A294" s="280">
        <v>7307</v>
      </c>
      <c r="B294" s="281" t="s">
        <v>337</v>
      </c>
      <c r="C294" s="282" t="s">
        <v>26</v>
      </c>
      <c r="D294" s="282" t="s">
        <v>335</v>
      </c>
      <c r="E294" s="298">
        <v>0.1062</v>
      </c>
      <c r="F294" s="283">
        <f>_xlfn.XLOOKUP(A294,COMP_AUX!$F$13:$F$1400,COMP_AUX!$G$13:$G$1400,_xlfn.XLOOKUP(A294,CUSTO_INSU!$A$12:$A$201,CUSTO_INSU!$G$12:$G$201))</f>
        <v>32.96</v>
      </c>
      <c r="G294" s="283">
        <f>TRUNC(TRUNC(E294,8)*F294,2)</f>
        <v>3.5</v>
      </c>
    </row>
    <row r="295" spans="1:7" s="31" customFormat="1" ht="10.5">
      <c r="A295" s="284"/>
      <c r="B295" s="32"/>
      <c r="C295" s="32"/>
      <c r="D295" s="32"/>
      <c r="E295" s="285" t="s">
        <v>1305</v>
      </c>
      <c r="F295" s="285"/>
      <c r="G295" s="286">
        <f>SUM(G293:G294)</f>
        <v>3.7</v>
      </c>
    </row>
    <row r="296" spans="1:7" s="31" customFormat="1" ht="21">
      <c r="A296" s="277" t="s">
        <v>242</v>
      </c>
      <c r="B296" s="278"/>
      <c r="C296" s="279" t="s">
        <v>4</v>
      </c>
      <c r="D296" s="279" t="s">
        <v>243</v>
      </c>
      <c r="E296" s="279" t="s">
        <v>244</v>
      </c>
      <c r="F296" s="279" t="s">
        <v>245</v>
      </c>
      <c r="G296" s="279" t="s">
        <v>246</v>
      </c>
    </row>
    <row r="297" spans="1:7" s="31" customFormat="1" ht="10">
      <c r="A297" s="280">
        <v>88310</v>
      </c>
      <c r="B297" s="281" t="s">
        <v>339</v>
      </c>
      <c r="C297" s="282" t="s">
        <v>26</v>
      </c>
      <c r="D297" s="282" t="s">
        <v>265</v>
      </c>
      <c r="E297" s="298">
        <v>0.21490000000000001</v>
      </c>
      <c r="F297" s="283">
        <f>_xlfn.XLOOKUP(A297,COMP_AUX!$F$13:$F$1400,COMP_AUX!$G$13:$G$1400,_xlfn.XLOOKUP(A297,CUSTO_INSU!$A$12:$A$201,CUSTO_INSU!$G$12:$G$201))</f>
        <v>26.59</v>
      </c>
      <c r="G297" s="283">
        <f>TRUNC(TRUNC(E297,8)*F297,2)</f>
        <v>5.71</v>
      </c>
    </row>
    <row r="298" spans="1:7" s="31" customFormat="1" ht="10.5">
      <c r="A298" s="284"/>
      <c r="B298" s="32"/>
      <c r="C298" s="32"/>
      <c r="D298" s="32"/>
      <c r="E298" s="285" t="s">
        <v>1303</v>
      </c>
      <c r="F298" s="283"/>
      <c r="G298" s="286">
        <f>SUM(G297:G297)</f>
        <v>5.71</v>
      </c>
    </row>
    <row r="299" spans="1:7" s="31" customFormat="1" ht="10.5">
      <c r="A299" s="284"/>
      <c r="B299" s="32"/>
      <c r="C299" s="32"/>
      <c r="D299" s="32"/>
      <c r="E299" s="287" t="s">
        <v>255</v>
      </c>
      <c r="F299" s="287">
        <f>A291</f>
        <v>100720</v>
      </c>
      <c r="G299" s="288">
        <f>SUM(G295,G298)</f>
        <v>9.41</v>
      </c>
    </row>
    <row r="300" spans="1:7" s="31" customFormat="1" ht="10">
      <c r="A300" s="284"/>
      <c r="B300" s="32"/>
      <c r="C300" s="32"/>
      <c r="D300" s="32"/>
      <c r="E300" s="289"/>
      <c r="F300" s="289"/>
      <c r="G300" s="289"/>
    </row>
    <row r="301" spans="1:7" s="31" customFormat="1" ht="42">
      <c r="A301" s="275">
        <v>100740</v>
      </c>
      <c r="B301" s="276" t="s">
        <v>903</v>
      </c>
      <c r="C301" s="276"/>
      <c r="D301" s="276"/>
      <c r="E301" s="276"/>
      <c r="F301" s="276"/>
      <c r="G301" s="276"/>
    </row>
    <row r="302" spans="1:7" s="31" customFormat="1" ht="21">
      <c r="A302" s="277" t="s">
        <v>256</v>
      </c>
      <c r="B302" s="278"/>
      <c r="C302" s="279" t="s">
        <v>4</v>
      </c>
      <c r="D302" s="279" t="s">
        <v>243</v>
      </c>
      <c r="E302" s="279" t="s">
        <v>244</v>
      </c>
      <c r="F302" s="279" t="s">
        <v>245</v>
      </c>
      <c r="G302" s="279" t="s">
        <v>246</v>
      </c>
    </row>
    <row r="303" spans="1:7" s="31" customFormat="1" ht="10">
      <c r="A303" s="280">
        <v>5318</v>
      </c>
      <c r="B303" s="281" t="s">
        <v>334</v>
      </c>
      <c r="C303" s="282" t="s">
        <v>26</v>
      </c>
      <c r="D303" s="282" t="s">
        <v>335</v>
      </c>
      <c r="E303" s="298">
        <v>1.24E-2</v>
      </c>
      <c r="F303" s="283">
        <f>_xlfn.XLOOKUP(A303,COMP_AUX!$F$13:$F$1400,COMP_AUX!$G$13:$G$1400,_xlfn.XLOOKUP(A303,CUSTO_INSU!$A$12:$A$201,CUSTO_INSU!$G$12:$G$201))</f>
        <v>19.29</v>
      </c>
      <c r="G303" s="283">
        <f>TRUNC(TRUNC(E303,8)*F303,2)</f>
        <v>0.23</v>
      </c>
    </row>
    <row r="304" spans="1:7" s="31" customFormat="1" ht="10">
      <c r="A304" s="280">
        <v>7311</v>
      </c>
      <c r="B304" s="281" t="s">
        <v>340</v>
      </c>
      <c r="C304" s="282" t="s">
        <v>26</v>
      </c>
      <c r="D304" s="282" t="s">
        <v>335</v>
      </c>
      <c r="E304" s="298">
        <v>0.1242</v>
      </c>
      <c r="F304" s="283">
        <f>_xlfn.XLOOKUP(A304,COMP_AUX!$F$13:$F$1400,COMP_AUX!$G$13:$G$1400,_xlfn.XLOOKUP(A304,CUSTO_INSU!$A$12:$A$201,CUSTO_INSU!$G$12:$G$201))</f>
        <v>31.56</v>
      </c>
      <c r="G304" s="283">
        <f>TRUNC(TRUNC(E304,8)*F304,2)</f>
        <v>3.91</v>
      </c>
    </row>
    <row r="305" spans="1:7" s="31" customFormat="1" ht="10.5">
      <c r="A305" s="284"/>
      <c r="B305" s="32"/>
      <c r="C305" s="32"/>
      <c r="D305" s="32"/>
      <c r="E305" s="285" t="s">
        <v>1305</v>
      </c>
      <c r="F305" s="285"/>
      <c r="G305" s="286">
        <f>SUM(G303:G304)</f>
        <v>4.1400000000000006</v>
      </c>
    </row>
    <row r="306" spans="1:7" s="31" customFormat="1" ht="21">
      <c r="A306" s="277" t="s">
        <v>242</v>
      </c>
      <c r="B306" s="278"/>
      <c r="C306" s="279" t="s">
        <v>4</v>
      </c>
      <c r="D306" s="279" t="s">
        <v>243</v>
      </c>
      <c r="E306" s="279" t="s">
        <v>244</v>
      </c>
      <c r="F306" s="279" t="s">
        <v>245</v>
      </c>
      <c r="G306" s="279" t="s">
        <v>246</v>
      </c>
    </row>
    <row r="307" spans="1:7" s="31" customFormat="1" ht="10">
      <c r="A307" s="280">
        <v>88310</v>
      </c>
      <c r="B307" s="281" t="s">
        <v>339</v>
      </c>
      <c r="C307" s="282" t="s">
        <v>26</v>
      </c>
      <c r="D307" s="282" t="s">
        <v>265</v>
      </c>
      <c r="E307" s="298">
        <v>0.21490000000000001</v>
      </c>
      <c r="F307" s="283">
        <f>_xlfn.XLOOKUP(A307,COMP_AUX!$F$13:$F$1400,COMP_AUX!$G$13:$G$1400,_xlfn.XLOOKUP(A307,CUSTO_INSU!$A$12:$A$201,CUSTO_INSU!$G$12:$G$201))</f>
        <v>26.59</v>
      </c>
      <c r="G307" s="283">
        <f>TRUNC(TRUNC(E307,8)*F307,2)</f>
        <v>5.71</v>
      </c>
    </row>
    <row r="308" spans="1:7" s="31" customFormat="1" ht="10.5">
      <c r="A308" s="284"/>
      <c r="B308" s="32"/>
      <c r="C308" s="32"/>
      <c r="D308" s="32"/>
      <c r="E308" s="285" t="s">
        <v>1303</v>
      </c>
      <c r="F308" s="285"/>
      <c r="G308" s="286">
        <f>SUM(G307:G307)</f>
        <v>5.71</v>
      </c>
    </row>
    <row r="309" spans="1:7" s="31" customFormat="1" ht="10.5">
      <c r="A309" s="284"/>
      <c r="B309" s="32"/>
      <c r="C309" s="32"/>
      <c r="D309" s="32"/>
      <c r="E309" s="287" t="s">
        <v>255</v>
      </c>
      <c r="F309" s="287">
        <f>A301</f>
        <v>100740</v>
      </c>
      <c r="G309" s="288">
        <f>SUM(G305,G308)</f>
        <v>9.8500000000000014</v>
      </c>
    </row>
    <row r="310" spans="1:7" s="31" customFormat="1" ht="10">
      <c r="A310" s="284"/>
      <c r="B310" s="32"/>
      <c r="C310" s="32"/>
      <c r="D310" s="32"/>
      <c r="E310" s="289"/>
      <c r="F310" s="289"/>
      <c r="G310" s="289"/>
    </row>
    <row r="311" spans="1:7" s="31" customFormat="1" ht="31.5">
      <c r="A311" s="275" t="s">
        <v>102</v>
      </c>
      <c r="B311" s="276" t="s">
        <v>904</v>
      </c>
      <c r="C311" s="276"/>
      <c r="D311" s="276"/>
      <c r="E311" s="276"/>
      <c r="F311" s="276"/>
      <c r="G311" s="276"/>
    </row>
    <row r="312" spans="1:7" s="31" customFormat="1" ht="21">
      <c r="A312" s="277" t="s">
        <v>256</v>
      </c>
      <c r="B312" s="278"/>
      <c r="C312" s="279" t="s">
        <v>4</v>
      </c>
      <c r="D312" s="279" t="s">
        <v>243</v>
      </c>
      <c r="E312" s="279" t="s">
        <v>244</v>
      </c>
      <c r="F312" s="279" t="s">
        <v>245</v>
      </c>
      <c r="G312" s="279" t="s">
        <v>246</v>
      </c>
    </row>
    <row r="313" spans="1:7" s="31" customFormat="1" ht="20">
      <c r="A313" s="280">
        <v>21127</v>
      </c>
      <c r="B313" s="281" t="s">
        <v>299</v>
      </c>
      <c r="C313" s="282" t="s">
        <v>26</v>
      </c>
      <c r="D313" s="282" t="s">
        <v>14</v>
      </c>
      <c r="E313" s="298">
        <v>8.9999999999999993E-3</v>
      </c>
      <c r="F313" s="283">
        <f>_xlfn.XLOOKUP(A313,COMP_AUX!$F$13:$F$1400,COMP_AUX!$G$13:$G$1400,_xlfn.XLOOKUP(A313,CUSTO_INSU!$A$12:$A$201,CUSTO_INSU!$G$12:$G$201))</f>
        <v>3.4</v>
      </c>
      <c r="G313" s="283">
        <f>ROUND(ROUND(E313,8)*F313,2)</f>
        <v>0.03</v>
      </c>
    </row>
    <row r="314" spans="1:7" s="31" customFormat="1" ht="10.5">
      <c r="A314" s="284"/>
      <c r="B314" s="32"/>
      <c r="C314" s="32"/>
      <c r="D314" s="32"/>
      <c r="E314" s="285" t="s">
        <v>1305</v>
      </c>
      <c r="F314" s="285"/>
      <c r="G314" s="286">
        <f>SUM(G313:G313)</f>
        <v>0.03</v>
      </c>
    </row>
    <row r="315" spans="1:7" s="31" customFormat="1" ht="21">
      <c r="A315" s="277" t="s">
        <v>242</v>
      </c>
      <c r="B315" s="278"/>
      <c r="C315" s="279" t="s">
        <v>4</v>
      </c>
      <c r="D315" s="279" t="s">
        <v>243</v>
      </c>
      <c r="E315" s="279" t="s">
        <v>244</v>
      </c>
      <c r="F315" s="279" t="s">
        <v>245</v>
      </c>
      <c r="G315" s="279" t="s">
        <v>246</v>
      </c>
    </row>
    <row r="316" spans="1:7" s="31" customFormat="1" ht="10">
      <c r="A316" s="280">
        <v>88247</v>
      </c>
      <c r="B316" s="281" t="s">
        <v>293</v>
      </c>
      <c r="C316" s="282" t="s">
        <v>26</v>
      </c>
      <c r="D316" s="282" t="s">
        <v>265</v>
      </c>
      <c r="E316" s="298">
        <v>0.3044</v>
      </c>
      <c r="F316" s="283">
        <f>_xlfn.XLOOKUP(A316,COMP_AUX!$F$13:$F$1400,COMP_AUX!$G$13:$G$1400,_xlfn.XLOOKUP(A316,CUSTO_INSU!$A$12:$A$201,CUSTO_INSU!$G$12:$G$201))</f>
        <v>21.5</v>
      </c>
      <c r="G316" s="283">
        <f>ROUND(ROUND(E316,8)*F316,2)</f>
        <v>6.54</v>
      </c>
    </row>
    <row r="317" spans="1:7" s="31" customFormat="1" ht="10">
      <c r="A317" s="280">
        <v>88264</v>
      </c>
      <c r="B317" s="281" t="s">
        <v>295</v>
      </c>
      <c r="C317" s="282" t="s">
        <v>26</v>
      </c>
      <c r="D317" s="282" t="s">
        <v>265</v>
      </c>
      <c r="E317" s="298">
        <v>0.3044</v>
      </c>
      <c r="F317" s="283">
        <f>_xlfn.XLOOKUP(A317,COMP_AUX!$F$13:$F$1400,COMP_AUX!$G$13:$G$1400,_xlfn.XLOOKUP(A317,CUSTO_INSU!$A$12:$A$201,CUSTO_INSU!$G$12:$G$201))</f>
        <v>25.55</v>
      </c>
      <c r="G317" s="283">
        <f>ROUND(ROUND(E317,8)*F317,2)</f>
        <v>7.78</v>
      </c>
    </row>
    <row r="318" spans="1:7" s="31" customFormat="1" ht="10.5">
      <c r="A318" s="284"/>
      <c r="B318" s="32"/>
      <c r="C318" s="32"/>
      <c r="D318" s="32"/>
      <c r="E318" s="285" t="s">
        <v>1303</v>
      </c>
      <c r="F318" s="285"/>
      <c r="G318" s="286">
        <f>SUM(G316:G317)</f>
        <v>14.32</v>
      </c>
    </row>
    <row r="319" spans="1:7" s="31" customFormat="1" ht="21">
      <c r="A319" s="403" t="s">
        <v>300</v>
      </c>
      <c r="B319" s="403"/>
      <c r="C319" s="403"/>
      <c r="D319" s="32"/>
      <c r="E319" s="287" t="s">
        <v>255</v>
      </c>
      <c r="F319" s="287" t="str">
        <f>A311</f>
        <v>JFPB-28435567</v>
      </c>
      <c r="G319" s="288">
        <f>SUM(G318,G314)</f>
        <v>14.35</v>
      </c>
    </row>
    <row r="320" spans="1:7" s="31" customFormat="1" ht="10">
      <c r="A320" s="294"/>
      <c r="B320" s="295"/>
      <c r="C320" s="295"/>
      <c r="D320" s="32"/>
      <c r="E320" s="32"/>
      <c r="F320" s="32"/>
      <c r="G320" s="32"/>
    </row>
    <row r="321" spans="1:7" s="31" customFormat="1" ht="10">
      <c r="A321" s="284"/>
      <c r="B321" s="32"/>
      <c r="C321" s="32"/>
      <c r="D321" s="32"/>
      <c r="E321" s="289"/>
      <c r="F321" s="289"/>
      <c r="G321" s="289"/>
    </row>
    <row r="322" spans="1:7" s="31" customFormat="1" ht="31.5">
      <c r="A322" s="275">
        <v>91926</v>
      </c>
      <c r="B322" s="276" t="s">
        <v>905</v>
      </c>
      <c r="C322" s="276"/>
      <c r="D322" s="276"/>
      <c r="E322" s="276"/>
      <c r="F322" s="276"/>
      <c r="G322" s="276"/>
    </row>
    <row r="323" spans="1:7" s="31" customFormat="1" ht="21">
      <c r="A323" s="277" t="s">
        <v>256</v>
      </c>
      <c r="B323" s="278"/>
      <c r="C323" s="279" t="s">
        <v>4</v>
      </c>
      <c r="D323" s="279" t="s">
        <v>243</v>
      </c>
      <c r="E323" s="279" t="s">
        <v>244</v>
      </c>
      <c r="F323" s="279" t="s">
        <v>245</v>
      </c>
      <c r="G323" s="279" t="s">
        <v>246</v>
      </c>
    </row>
    <row r="324" spans="1:7" s="31" customFormat="1" ht="30">
      <c r="A324" s="280">
        <v>1014</v>
      </c>
      <c r="B324" s="281" t="s">
        <v>341</v>
      </c>
      <c r="C324" s="282" t="s">
        <v>26</v>
      </c>
      <c r="D324" s="282" t="s">
        <v>70</v>
      </c>
      <c r="E324" s="298">
        <v>1.2434000000000001</v>
      </c>
      <c r="F324" s="283">
        <f>_xlfn.XLOOKUP(A324,COMP_AUX!$F$13:$F$1400,COMP_AUX!$G$13:$G$1400,_xlfn.XLOOKUP(A324,CUSTO_INSU!$A$12:$A$201,CUSTO_INSU!$G$12:$G$201))</f>
        <v>2.62</v>
      </c>
      <c r="G324" s="283">
        <f>TRUNC(TRUNC(E324,8)*F324,2)</f>
        <v>3.25</v>
      </c>
    </row>
    <row r="325" spans="1:7" s="31" customFormat="1" ht="20">
      <c r="A325" s="280">
        <v>21127</v>
      </c>
      <c r="B325" s="281" t="s">
        <v>299</v>
      </c>
      <c r="C325" s="282" t="s">
        <v>26</v>
      </c>
      <c r="D325" s="282" t="s">
        <v>14</v>
      </c>
      <c r="E325" s="298">
        <v>9.4000000000000004E-3</v>
      </c>
      <c r="F325" s="283">
        <f>_xlfn.XLOOKUP(A325,COMP_AUX!$F$13:$F$1400,COMP_AUX!$G$13:$G$1400,_xlfn.XLOOKUP(A325,CUSTO_INSU!$A$12:$A$201,CUSTO_INSU!$G$12:$G$201))</f>
        <v>3.4</v>
      </c>
      <c r="G325" s="283">
        <f>TRUNC(TRUNC(E325,8)*F325,2)</f>
        <v>0.03</v>
      </c>
    </row>
    <row r="326" spans="1:7" s="31" customFormat="1" ht="10.5">
      <c r="A326" s="284"/>
      <c r="B326" s="32"/>
      <c r="C326" s="32"/>
      <c r="D326" s="32"/>
      <c r="E326" s="285" t="s">
        <v>1305</v>
      </c>
      <c r="F326" s="285"/>
      <c r="G326" s="286">
        <f>SUM(G324:G325)</f>
        <v>3.28</v>
      </c>
    </row>
    <row r="327" spans="1:7" s="31" customFormat="1" ht="21">
      <c r="A327" s="277" t="s">
        <v>242</v>
      </c>
      <c r="B327" s="278"/>
      <c r="C327" s="279" t="s">
        <v>4</v>
      </c>
      <c r="D327" s="279" t="s">
        <v>243</v>
      </c>
      <c r="E327" s="279" t="s">
        <v>244</v>
      </c>
      <c r="F327" s="279" t="s">
        <v>245</v>
      </c>
      <c r="G327" s="279" t="s">
        <v>246</v>
      </c>
    </row>
    <row r="328" spans="1:7" s="31" customFormat="1" ht="10">
      <c r="A328" s="280">
        <v>88247</v>
      </c>
      <c r="B328" s="281" t="s">
        <v>293</v>
      </c>
      <c r="C328" s="282" t="s">
        <v>26</v>
      </c>
      <c r="D328" s="282" t="s">
        <v>265</v>
      </c>
      <c r="E328" s="298">
        <v>2.9000000000000001E-2</v>
      </c>
      <c r="F328" s="283">
        <f>_xlfn.XLOOKUP(A328,COMP_AUX!$F$13:$F$1400,COMP_AUX!$G$13:$G$1400,_xlfn.XLOOKUP(A328,CUSTO_INSU!$A$12:$A$201,CUSTO_INSU!$G$12:$G$201))</f>
        <v>21.5</v>
      </c>
      <c r="G328" s="283">
        <f>TRUNC(TRUNC(E328,8)*F328,2)</f>
        <v>0.62</v>
      </c>
    </row>
    <row r="329" spans="1:7" s="31" customFormat="1" ht="10">
      <c r="A329" s="280">
        <v>88264</v>
      </c>
      <c r="B329" s="281" t="s">
        <v>295</v>
      </c>
      <c r="C329" s="282" t="s">
        <v>26</v>
      </c>
      <c r="D329" s="282" t="s">
        <v>265</v>
      </c>
      <c r="E329" s="298">
        <v>2.9000000000000001E-2</v>
      </c>
      <c r="F329" s="283">
        <f>_xlfn.XLOOKUP(A329,COMP_AUX!$F$13:$F$1400,COMP_AUX!$G$13:$G$1400,_xlfn.XLOOKUP(A329,CUSTO_INSU!$A$12:$A$201,CUSTO_INSU!$G$12:$G$201))</f>
        <v>25.55</v>
      </c>
      <c r="G329" s="283">
        <f>TRUNC(TRUNC(E329,8)*F329,2)</f>
        <v>0.74</v>
      </c>
    </row>
    <row r="330" spans="1:7" s="31" customFormat="1" ht="10.5">
      <c r="A330" s="284"/>
      <c r="B330" s="32"/>
      <c r="C330" s="32"/>
      <c r="D330" s="32"/>
      <c r="E330" s="285" t="s">
        <v>1303</v>
      </c>
      <c r="F330" s="285"/>
      <c r="G330" s="286">
        <f>SUM(G328:G329)</f>
        <v>1.3599999999999999</v>
      </c>
    </row>
    <row r="331" spans="1:7" s="31" customFormat="1" ht="10.5">
      <c r="A331" s="284"/>
      <c r="B331" s="32"/>
      <c r="C331" s="32"/>
      <c r="D331" s="32"/>
      <c r="E331" s="287" t="s">
        <v>255</v>
      </c>
      <c r="F331" s="287">
        <f>A322</f>
        <v>91926</v>
      </c>
      <c r="G331" s="288">
        <f>SUM(G326,G330)</f>
        <v>4.6399999999999997</v>
      </c>
    </row>
    <row r="332" spans="1:7" s="31" customFormat="1" ht="10">
      <c r="A332" s="284"/>
      <c r="B332" s="32"/>
      <c r="C332" s="32"/>
      <c r="D332" s="32"/>
      <c r="E332" s="289"/>
      <c r="F332" s="289"/>
      <c r="G332" s="289"/>
    </row>
    <row r="333" spans="1:7" s="31" customFormat="1" ht="31.5">
      <c r="A333" s="275">
        <v>91927</v>
      </c>
      <c r="B333" s="276" t="s">
        <v>906</v>
      </c>
      <c r="C333" s="276"/>
      <c r="D333" s="276"/>
      <c r="E333" s="276"/>
      <c r="F333" s="276"/>
      <c r="G333" s="276"/>
    </row>
    <row r="334" spans="1:7" s="31" customFormat="1" ht="21">
      <c r="A334" s="277" t="s">
        <v>256</v>
      </c>
      <c r="B334" s="278"/>
      <c r="C334" s="279" t="s">
        <v>4</v>
      </c>
      <c r="D334" s="279" t="s">
        <v>243</v>
      </c>
      <c r="E334" s="279" t="s">
        <v>244</v>
      </c>
      <c r="F334" s="279" t="s">
        <v>245</v>
      </c>
      <c r="G334" s="279" t="s">
        <v>246</v>
      </c>
    </row>
    <row r="335" spans="1:7" s="31" customFormat="1" ht="30">
      <c r="A335" s="280">
        <v>1022</v>
      </c>
      <c r="B335" s="281" t="s">
        <v>342</v>
      </c>
      <c r="C335" s="282" t="s">
        <v>26</v>
      </c>
      <c r="D335" s="282" t="s">
        <v>70</v>
      </c>
      <c r="E335" s="298">
        <v>1.2434000000000001</v>
      </c>
      <c r="F335" s="283">
        <f>_xlfn.XLOOKUP(A335,COMP_AUX!$F$13:$F$1400,COMP_AUX!$G$13:$G$1400,_xlfn.XLOOKUP(A335,CUSTO_INSU!$A$12:$A$201,CUSTO_INSU!$G$12:$G$201))</f>
        <v>3.11</v>
      </c>
      <c r="G335" s="283">
        <f>TRUNC(TRUNC(E335,8)*F335,2)</f>
        <v>3.86</v>
      </c>
    </row>
    <row r="336" spans="1:7" s="31" customFormat="1" ht="20">
      <c r="A336" s="280">
        <v>21127</v>
      </c>
      <c r="B336" s="281" t="s">
        <v>299</v>
      </c>
      <c r="C336" s="282" t="s">
        <v>26</v>
      </c>
      <c r="D336" s="282" t="s">
        <v>14</v>
      </c>
      <c r="E336" s="298">
        <v>9.4000000000000004E-3</v>
      </c>
      <c r="F336" s="283">
        <f>_xlfn.XLOOKUP(A336,COMP_AUX!$F$13:$F$1400,COMP_AUX!$G$13:$G$1400,_xlfn.XLOOKUP(A336,CUSTO_INSU!$A$12:$A$201,CUSTO_INSU!$G$12:$G$201))</f>
        <v>3.4</v>
      </c>
      <c r="G336" s="283">
        <f>TRUNC(TRUNC(E336,8)*F336,2)</f>
        <v>0.03</v>
      </c>
    </row>
    <row r="337" spans="1:7" s="31" customFormat="1" ht="10.5">
      <c r="A337" s="284"/>
      <c r="B337" s="32"/>
      <c r="C337" s="32"/>
      <c r="D337" s="32"/>
      <c r="E337" s="285" t="s">
        <v>1305</v>
      </c>
      <c r="F337" s="285"/>
      <c r="G337" s="286">
        <f>SUM(G335:G336)</f>
        <v>3.8899999999999997</v>
      </c>
    </row>
    <row r="338" spans="1:7" s="31" customFormat="1" ht="21">
      <c r="A338" s="277" t="s">
        <v>242</v>
      </c>
      <c r="B338" s="278"/>
      <c r="C338" s="279" t="s">
        <v>4</v>
      </c>
      <c r="D338" s="279" t="s">
        <v>243</v>
      </c>
      <c r="E338" s="279" t="s">
        <v>244</v>
      </c>
      <c r="F338" s="279" t="s">
        <v>245</v>
      </c>
      <c r="G338" s="279" t="s">
        <v>246</v>
      </c>
    </row>
    <row r="339" spans="1:7" s="31" customFormat="1" ht="10">
      <c r="A339" s="280">
        <v>88247</v>
      </c>
      <c r="B339" s="281" t="s">
        <v>293</v>
      </c>
      <c r="C339" s="282" t="s">
        <v>26</v>
      </c>
      <c r="D339" s="282" t="s">
        <v>265</v>
      </c>
      <c r="E339" s="298">
        <v>2.9000000000000001E-2</v>
      </c>
      <c r="F339" s="283">
        <f>_xlfn.XLOOKUP(A339,COMP_AUX!$F$13:$F$1400,COMP_AUX!$G$13:$G$1400,_xlfn.XLOOKUP(A339,CUSTO_INSU!$A$12:$A$201,CUSTO_INSU!$G$12:$G$201))</f>
        <v>21.5</v>
      </c>
      <c r="G339" s="283">
        <f>TRUNC(TRUNC(E339,8)*F339,2)</f>
        <v>0.62</v>
      </c>
    </row>
    <row r="340" spans="1:7" s="31" customFormat="1" ht="10">
      <c r="A340" s="280">
        <v>88264</v>
      </c>
      <c r="B340" s="281" t="s">
        <v>295</v>
      </c>
      <c r="C340" s="282" t="s">
        <v>26</v>
      </c>
      <c r="D340" s="282" t="s">
        <v>265</v>
      </c>
      <c r="E340" s="298">
        <v>2.9000000000000001E-2</v>
      </c>
      <c r="F340" s="283">
        <f>_xlfn.XLOOKUP(A340,COMP_AUX!$F$13:$F$1400,COMP_AUX!$G$13:$G$1400,_xlfn.XLOOKUP(A340,CUSTO_INSU!$A$12:$A$201,CUSTO_INSU!$G$12:$G$201))</f>
        <v>25.55</v>
      </c>
      <c r="G340" s="283">
        <f>TRUNC(TRUNC(E340,8)*F340,2)</f>
        <v>0.74</v>
      </c>
    </row>
    <row r="341" spans="1:7" s="31" customFormat="1" ht="10.5">
      <c r="A341" s="284"/>
      <c r="B341" s="32"/>
      <c r="C341" s="32"/>
      <c r="D341" s="32"/>
      <c r="E341" s="285" t="s">
        <v>1303</v>
      </c>
      <c r="F341" s="285"/>
      <c r="G341" s="286">
        <f>SUM(G339:G340)</f>
        <v>1.3599999999999999</v>
      </c>
    </row>
    <row r="342" spans="1:7" s="31" customFormat="1" ht="10.5">
      <c r="A342" s="284"/>
      <c r="B342" s="32"/>
      <c r="C342" s="32"/>
      <c r="D342" s="32"/>
      <c r="E342" s="287" t="s">
        <v>255</v>
      </c>
      <c r="F342" s="287">
        <f>A333</f>
        <v>91927</v>
      </c>
      <c r="G342" s="288">
        <f>SUM(G337,G341)</f>
        <v>5.25</v>
      </c>
    </row>
    <row r="343" spans="1:7" s="31" customFormat="1" ht="10">
      <c r="A343" s="284"/>
      <c r="B343" s="32"/>
      <c r="C343" s="32"/>
      <c r="D343" s="32"/>
      <c r="E343" s="289"/>
      <c r="F343" s="289"/>
      <c r="G343" s="289"/>
    </row>
    <row r="344" spans="1:7" s="31" customFormat="1" ht="31.5">
      <c r="A344" s="275">
        <v>91929</v>
      </c>
      <c r="B344" s="276" t="s">
        <v>907</v>
      </c>
      <c r="C344" s="276"/>
      <c r="D344" s="276"/>
      <c r="E344" s="276"/>
      <c r="F344" s="276"/>
      <c r="G344" s="276"/>
    </row>
    <row r="345" spans="1:7" s="31" customFormat="1" ht="21">
      <c r="A345" s="277" t="s">
        <v>256</v>
      </c>
      <c r="B345" s="278"/>
      <c r="C345" s="279" t="s">
        <v>4</v>
      </c>
      <c r="D345" s="279" t="s">
        <v>243</v>
      </c>
      <c r="E345" s="279" t="s">
        <v>244</v>
      </c>
      <c r="F345" s="279" t="s">
        <v>245</v>
      </c>
      <c r="G345" s="279" t="s">
        <v>246</v>
      </c>
    </row>
    <row r="346" spans="1:7" s="31" customFormat="1" ht="30">
      <c r="A346" s="280">
        <v>1021</v>
      </c>
      <c r="B346" s="281" t="s">
        <v>343</v>
      </c>
      <c r="C346" s="282" t="s">
        <v>26</v>
      </c>
      <c r="D346" s="282" t="s">
        <v>70</v>
      </c>
      <c r="E346" s="298">
        <v>1.2434000000000001</v>
      </c>
      <c r="F346" s="283">
        <f>_xlfn.XLOOKUP(A346,COMP_AUX!$F$13:$F$1400,COMP_AUX!$G$13:$G$1400,_xlfn.XLOOKUP(A346,CUSTO_INSU!$A$12:$A$201,CUSTO_INSU!$G$12:$G$201))</f>
        <v>4.78</v>
      </c>
      <c r="G346" s="283">
        <f>TRUNC(TRUNC(E346,8)*F346,2)</f>
        <v>5.94</v>
      </c>
    </row>
    <row r="347" spans="1:7" s="31" customFormat="1" ht="20">
      <c r="A347" s="280">
        <v>21127</v>
      </c>
      <c r="B347" s="281" t="s">
        <v>299</v>
      </c>
      <c r="C347" s="282" t="s">
        <v>26</v>
      </c>
      <c r="D347" s="282" t="s">
        <v>14</v>
      </c>
      <c r="E347" s="298">
        <v>9.4000000000000004E-3</v>
      </c>
      <c r="F347" s="283">
        <f>_xlfn.XLOOKUP(A347,COMP_AUX!$F$13:$F$1400,COMP_AUX!$G$13:$G$1400,_xlfn.XLOOKUP(A347,CUSTO_INSU!$A$12:$A$201,CUSTO_INSU!$G$12:$G$201))</f>
        <v>3.4</v>
      </c>
      <c r="G347" s="283">
        <f>TRUNC(TRUNC(E347,8)*F347,2)</f>
        <v>0.03</v>
      </c>
    </row>
    <row r="348" spans="1:7" s="31" customFormat="1" ht="10.5">
      <c r="A348" s="284"/>
      <c r="B348" s="32"/>
      <c r="C348" s="32"/>
      <c r="D348" s="32"/>
      <c r="E348" s="285" t="s">
        <v>1305</v>
      </c>
      <c r="F348" s="285"/>
      <c r="G348" s="286">
        <f>SUM(G346:G347)</f>
        <v>5.9700000000000006</v>
      </c>
    </row>
    <row r="349" spans="1:7" s="31" customFormat="1" ht="21">
      <c r="A349" s="277" t="s">
        <v>242</v>
      </c>
      <c r="B349" s="278"/>
      <c r="C349" s="279" t="s">
        <v>4</v>
      </c>
      <c r="D349" s="279" t="s">
        <v>243</v>
      </c>
      <c r="E349" s="279" t="s">
        <v>244</v>
      </c>
      <c r="F349" s="279" t="s">
        <v>245</v>
      </c>
      <c r="G349" s="279" t="s">
        <v>246</v>
      </c>
    </row>
    <row r="350" spans="1:7" s="31" customFormat="1" ht="10">
      <c r="A350" s="280">
        <v>88247</v>
      </c>
      <c r="B350" s="281" t="s">
        <v>293</v>
      </c>
      <c r="C350" s="282" t="s">
        <v>26</v>
      </c>
      <c r="D350" s="282" t="s">
        <v>265</v>
      </c>
      <c r="E350" s="298">
        <v>3.9E-2</v>
      </c>
      <c r="F350" s="283">
        <f>_xlfn.XLOOKUP(A350,COMP_AUX!$F$13:$F$1400,COMP_AUX!$G$13:$G$1400,_xlfn.XLOOKUP(A350,CUSTO_INSU!$A$12:$A$201,CUSTO_INSU!$G$12:$G$201))</f>
        <v>21.5</v>
      </c>
      <c r="G350" s="283">
        <f>TRUNC(TRUNC(E350,8)*F350,2)</f>
        <v>0.83</v>
      </c>
    </row>
    <row r="351" spans="1:7" s="31" customFormat="1" ht="10">
      <c r="A351" s="280">
        <v>88264</v>
      </c>
      <c r="B351" s="281" t="s">
        <v>295</v>
      </c>
      <c r="C351" s="282" t="s">
        <v>26</v>
      </c>
      <c r="D351" s="282" t="s">
        <v>265</v>
      </c>
      <c r="E351" s="298">
        <v>3.9E-2</v>
      </c>
      <c r="F351" s="283">
        <f>_xlfn.XLOOKUP(A351,COMP_AUX!$F$13:$F$1400,COMP_AUX!$G$13:$G$1400,_xlfn.XLOOKUP(A351,CUSTO_INSU!$A$12:$A$201,CUSTO_INSU!$G$12:$G$201))</f>
        <v>25.55</v>
      </c>
      <c r="G351" s="283">
        <f>TRUNC(TRUNC(E351,8)*F351,2)</f>
        <v>0.99</v>
      </c>
    </row>
    <row r="352" spans="1:7" s="31" customFormat="1" ht="10.5">
      <c r="A352" s="284"/>
      <c r="B352" s="32"/>
      <c r="C352" s="32"/>
      <c r="D352" s="32"/>
      <c r="E352" s="285" t="s">
        <v>1303</v>
      </c>
      <c r="F352" s="285"/>
      <c r="G352" s="286">
        <f>SUM(G350:G351)</f>
        <v>1.8199999999999998</v>
      </c>
    </row>
    <row r="353" spans="1:7" s="31" customFormat="1" ht="10.5">
      <c r="A353" s="284"/>
      <c r="B353" s="32"/>
      <c r="C353" s="32"/>
      <c r="D353" s="32"/>
      <c r="E353" s="287" t="s">
        <v>255</v>
      </c>
      <c r="F353" s="287">
        <f>A344</f>
        <v>91929</v>
      </c>
      <c r="G353" s="288">
        <f>SUM(G348,G352)</f>
        <v>7.7900000000000009</v>
      </c>
    </row>
    <row r="354" spans="1:7" s="31" customFormat="1" ht="10">
      <c r="A354" s="284"/>
      <c r="B354" s="32"/>
      <c r="C354" s="32"/>
      <c r="D354" s="32"/>
      <c r="E354" s="289"/>
      <c r="F354" s="289"/>
      <c r="G354" s="289"/>
    </row>
    <row r="355" spans="1:7" s="31" customFormat="1" ht="31.5">
      <c r="A355" s="275">
        <v>91931</v>
      </c>
      <c r="B355" s="276" t="s">
        <v>908</v>
      </c>
      <c r="C355" s="276"/>
      <c r="D355" s="276"/>
      <c r="E355" s="276"/>
      <c r="F355" s="276"/>
      <c r="G355" s="276"/>
    </row>
    <row r="356" spans="1:7" s="31" customFormat="1" ht="21">
      <c r="A356" s="277" t="s">
        <v>256</v>
      </c>
      <c r="B356" s="278"/>
      <c r="C356" s="279" t="s">
        <v>4</v>
      </c>
      <c r="D356" s="279" t="s">
        <v>243</v>
      </c>
      <c r="E356" s="279" t="s">
        <v>244</v>
      </c>
      <c r="F356" s="279" t="s">
        <v>245</v>
      </c>
      <c r="G356" s="279" t="s">
        <v>246</v>
      </c>
    </row>
    <row r="357" spans="1:7" s="31" customFormat="1" ht="30">
      <c r="A357" s="280">
        <v>994</v>
      </c>
      <c r="B357" s="281" t="s">
        <v>344</v>
      </c>
      <c r="C357" s="282" t="s">
        <v>26</v>
      </c>
      <c r="D357" s="282" t="s">
        <v>70</v>
      </c>
      <c r="E357" s="298">
        <v>1.2434000000000001</v>
      </c>
      <c r="F357" s="283">
        <f>_xlfn.XLOOKUP(A357,COMP_AUX!$F$13:$F$1400,COMP_AUX!$G$13:$G$1400,_xlfn.XLOOKUP(A357,CUSTO_INSU!$A$12:$A$201,CUSTO_INSU!$G$12:$G$201))</f>
        <v>6.95</v>
      </c>
      <c r="G357" s="283">
        <f>TRUNC(TRUNC(E357,8)*F357,2)</f>
        <v>8.64</v>
      </c>
    </row>
    <row r="358" spans="1:7" s="31" customFormat="1" ht="20">
      <c r="A358" s="280">
        <v>21127</v>
      </c>
      <c r="B358" s="281" t="s">
        <v>299</v>
      </c>
      <c r="C358" s="282" t="s">
        <v>26</v>
      </c>
      <c r="D358" s="282" t="s">
        <v>14</v>
      </c>
      <c r="E358" s="298">
        <v>9.4000000000000004E-3</v>
      </c>
      <c r="F358" s="283">
        <f>_xlfn.XLOOKUP(A358,COMP_AUX!$F$13:$F$1400,COMP_AUX!$G$13:$G$1400,_xlfn.XLOOKUP(A358,CUSTO_INSU!$A$12:$A$201,CUSTO_INSU!$G$12:$G$201))</f>
        <v>3.4</v>
      </c>
      <c r="G358" s="283">
        <f>TRUNC(TRUNC(E358,8)*F358,2)</f>
        <v>0.03</v>
      </c>
    </row>
    <row r="359" spans="1:7" s="31" customFormat="1" ht="10.5">
      <c r="A359" s="284"/>
      <c r="B359" s="32"/>
      <c r="C359" s="32"/>
      <c r="D359" s="32"/>
      <c r="E359" s="285" t="s">
        <v>1305</v>
      </c>
      <c r="F359" s="285"/>
      <c r="G359" s="286">
        <f>SUM(G357:G358)</f>
        <v>8.67</v>
      </c>
    </row>
    <row r="360" spans="1:7" s="31" customFormat="1" ht="21">
      <c r="A360" s="277" t="s">
        <v>242</v>
      </c>
      <c r="B360" s="278"/>
      <c r="C360" s="279" t="s">
        <v>4</v>
      </c>
      <c r="D360" s="279" t="s">
        <v>243</v>
      </c>
      <c r="E360" s="279" t="s">
        <v>244</v>
      </c>
      <c r="F360" s="279" t="s">
        <v>245</v>
      </c>
      <c r="G360" s="279" t="s">
        <v>246</v>
      </c>
    </row>
    <row r="361" spans="1:7" s="31" customFormat="1" ht="10">
      <c r="A361" s="280">
        <v>88247</v>
      </c>
      <c r="B361" s="281" t="s">
        <v>293</v>
      </c>
      <c r="C361" s="282" t="s">
        <v>26</v>
      </c>
      <c r="D361" s="282" t="s">
        <v>265</v>
      </c>
      <c r="E361" s="298">
        <v>5.0999999999999997E-2</v>
      </c>
      <c r="F361" s="283">
        <f>_xlfn.XLOOKUP(A361,COMP_AUX!$F$13:$F$1400,COMP_AUX!$G$13:$G$1400,_xlfn.XLOOKUP(A361,CUSTO_INSU!$A$12:$A$201,CUSTO_INSU!$G$12:$G$201))</f>
        <v>21.5</v>
      </c>
      <c r="G361" s="283">
        <f>TRUNC(TRUNC(E361,8)*F361,2)</f>
        <v>1.0900000000000001</v>
      </c>
    </row>
    <row r="362" spans="1:7" s="31" customFormat="1" ht="10">
      <c r="A362" s="280">
        <v>88264</v>
      </c>
      <c r="B362" s="281" t="s">
        <v>295</v>
      </c>
      <c r="C362" s="282" t="s">
        <v>26</v>
      </c>
      <c r="D362" s="282" t="s">
        <v>265</v>
      </c>
      <c r="E362" s="298">
        <v>5.0999999999999997E-2</v>
      </c>
      <c r="F362" s="283">
        <f>_xlfn.XLOOKUP(A362,COMP_AUX!$F$13:$F$1400,COMP_AUX!$G$13:$G$1400,_xlfn.XLOOKUP(A362,CUSTO_INSU!$A$12:$A$201,CUSTO_INSU!$G$12:$G$201))</f>
        <v>25.55</v>
      </c>
      <c r="G362" s="283">
        <f>TRUNC(TRUNC(E362,8)*F362,2)</f>
        <v>1.3</v>
      </c>
    </row>
    <row r="363" spans="1:7" s="31" customFormat="1" ht="10.5">
      <c r="A363" s="284"/>
      <c r="B363" s="32"/>
      <c r="C363" s="32"/>
      <c r="D363" s="32"/>
      <c r="E363" s="285" t="s">
        <v>1303</v>
      </c>
      <c r="F363" s="285"/>
      <c r="G363" s="286">
        <f>SUM(G361:G362)</f>
        <v>2.39</v>
      </c>
    </row>
    <row r="364" spans="1:7" s="31" customFormat="1" ht="10.5">
      <c r="A364" s="284"/>
      <c r="B364" s="32"/>
      <c r="C364" s="32"/>
      <c r="D364" s="32"/>
      <c r="E364" s="287" t="s">
        <v>255</v>
      </c>
      <c r="F364" s="287">
        <f>A355</f>
        <v>91931</v>
      </c>
      <c r="G364" s="288">
        <f>SUM(G359,G363)</f>
        <v>11.06</v>
      </c>
    </row>
    <row r="365" spans="1:7" s="31" customFormat="1" ht="10">
      <c r="A365" s="284"/>
      <c r="B365" s="32"/>
      <c r="C365" s="32"/>
      <c r="D365" s="32"/>
      <c r="E365" s="289"/>
      <c r="F365" s="289"/>
      <c r="G365" s="289"/>
    </row>
    <row r="366" spans="1:7" s="31" customFormat="1" ht="31.5">
      <c r="A366" s="275">
        <v>91933</v>
      </c>
      <c r="B366" s="276" t="s">
        <v>909</v>
      </c>
      <c r="C366" s="276"/>
      <c r="D366" s="276"/>
      <c r="E366" s="276"/>
      <c r="F366" s="276"/>
      <c r="G366" s="276"/>
    </row>
    <row r="367" spans="1:7" s="31" customFormat="1" ht="21">
      <c r="A367" s="277" t="s">
        <v>256</v>
      </c>
      <c r="B367" s="278"/>
      <c r="C367" s="279" t="s">
        <v>4</v>
      </c>
      <c r="D367" s="279" t="s">
        <v>243</v>
      </c>
      <c r="E367" s="279" t="s">
        <v>244</v>
      </c>
      <c r="F367" s="279" t="s">
        <v>245</v>
      </c>
      <c r="G367" s="279" t="s">
        <v>246</v>
      </c>
    </row>
    <row r="368" spans="1:7" s="31" customFormat="1" ht="30">
      <c r="A368" s="280">
        <v>1020</v>
      </c>
      <c r="B368" s="281" t="s">
        <v>345</v>
      </c>
      <c r="C368" s="282" t="s">
        <v>26</v>
      </c>
      <c r="D368" s="282" t="s">
        <v>70</v>
      </c>
      <c r="E368" s="298">
        <v>1.2434000000000001</v>
      </c>
      <c r="F368" s="283">
        <f>_xlfn.XLOOKUP(A368,COMP_AUX!$F$13:$F$1400,COMP_AUX!$G$13:$G$1400,_xlfn.XLOOKUP(A368,CUSTO_INSU!$A$12:$A$201,CUSTO_INSU!$G$12:$G$201))</f>
        <v>11.39</v>
      </c>
      <c r="G368" s="283">
        <f>TRUNC(TRUNC(E368,8)*F368,2)</f>
        <v>14.16</v>
      </c>
    </row>
    <row r="369" spans="1:7" s="31" customFormat="1" ht="20">
      <c r="A369" s="280">
        <v>21127</v>
      </c>
      <c r="B369" s="281" t="s">
        <v>299</v>
      </c>
      <c r="C369" s="282" t="s">
        <v>26</v>
      </c>
      <c r="D369" s="282" t="s">
        <v>14</v>
      </c>
      <c r="E369" s="298">
        <v>9.4000000000000004E-3</v>
      </c>
      <c r="F369" s="283">
        <f>_xlfn.XLOOKUP(A369,COMP_AUX!$F$13:$F$1400,COMP_AUX!$G$13:$G$1400,_xlfn.XLOOKUP(A369,CUSTO_INSU!$A$12:$A$201,CUSTO_INSU!$G$12:$G$201))</f>
        <v>3.4</v>
      </c>
      <c r="G369" s="283">
        <f>TRUNC(TRUNC(E369,8)*F369,2)</f>
        <v>0.03</v>
      </c>
    </row>
    <row r="370" spans="1:7" s="31" customFormat="1" ht="10.5">
      <c r="A370" s="284"/>
      <c r="B370" s="32"/>
      <c r="C370" s="32"/>
      <c r="D370" s="32"/>
      <c r="E370" s="285" t="s">
        <v>1305</v>
      </c>
      <c r="F370" s="285"/>
      <c r="G370" s="286">
        <f>SUM(G368:G369)</f>
        <v>14.19</v>
      </c>
    </row>
    <row r="371" spans="1:7" s="31" customFormat="1" ht="21">
      <c r="A371" s="277" t="s">
        <v>242</v>
      </c>
      <c r="B371" s="278"/>
      <c r="C371" s="279" t="s">
        <v>4</v>
      </c>
      <c r="D371" s="279" t="s">
        <v>243</v>
      </c>
      <c r="E371" s="279" t="s">
        <v>244</v>
      </c>
      <c r="F371" s="279" t="s">
        <v>245</v>
      </c>
      <c r="G371" s="279" t="s">
        <v>246</v>
      </c>
    </row>
    <row r="372" spans="1:7" s="31" customFormat="1" ht="10">
      <c r="A372" s="280">
        <v>88247</v>
      </c>
      <c r="B372" s="281" t="s">
        <v>293</v>
      </c>
      <c r="C372" s="282" t="s">
        <v>26</v>
      </c>
      <c r="D372" s="282" t="s">
        <v>265</v>
      </c>
      <c r="E372" s="297">
        <v>7.5999999999999998E-2</v>
      </c>
      <c r="F372" s="283">
        <f>_xlfn.XLOOKUP(A372,COMP_AUX!$F$13:$F$1400,COMP_AUX!$G$13:$G$1400,_xlfn.XLOOKUP(A372,CUSTO_INSU!$A$12:$A$201,CUSTO_INSU!$G$12:$G$201))</f>
        <v>21.5</v>
      </c>
      <c r="G372" s="283">
        <f>TRUNC(TRUNC(E372,8)*F372,2)</f>
        <v>1.63</v>
      </c>
    </row>
    <row r="373" spans="1:7" s="31" customFormat="1" ht="10">
      <c r="A373" s="280">
        <v>88264</v>
      </c>
      <c r="B373" s="281" t="s">
        <v>295</v>
      </c>
      <c r="C373" s="282" t="s">
        <v>26</v>
      </c>
      <c r="D373" s="282" t="s">
        <v>265</v>
      </c>
      <c r="E373" s="297">
        <v>7.5999999999999998E-2</v>
      </c>
      <c r="F373" s="283">
        <f>_xlfn.XLOOKUP(A373,COMP_AUX!$F$13:$F$1400,COMP_AUX!$G$13:$G$1400,_xlfn.XLOOKUP(A373,CUSTO_INSU!$A$12:$A$201,CUSTO_INSU!$G$12:$G$201))</f>
        <v>25.55</v>
      </c>
      <c r="G373" s="283">
        <f>TRUNC(TRUNC(E373,8)*F373,2)</f>
        <v>1.94</v>
      </c>
    </row>
    <row r="374" spans="1:7" s="31" customFormat="1" ht="10.5">
      <c r="A374" s="284"/>
      <c r="B374" s="32"/>
      <c r="C374" s="32"/>
      <c r="D374" s="32"/>
      <c r="E374" s="285" t="s">
        <v>1303</v>
      </c>
      <c r="F374" s="285"/>
      <c r="G374" s="286">
        <f>SUM(G372:G373)</f>
        <v>3.57</v>
      </c>
    </row>
    <row r="375" spans="1:7" s="31" customFormat="1" ht="10.5">
      <c r="A375" s="284"/>
      <c r="B375" s="32"/>
      <c r="C375" s="32"/>
      <c r="D375" s="32"/>
      <c r="E375" s="287" t="s">
        <v>255</v>
      </c>
      <c r="F375" s="287">
        <f>A366</f>
        <v>91933</v>
      </c>
      <c r="G375" s="288">
        <f>SUM(G370,G374)</f>
        <v>17.759999999999998</v>
      </c>
    </row>
    <row r="376" spans="1:7" s="31" customFormat="1" ht="10">
      <c r="A376" s="284"/>
      <c r="B376" s="32"/>
      <c r="C376" s="32"/>
      <c r="D376" s="32"/>
      <c r="E376" s="289"/>
      <c r="F376" s="289"/>
      <c r="G376" s="289"/>
    </row>
    <row r="377" spans="1:7" s="31" customFormat="1" ht="31.5">
      <c r="A377" s="275">
        <v>101887</v>
      </c>
      <c r="B377" s="276" t="s">
        <v>910</v>
      </c>
      <c r="C377" s="276"/>
      <c r="D377" s="276"/>
      <c r="E377" s="276"/>
      <c r="F377" s="276"/>
      <c r="G377" s="276"/>
    </row>
    <row r="378" spans="1:7" s="31" customFormat="1" ht="21">
      <c r="A378" s="277" t="s">
        <v>256</v>
      </c>
      <c r="B378" s="278"/>
      <c r="C378" s="279" t="s">
        <v>4</v>
      </c>
      <c r="D378" s="279" t="s">
        <v>243</v>
      </c>
      <c r="E378" s="279" t="s">
        <v>244</v>
      </c>
      <c r="F378" s="279" t="s">
        <v>245</v>
      </c>
      <c r="G378" s="279" t="s">
        <v>246</v>
      </c>
    </row>
    <row r="379" spans="1:7" s="31" customFormat="1" ht="30">
      <c r="A379" s="280">
        <v>995</v>
      </c>
      <c r="B379" s="281" t="s">
        <v>346</v>
      </c>
      <c r="C379" s="282" t="s">
        <v>26</v>
      </c>
      <c r="D379" s="282" t="s">
        <v>70</v>
      </c>
      <c r="E379" s="298">
        <v>1.0269999999999999</v>
      </c>
      <c r="F379" s="283">
        <f>_xlfn.XLOOKUP(A379,COMP_AUX!$F$13:$F$1400,COMP_AUX!$G$13:$G$1400,_xlfn.XLOOKUP(A379,CUSTO_INSU!$A$12:$A$201,CUSTO_INSU!$G$12:$G$201))</f>
        <v>18.14</v>
      </c>
      <c r="G379" s="283">
        <f>TRUNC(TRUNC(E379,8)*F379,2)</f>
        <v>18.62</v>
      </c>
    </row>
    <row r="380" spans="1:7" s="31" customFormat="1" ht="20">
      <c r="A380" s="280">
        <v>21127</v>
      </c>
      <c r="B380" s="281" t="s">
        <v>299</v>
      </c>
      <c r="C380" s="282" t="s">
        <v>26</v>
      </c>
      <c r="D380" s="282" t="s">
        <v>14</v>
      </c>
      <c r="E380" s="298">
        <v>0.01</v>
      </c>
      <c r="F380" s="283">
        <f>_xlfn.XLOOKUP(A380,COMP_AUX!$F$13:$F$1400,COMP_AUX!$G$13:$G$1400,_xlfn.XLOOKUP(A380,CUSTO_INSU!$A$12:$A$201,CUSTO_INSU!$G$12:$G$201))</f>
        <v>3.4</v>
      </c>
      <c r="G380" s="283">
        <f>TRUNC(TRUNC(E380,8)*F380,2)</f>
        <v>0.03</v>
      </c>
    </row>
    <row r="381" spans="1:7" s="31" customFormat="1" ht="10.5">
      <c r="A381" s="284"/>
      <c r="B381" s="32"/>
      <c r="C381" s="32"/>
      <c r="D381" s="32"/>
      <c r="E381" s="285" t="s">
        <v>1305</v>
      </c>
      <c r="F381" s="285"/>
      <c r="G381" s="286">
        <f>SUM(G379:G380)</f>
        <v>18.650000000000002</v>
      </c>
    </row>
    <row r="382" spans="1:7" s="31" customFormat="1" ht="21">
      <c r="A382" s="277" t="s">
        <v>242</v>
      </c>
      <c r="B382" s="278"/>
      <c r="C382" s="279" t="s">
        <v>4</v>
      </c>
      <c r="D382" s="279" t="s">
        <v>243</v>
      </c>
      <c r="E382" s="279" t="s">
        <v>244</v>
      </c>
      <c r="F382" s="279" t="s">
        <v>245</v>
      </c>
      <c r="G382" s="279" t="s">
        <v>246</v>
      </c>
    </row>
    <row r="383" spans="1:7" s="31" customFormat="1" ht="10">
      <c r="A383" s="280">
        <v>88247</v>
      </c>
      <c r="B383" s="281" t="s">
        <v>293</v>
      </c>
      <c r="C383" s="282" t="s">
        <v>26</v>
      </c>
      <c r="D383" s="282" t="s">
        <v>265</v>
      </c>
      <c r="E383" s="298">
        <v>7.1000000000000004E-3</v>
      </c>
      <c r="F383" s="283">
        <f>_xlfn.XLOOKUP(A383,COMP_AUX!$F$13:$F$1400,COMP_AUX!$G$13:$G$1400,_xlfn.XLOOKUP(A383,CUSTO_INSU!$A$12:$A$201,CUSTO_INSU!$G$12:$G$201))</f>
        <v>21.5</v>
      </c>
      <c r="G383" s="283">
        <f>TRUNC(TRUNC(E383,8)*F383,2)</f>
        <v>0.15</v>
      </c>
    </row>
    <row r="384" spans="1:7" s="31" customFormat="1" ht="10">
      <c r="A384" s="280">
        <v>88264</v>
      </c>
      <c r="B384" s="281" t="s">
        <v>295</v>
      </c>
      <c r="C384" s="282" t="s">
        <v>26</v>
      </c>
      <c r="D384" s="282" t="s">
        <v>265</v>
      </c>
      <c r="E384" s="298">
        <v>7.1000000000000004E-3</v>
      </c>
      <c r="F384" s="283">
        <f>_xlfn.XLOOKUP(A384,COMP_AUX!$F$13:$F$1400,COMP_AUX!$G$13:$G$1400,_xlfn.XLOOKUP(A384,CUSTO_INSU!$A$12:$A$201,CUSTO_INSU!$G$12:$G$201))</f>
        <v>25.55</v>
      </c>
      <c r="G384" s="283">
        <f>TRUNC(TRUNC(E384,8)*F384,2)</f>
        <v>0.18</v>
      </c>
    </row>
    <row r="385" spans="1:7" s="31" customFormat="1" ht="10.5">
      <c r="A385" s="284"/>
      <c r="B385" s="32"/>
      <c r="C385" s="32"/>
      <c r="D385" s="32"/>
      <c r="E385" s="285" t="s">
        <v>1303</v>
      </c>
      <c r="F385" s="285"/>
      <c r="G385" s="286">
        <f>SUM(G383:G384)</f>
        <v>0.32999999999999996</v>
      </c>
    </row>
    <row r="386" spans="1:7" s="31" customFormat="1" ht="10.5">
      <c r="A386" s="284"/>
      <c r="B386" s="32"/>
      <c r="C386" s="32"/>
      <c r="D386" s="32"/>
      <c r="E386" s="287" t="s">
        <v>255</v>
      </c>
      <c r="F386" s="287">
        <f>A377</f>
        <v>101887</v>
      </c>
      <c r="G386" s="288">
        <f>SUM(G381,G385)</f>
        <v>18.98</v>
      </c>
    </row>
    <row r="387" spans="1:7" s="31" customFormat="1" ht="10">
      <c r="A387" s="284"/>
      <c r="B387" s="32"/>
      <c r="C387" s="32"/>
      <c r="D387" s="32"/>
      <c r="E387" s="289"/>
      <c r="F387" s="289"/>
      <c r="G387" s="289"/>
    </row>
    <row r="388" spans="1:7" s="31" customFormat="1" ht="31.5">
      <c r="A388" s="275">
        <v>101889</v>
      </c>
      <c r="B388" s="276" t="s">
        <v>911</v>
      </c>
      <c r="C388" s="276"/>
      <c r="D388" s="276"/>
      <c r="E388" s="276"/>
      <c r="F388" s="276"/>
      <c r="G388" s="276"/>
    </row>
    <row r="389" spans="1:7" s="31" customFormat="1" ht="21">
      <c r="A389" s="277" t="s">
        <v>256</v>
      </c>
      <c r="B389" s="278"/>
      <c r="C389" s="279" t="s">
        <v>4</v>
      </c>
      <c r="D389" s="279" t="s">
        <v>243</v>
      </c>
      <c r="E389" s="279" t="s">
        <v>244</v>
      </c>
      <c r="F389" s="279" t="s">
        <v>245</v>
      </c>
      <c r="G389" s="279" t="s">
        <v>246</v>
      </c>
    </row>
    <row r="390" spans="1:7" s="31" customFormat="1" ht="30">
      <c r="A390" s="280">
        <v>996</v>
      </c>
      <c r="B390" s="281" t="s">
        <v>347</v>
      </c>
      <c r="C390" s="282" t="s">
        <v>26</v>
      </c>
      <c r="D390" s="282" t="s">
        <v>70</v>
      </c>
      <c r="E390" s="298">
        <v>1.0269999999999999</v>
      </c>
      <c r="F390" s="283">
        <f>_xlfn.XLOOKUP(A390,COMP_AUX!$F$13:$F$1400,COMP_AUX!$G$13:$G$1400,_xlfn.XLOOKUP(A390,CUSTO_INSU!$A$12:$A$201,CUSTO_INSU!$G$12:$G$201))</f>
        <v>28.14</v>
      </c>
      <c r="G390" s="283">
        <f>TRUNC(TRUNC(E390,8)*F390,2)</f>
        <v>28.89</v>
      </c>
    </row>
    <row r="391" spans="1:7" s="31" customFormat="1" ht="20">
      <c r="A391" s="280">
        <v>21127</v>
      </c>
      <c r="B391" s="281" t="s">
        <v>299</v>
      </c>
      <c r="C391" s="282" t="s">
        <v>26</v>
      </c>
      <c r="D391" s="282" t="s">
        <v>14</v>
      </c>
      <c r="E391" s="298">
        <v>0.01</v>
      </c>
      <c r="F391" s="283">
        <f>_xlfn.XLOOKUP(A391,COMP_AUX!$F$13:$F$1400,COMP_AUX!$G$13:$G$1400,_xlfn.XLOOKUP(A391,CUSTO_INSU!$A$12:$A$201,CUSTO_INSU!$G$12:$G$201))</f>
        <v>3.4</v>
      </c>
      <c r="G391" s="283">
        <f>TRUNC(TRUNC(E391,8)*F391,2)</f>
        <v>0.03</v>
      </c>
    </row>
    <row r="392" spans="1:7" s="31" customFormat="1" ht="10.5">
      <c r="A392" s="284"/>
      <c r="B392" s="32"/>
      <c r="C392" s="32"/>
      <c r="D392" s="32"/>
      <c r="E392" s="285" t="s">
        <v>1305</v>
      </c>
      <c r="F392" s="285"/>
      <c r="G392" s="286">
        <f>SUM(G390:G391)</f>
        <v>28.92</v>
      </c>
    </row>
    <row r="393" spans="1:7" s="31" customFormat="1" ht="21">
      <c r="A393" s="277" t="s">
        <v>242</v>
      </c>
      <c r="B393" s="278"/>
      <c r="C393" s="279" t="s">
        <v>4</v>
      </c>
      <c r="D393" s="279" t="s">
        <v>243</v>
      </c>
      <c r="E393" s="279" t="s">
        <v>244</v>
      </c>
      <c r="F393" s="279" t="s">
        <v>245</v>
      </c>
      <c r="G393" s="279" t="s">
        <v>246</v>
      </c>
    </row>
    <row r="394" spans="1:7" s="31" customFormat="1" ht="10">
      <c r="A394" s="280">
        <v>88247</v>
      </c>
      <c r="B394" s="281" t="s">
        <v>293</v>
      </c>
      <c r="C394" s="282" t="s">
        <v>26</v>
      </c>
      <c r="D394" s="282" t="s">
        <v>265</v>
      </c>
      <c r="E394" s="298">
        <v>1.1900000000000001E-2</v>
      </c>
      <c r="F394" s="283">
        <f>_xlfn.XLOOKUP(A394,COMP_AUX!$F$13:$F$1400,COMP_AUX!$G$13:$G$1400,_xlfn.XLOOKUP(A394,CUSTO_INSU!$A$12:$A$201,CUSTO_INSU!$G$12:$G$201))</f>
        <v>21.5</v>
      </c>
      <c r="G394" s="283">
        <f>TRUNC(TRUNC(E394,8)*F394,2)</f>
        <v>0.25</v>
      </c>
    </row>
    <row r="395" spans="1:7" s="31" customFormat="1" ht="10">
      <c r="A395" s="280">
        <v>88264</v>
      </c>
      <c r="B395" s="281" t="s">
        <v>295</v>
      </c>
      <c r="C395" s="282" t="s">
        <v>26</v>
      </c>
      <c r="D395" s="282" t="s">
        <v>265</v>
      </c>
      <c r="E395" s="298">
        <v>1.1900000000000001E-2</v>
      </c>
      <c r="F395" s="283">
        <f>_xlfn.XLOOKUP(A395,COMP_AUX!$F$13:$F$1400,COMP_AUX!$G$13:$G$1400,_xlfn.XLOOKUP(A395,CUSTO_INSU!$A$12:$A$201,CUSTO_INSU!$G$12:$G$201))</f>
        <v>25.55</v>
      </c>
      <c r="G395" s="283">
        <f>TRUNC(TRUNC(E395,8)*F395,2)</f>
        <v>0.3</v>
      </c>
    </row>
    <row r="396" spans="1:7" s="31" customFormat="1" ht="10.5">
      <c r="A396" s="284"/>
      <c r="B396" s="32"/>
      <c r="C396" s="32"/>
      <c r="D396" s="32"/>
      <c r="E396" s="285" t="s">
        <v>1303</v>
      </c>
      <c r="F396" s="285"/>
      <c r="G396" s="286">
        <f>SUM(G394:G395)</f>
        <v>0.55000000000000004</v>
      </c>
    </row>
    <row r="397" spans="1:7" s="31" customFormat="1" ht="10.5">
      <c r="A397" s="284"/>
      <c r="B397" s="32"/>
      <c r="C397" s="32"/>
      <c r="D397" s="32"/>
      <c r="E397" s="287" t="s">
        <v>255</v>
      </c>
      <c r="F397" s="287">
        <f>A388</f>
        <v>101889</v>
      </c>
      <c r="G397" s="288">
        <f>SUM(G392,G396)</f>
        <v>29.470000000000002</v>
      </c>
    </row>
    <row r="398" spans="1:7" s="31" customFormat="1" ht="10">
      <c r="A398" s="284"/>
      <c r="B398" s="32"/>
      <c r="C398" s="32"/>
      <c r="D398" s="32"/>
      <c r="E398" s="289"/>
      <c r="F398" s="289"/>
      <c r="G398" s="289"/>
    </row>
    <row r="399" spans="1:7" s="31" customFormat="1" ht="31.5">
      <c r="A399" s="275">
        <v>101563</v>
      </c>
      <c r="B399" s="276" t="s">
        <v>912</v>
      </c>
      <c r="C399" s="276"/>
      <c r="D399" s="276"/>
      <c r="E399" s="276"/>
      <c r="F399" s="276"/>
      <c r="G399" s="276"/>
    </row>
    <row r="400" spans="1:7" s="31" customFormat="1" ht="21">
      <c r="A400" s="277" t="s">
        <v>256</v>
      </c>
      <c r="B400" s="278"/>
      <c r="C400" s="279" t="s">
        <v>4</v>
      </c>
      <c r="D400" s="279" t="s">
        <v>243</v>
      </c>
      <c r="E400" s="279" t="s">
        <v>244</v>
      </c>
      <c r="F400" s="279" t="s">
        <v>245</v>
      </c>
      <c r="G400" s="279" t="s">
        <v>246</v>
      </c>
    </row>
    <row r="401" spans="1:7" s="31" customFormat="1" ht="30">
      <c r="A401" s="280">
        <v>1019</v>
      </c>
      <c r="B401" s="281" t="s">
        <v>348</v>
      </c>
      <c r="C401" s="282" t="s">
        <v>26</v>
      </c>
      <c r="D401" s="282" t="s">
        <v>70</v>
      </c>
      <c r="E401" s="298">
        <v>1.0401</v>
      </c>
      <c r="F401" s="283">
        <f>_xlfn.XLOOKUP(A401,COMP_AUX!$F$13:$F$1400,COMP_AUX!$G$13:$G$1400,_xlfn.XLOOKUP(A401,CUSTO_INSU!$A$12:$A$201,CUSTO_INSU!$G$12:$G$201))</f>
        <v>39.76</v>
      </c>
      <c r="G401" s="283">
        <f>TRUNC(TRUNC(E401,8)*F401,2)</f>
        <v>41.35</v>
      </c>
    </row>
    <row r="402" spans="1:7" s="31" customFormat="1" ht="10.5">
      <c r="A402" s="284"/>
      <c r="B402" s="32"/>
      <c r="C402" s="32"/>
      <c r="D402" s="32"/>
      <c r="E402" s="285" t="s">
        <v>1305</v>
      </c>
      <c r="F402" s="285"/>
      <c r="G402" s="286">
        <f>SUM(G401:G401)</f>
        <v>41.35</v>
      </c>
    </row>
    <row r="403" spans="1:7" s="31" customFormat="1" ht="21">
      <c r="A403" s="277" t="s">
        <v>242</v>
      </c>
      <c r="B403" s="278"/>
      <c r="C403" s="279" t="s">
        <v>4</v>
      </c>
      <c r="D403" s="279" t="s">
        <v>243</v>
      </c>
      <c r="E403" s="279" t="s">
        <v>244</v>
      </c>
      <c r="F403" s="279" t="s">
        <v>245</v>
      </c>
      <c r="G403" s="279" t="s">
        <v>246</v>
      </c>
    </row>
    <row r="404" spans="1:7" s="31" customFormat="1" ht="10">
      <c r="A404" s="280">
        <v>88264</v>
      </c>
      <c r="B404" s="281" t="s">
        <v>295</v>
      </c>
      <c r="C404" s="282" t="s">
        <v>26</v>
      </c>
      <c r="D404" s="282" t="s">
        <v>265</v>
      </c>
      <c r="E404" s="298">
        <v>3.0000000000000001E-3</v>
      </c>
      <c r="F404" s="283">
        <f>_xlfn.XLOOKUP(A404,COMP_AUX!$F$13:$F$1400,COMP_AUX!$G$13:$G$1400,_xlfn.XLOOKUP(A404,CUSTO_INSU!$A$12:$A$201,CUSTO_INSU!$G$12:$G$201))</f>
        <v>25.55</v>
      </c>
      <c r="G404" s="283">
        <f>TRUNC(TRUNC(E404,8)*F404,2)</f>
        <v>7.0000000000000007E-2</v>
      </c>
    </row>
    <row r="405" spans="1:7" s="31" customFormat="1" ht="10.5">
      <c r="A405" s="284"/>
      <c r="B405" s="32"/>
      <c r="C405" s="32"/>
      <c r="D405" s="32"/>
      <c r="E405" s="285" t="s">
        <v>1303</v>
      </c>
      <c r="F405" s="285"/>
      <c r="G405" s="286">
        <f>SUM(G404:G404)</f>
        <v>7.0000000000000007E-2</v>
      </c>
    </row>
    <row r="406" spans="1:7" s="31" customFormat="1" ht="10.5">
      <c r="A406" s="284"/>
      <c r="B406" s="32"/>
      <c r="C406" s="32"/>
      <c r="D406" s="32"/>
      <c r="E406" s="287" t="s">
        <v>255</v>
      </c>
      <c r="F406" s="287">
        <f>A399</f>
        <v>101563</v>
      </c>
      <c r="G406" s="288">
        <f>SUM(G402,G405)</f>
        <v>41.42</v>
      </c>
    </row>
    <row r="407" spans="1:7" s="31" customFormat="1" ht="10">
      <c r="A407" s="284"/>
      <c r="B407" s="32"/>
      <c r="C407" s="32"/>
      <c r="D407" s="32"/>
      <c r="E407" s="289"/>
      <c r="F407" s="289"/>
      <c r="G407" s="289"/>
    </row>
    <row r="408" spans="1:7" s="31" customFormat="1" ht="21">
      <c r="A408" s="275">
        <v>96978</v>
      </c>
      <c r="B408" s="276" t="s">
        <v>913</v>
      </c>
      <c r="C408" s="276"/>
      <c r="D408" s="276"/>
      <c r="E408" s="276"/>
      <c r="F408" s="276"/>
      <c r="G408" s="276"/>
    </row>
    <row r="409" spans="1:7" s="31" customFormat="1" ht="21">
      <c r="A409" s="277" t="s">
        <v>256</v>
      </c>
      <c r="B409" s="278"/>
      <c r="C409" s="279" t="s">
        <v>4</v>
      </c>
      <c r="D409" s="279" t="s">
        <v>243</v>
      </c>
      <c r="E409" s="279" t="s">
        <v>244</v>
      </c>
      <c r="F409" s="279" t="s">
        <v>245</v>
      </c>
      <c r="G409" s="279" t="s">
        <v>246</v>
      </c>
    </row>
    <row r="410" spans="1:7" s="31" customFormat="1" ht="10">
      <c r="A410" s="280">
        <v>864</v>
      </c>
      <c r="B410" s="281" t="s">
        <v>349</v>
      </c>
      <c r="C410" s="282" t="s">
        <v>26</v>
      </c>
      <c r="D410" s="282" t="s">
        <v>70</v>
      </c>
      <c r="E410" s="298">
        <v>1.05</v>
      </c>
      <c r="F410" s="283">
        <f>_xlfn.XLOOKUP(A410,COMP_AUX!$F$13:$F$1400,COMP_AUX!$G$13:$G$1400,_xlfn.XLOOKUP(A410,CUSTO_INSU!$A$12:$A$201,CUSTO_INSU!$G$12:$G$201))</f>
        <v>81.66</v>
      </c>
      <c r="G410" s="283">
        <f>TRUNC(TRUNC(E410,8)*F410,2)</f>
        <v>85.74</v>
      </c>
    </row>
    <row r="411" spans="1:7" s="31" customFormat="1" ht="10.5">
      <c r="A411" s="284"/>
      <c r="B411" s="32"/>
      <c r="C411" s="32"/>
      <c r="D411" s="32"/>
      <c r="E411" s="285" t="s">
        <v>1305</v>
      </c>
      <c r="F411" s="285"/>
      <c r="G411" s="286">
        <f>SUM(G410:G410)</f>
        <v>85.74</v>
      </c>
    </row>
    <row r="412" spans="1:7" s="31" customFormat="1" ht="21">
      <c r="A412" s="277" t="s">
        <v>242</v>
      </c>
      <c r="B412" s="278"/>
      <c r="C412" s="279" t="s">
        <v>4</v>
      </c>
      <c r="D412" s="279" t="s">
        <v>243</v>
      </c>
      <c r="E412" s="279" t="s">
        <v>244</v>
      </c>
      <c r="F412" s="279" t="s">
        <v>245</v>
      </c>
      <c r="G412" s="279" t="s">
        <v>246</v>
      </c>
    </row>
    <row r="413" spans="1:7" s="31" customFormat="1" ht="10">
      <c r="A413" s="280">
        <v>88247</v>
      </c>
      <c r="B413" s="281" t="s">
        <v>293</v>
      </c>
      <c r="C413" s="282" t="s">
        <v>26</v>
      </c>
      <c r="D413" s="282" t="s">
        <v>265</v>
      </c>
      <c r="E413" s="298">
        <v>0.04</v>
      </c>
      <c r="F413" s="283">
        <f>_xlfn.XLOOKUP(A413,COMP_AUX!$F$13:$F$1400,COMP_AUX!$G$13:$G$1400,_xlfn.XLOOKUP(A413,CUSTO_INSU!$A$12:$A$201,CUSTO_INSU!$G$12:$G$201))</f>
        <v>21.5</v>
      </c>
      <c r="G413" s="283">
        <f>TRUNC(TRUNC(E413,8)*F413,2)</f>
        <v>0.86</v>
      </c>
    </row>
    <row r="414" spans="1:7" s="31" customFormat="1" ht="10">
      <c r="A414" s="280">
        <v>88264</v>
      </c>
      <c r="B414" s="281" t="s">
        <v>295</v>
      </c>
      <c r="C414" s="282" t="s">
        <v>26</v>
      </c>
      <c r="D414" s="282" t="s">
        <v>265</v>
      </c>
      <c r="E414" s="298">
        <v>0.04</v>
      </c>
      <c r="F414" s="283">
        <f>_xlfn.XLOOKUP(A414,COMP_AUX!$F$13:$F$1400,COMP_AUX!$G$13:$G$1400,_xlfn.XLOOKUP(A414,CUSTO_INSU!$A$12:$A$201,CUSTO_INSU!$G$12:$G$201))</f>
        <v>25.55</v>
      </c>
      <c r="G414" s="283">
        <f>TRUNC(TRUNC(E414,8)*F414,2)</f>
        <v>1.02</v>
      </c>
    </row>
    <row r="415" spans="1:7" s="31" customFormat="1" ht="10.5">
      <c r="A415" s="284"/>
      <c r="B415" s="32"/>
      <c r="C415" s="32"/>
      <c r="D415" s="32"/>
      <c r="E415" s="285" t="s">
        <v>1303</v>
      </c>
      <c r="F415" s="285"/>
      <c r="G415" s="286">
        <f>SUM(G413:G414)</f>
        <v>1.88</v>
      </c>
    </row>
    <row r="416" spans="1:7" s="31" customFormat="1" ht="10.5">
      <c r="A416" s="284"/>
      <c r="B416" s="32"/>
      <c r="C416" s="32"/>
      <c r="D416" s="32"/>
      <c r="E416" s="287" t="s">
        <v>255</v>
      </c>
      <c r="F416" s="287">
        <f>A408</f>
        <v>96978</v>
      </c>
      <c r="G416" s="288">
        <f>SUM(G411,G415)</f>
        <v>87.61999999999999</v>
      </c>
    </row>
    <row r="417" spans="1:7" s="31" customFormat="1" ht="10">
      <c r="A417" s="284"/>
      <c r="B417" s="32"/>
      <c r="C417" s="32"/>
      <c r="D417" s="32"/>
      <c r="E417" s="289"/>
      <c r="F417" s="289"/>
      <c r="G417" s="289"/>
    </row>
    <row r="418" spans="1:7" s="31" customFormat="1" ht="21">
      <c r="A418" s="275" t="s">
        <v>123</v>
      </c>
      <c r="B418" s="276" t="s">
        <v>914</v>
      </c>
      <c r="C418" s="276"/>
      <c r="D418" s="276"/>
      <c r="E418" s="276"/>
      <c r="F418" s="276"/>
      <c r="G418" s="276"/>
    </row>
    <row r="419" spans="1:7" s="31" customFormat="1" ht="21">
      <c r="A419" s="277" t="s">
        <v>256</v>
      </c>
      <c r="B419" s="278"/>
      <c r="C419" s="279" t="s">
        <v>4</v>
      </c>
      <c r="D419" s="279" t="s">
        <v>243</v>
      </c>
      <c r="E419" s="279" t="s">
        <v>244</v>
      </c>
      <c r="F419" s="279" t="s">
        <v>245</v>
      </c>
      <c r="G419" s="279" t="s">
        <v>246</v>
      </c>
    </row>
    <row r="420" spans="1:7" s="31" customFormat="1" ht="10">
      <c r="A420" s="280" t="s">
        <v>350</v>
      </c>
      <c r="B420" s="281" t="s">
        <v>351</v>
      </c>
      <c r="C420" s="282" t="s">
        <v>253</v>
      </c>
      <c r="D420" s="282" t="s">
        <v>14</v>
      </c>
      <c r="E420" s="298">
        <v>1</v>
      </c>
      <c r="F420" s="283">
        <f>_xlfn.XLOOKUP(A420,COMP_AUX!$F$13:$F$1400,COMP_AUX!$G$13:$G$1400,_xlfn.XLOOKUP(A420,CUSTO_INSU!$A$12:$A$201,CUSTO_INSU!$G$12:$G$201))</f>
        <v>0.41</v>
      </c>
      <c r="G420" s="283">
        <f>ROUND(ROUND(E420,8)*F420,2)</f>
        <v>0.41</v>
      </c>
    </row>
    <row r="421" spans="1:7" s="31" customFormat="1" ht="10.5">
      <c r="A421" s="284"/>
      <c r="B421" s="32"/>
      <c r="C421" s="32"/>
      <c r="D421" s="32"/>
      <c r="E421" s="285" t="s">
        <v>1305</v>
      </c>
      <c r="F421" s="285"/>
      <c r="G421" s="286">
        <f>SUM(G420:G420)</f>
        <v>0.41</v>
      </c>
    </row>
    <row r="422" spans="1:7" s="31" customFormat="1" ht="21">
      <c r="A422" s="277" t="s">
        <v>242</v>
      </c>
      <c r="B422" s="278"/>
      <c r="C422" s="279" t="s">
        <v>4</v>
      </c>
      <c r="D422" s="279" t="s">
        <v>243</v>
      </c>
      <c r="E422" s="279" t="s">
        <v>244</v>
      </c>
      <c r="F422" s="279" t="s">
        <v>245</v>
      </c>
      <c r="G422" s="279" t="s">
        <v>246</v>
      </c>
    </row>
    <row r="423" spans="1:7" s="31" customFormat="1" ht="10">
      <c r="A423" s="280">
        <v>88247</v>
      </c>
      <c r="B423" s="281" t="s">
        <v>293</v>
      </c>
      <c r="C423" s="282" t="s">
        <v>26</v>
      </c>
      <c r="D423" s="282" t="s">
        <v>265</v>
      </c>
      <c r="E423" s="298">
        <v>0.03</v>
      </c>
      <c r="F423" s="283">
        <f>_xlfn.XLOOKUP(A423,COMP_AUX!$F$13:$F$1400,COMP_AUX!$G$13:$G$1400,_xlfn.XLOOKUP(A423,CUSTO_INSU!$A$12:$A$201,CUSTO_INSU!$G$12:$G$201))</f>
        <v>21.5</v>
      </c>
      <c r="G423" s="283">
        <f>ROUND(ROUND(E423,8)*F423,2)</f>
        <v>0.65</v>
      </c>
    </row>
    <row r="424" spans="1:7" s="31" customFormat="1" ht="10">
      <c r="A424" s="280">
        <v>88264</v>
      </c>
      <c r="B424" s="281" t="s">
        <v>295</v>
      </c>
      <c r="C424" s="282" t="s">
        <v>26</v>
      </c>
      <c r="D424" s="282" t="s">
        <v>265</v>
      </c>
      <c r="E424" s="298">
        <v>0.06</v>
      </c>
      <c r="F424" s="283">
        <f>_xlfn.XLOOKUP(A424,COMP_AUX!$F$13:$F$1400,COMP_AUX!$G$13:$G$1400,_xlfn.XLOOKUP(A424,CUSTO_INSU!$A$12:$A$201,CUSTO_INSU!$G$12:$G$201))</f>
        <v>25.55</v>
      </c>
      <c r="G424" s="283">
        <f>ROUND(ROUND(E424,8)*F424,2)</f>
        <v>1.53</v>
      </c>
    </row>
    <row r="425" spans="1:7" s="31" customFormat="1" ht="10.5">
      <c r="A425" s="284"/>
      <c r="B425" s="32"/>
      <c r="C425" s="32"/>
      <c r="D425" s="32"/>
      <c r="E425" s="285" t="s">
        <v>1303</v>
      </c>
      <c r="F425" s="285"/>
      <c r="G425" s="286">
        <f>SUM(G423:G424)</f>
        <v>2.1800000000000002</v>
      </c>
    </row>
    <row r="426" spans="1:7" s="31" customFormat="1" ht="21">
      <c r="A426" s="403" t="s">
        <v>352</v>
      </c>
      <c r="B426" s="403"/>
      <c r="C426" s="403"/>
      <c r="D426" s="32"/>
      <c r="E426" s="287" t="s">
        <v>255</v>
      </c>
      <c r="F426" s="287" t="str">
        <f>A418</f>
        <v>JFPB-49905298</v>
      </c>
      <c r="G426" s="288">
        <f>SUM(G425,G421)</f>
        <v>2.5900000000000003</v>
      </c>
    </row>
    <row r="427" spans="1:7" s="31" customFormat="1" ht="10">
      <c r="A427" s="294"/>
      <c r="B427" s="295"/>
      <c r="C427" s="295"/>
      <c r="D427" s="32"/>
      <c r="E427" s="32"/>
      <c r="F427" s="32"/>
      <c r="G427" s="32"/>
    </row>
    <row r="428" spans="1:7" s="31" customFormat="1" ht="10">
      <c r="A428" s="284"/>
      <c r="B428" s="32"/>
      <c r="C428" s="32"/>
      <c r="D428" s="32"/>
      <c r="E428" s="289"/>
      <c r="F428" s="289"/>
      <c r="G428" s="289"/>
    </row>
    <row r="429" spans="1:7" s="31" customFormat="1" ht="21">
      <c r="A429" s="275" t="s">
        <v>126</v>
      </c>
      <c r="B429" s="276" t="s">
        <v>915</v>
      </c>
      <c r="C429" s="276"/>
      <c r="D429" s="276"/>
      <c r="E429" s="276"/>
      <c r="F429" s="276"/>
      <c r="G429" s="276"/>
    </row>
    <row r="430" spans="1:7" s="31" customFormat="1" ht="21">
      <c r="A430" s="277" t="s">
        <v>256</v>
      </c>
      <c r="B430" s="278"/>
      <c r="C430" s="279" t="s">
        <v>4</v>
      </c>
      <c r="D430" s="279" t="s">
        <v>243</v>
      </c>
      <c r="E430" s="279" t="s">
        <v>244</v>
      </c>
      <c r="F430" s="279" t="s">
        <v>245</v>
      </c>
      <c r="G430" s="279" t="s">
        <v>246</v>
      </c>
    </row>
    <row r="431" spans="1:7" s="31" customFormat="1" ht="10">
      <c r="A431" s="280" t="s">
        <v>353</v>
      </c>
      <c r="B431" s="281" t="s">
        <v>354</v>
      </c>
      <c r="C431" s="282" t="s">
        <v>253</v>
      </c>
      <c r="D431" s="282" t="s">
        <v>14</v>
      </c>
      <c r="E431" s="298">
        <v>1</v>
      </c>
      <c r="F431" s="283">
        <f>_xlfn.XLOOKUP(A431,COMP_AUX!$F$13:$F$1400,COMP_AUX!$G$13:$G$1400,_xlfn.XLOOKUP(A431,CUSTO_INSU!$A$12:$A$201,CUSTO_INSU!$G$12:$G$201))</f>
        <v>0.64</v>
      </c>
      <c r="G431" s="283">
        <f>ROUND(ROUND(E431,8)*F431,2)</f>
        <v>0.64</v>
      </c>
    </row>
    <row r="432" spans="1:7" s="31" customFormat="1" ht="10.5">
      <c r="A432" s="284"/>
      <c r="B432" s="32"/>
      <c r="C432" s="32"/>
      <c r="D432" s="32"/>
      <c r="E432" s="285" t="s">
        <v>1305</v>
      </c>
      <c r="F432" s="285"/>
      <c r="G432" s="286">
        <f>SUM(G431:G431)</f>
        <v>0.64</v>
      </c>
    </row>
    <row r="433" spans="1:7" s="31" customFormat="1" ht="21">
      <c r="A433" s="277" t="s">
        <v>242</v>
      </c>
      <c r="B433" s="278"/>
      <c r="C433" s="279" t="s">
        <v>4</v>
      </c>
      <c r="D433" s="279" t="s">
        <v>243</v>
      </c>
      <c r="E433" s="279" t="s">
        <v>244</v>
      </c>
      <c r="F433" s="279" t="s">
        <v>245</v>
      </c>
      <c r="G433" s="279" t="s">
        <v>246</v>
      </c>
    </row>
    <row r="434" spans="1:7" s="31" customFormat="1" ht="10">
      <c r="A434" s="280">
        <v>88247</v>
      </c>
      <c r="B434" s="281" t="s">
        <v>293</v>
      </c>
      <c r="C434" s="282" t="s">
        <v>26</v>
      </c>
      <c r="D434" s="282" t="s">
        <v>265</v>
      </c>
      <c r="E434" s="298">
        <v>0.03</v>
      </c>
      <c r="F434" s="283">
        <f>_xlfn.XLOOKUP(A434,COMP_AUX!$F$13:$F$1400,COMP_AUX!$G$13:$G$1400,_xlfn.XLOOKUP(A434,CUSTO_INSU!$A$12:$A$201,CUSTO_INSU!$G$12:$G$201))</f>
        <v>21.5</v>
      </c>
      <c r="G434" s="283">
        <f>ROUND(ROUND(E434,8)*F434,2)</f>
        <v>0.65</v>
      </c>
    </row>
    <row r="435" spans="1:7" s="31" customFormat="1" ht="10">
      <c r="A435" s="280">
        <v>88264</v>
      </c>
      <c r="B435" s="281" t="s">
        <v>295</v>
      </c>
      <c r="C435" s="282" t="s">
        <v>26</v>
      </c>
      <c r="D435" s="282" t="s">
        <v>265</v>
      </c>
      <c r="E435" s="298">
        <v>0.06</v>
      </c>
      <c r="F435" s="283">
        <f>_xlfn.XLOOKUP(A435,COMP_AUX!$F$13:$F$1400,COMP_AUX!$G$13:$G$1400,_xlfn.XLOOKUP(A435,CUSTO_INSU!$A$12:$A$201,CUSTO_INSU!$G$12:$G$201))</f>
        <v>25.55</v>
      </c>
      <c r="G435" s="283">
        <f>ROUND(ROUND(E435,8)*F435,2)</f>
        <v>1.53</v>
      </c>
    </row>
    <row r="436" spans="1:7" s="31" customFormat="1" ht="10.5">
      <c r="A436" s="284"/>
      <c r="B436" s="32"/>
      <c r="C436" s="32"/>
      <c r="D436" s="32"/>
      <c r="E436" s="285" t="s">
        <v>1303</v>
      </c>
      <c r="F436" s="285"/>
      <c r="G436" s="286">
        <f>SUM(G434:G435)</f>
        <v>2.1800000000000002</v>
      </c>
    </row>
    <row r="437" spans="1:7" s="31" customFormat="1" ht="21">
      <c r="A437" s="403" t="s">
        <v>355</v>
      </c>
      <c r="B437" s="403"/>
      <c r="C437" s="403"/>
      <c r="D437" s="32"/>
      <c r="E437" s="287" t="s">
        <v>255</v>
      </c>
      <c r="F437" s="287" t="str">
        <f>A429</f>
        <v>JFPB-93825767</v>
      </c>
      <c r="G437" s="288">
        <f>SUM(G436,G432)</f>
        <v>2.8200000000000003</v>
      </c>
    </row>
    <row r="438" spans="1:7" s="31" customFormat="1" ht="10">
      <c r="A438" s="294"/>
      <c r="B438" s="295"/>
      <c r="C438" s="295"/>
      <c r="D438" s="32"/>
      <c r="E438" s="32"/>
      <c r="F438" s="32"/>
      <c r="G438" s="32"/>
    </row>
    <row r="439" spans="1:7" s="31" customFormat="1" ht="10">
      <c r="A439" s="284"/>
      <c r="B439" s="32"/>
      <c r="C439" s="32"/>
      <c r="D439" s="32"/>
      <c r="E439" s="289"/>
      <c r="F439" s="289"/>
      <c r="G439" s="289"/>
    </row>
    <row r="440" spans="1:7" s="31" customFormat="1" ht="21">
      <c r="A440" s="275" t="s">
        <v>129</v>
      </c>
      <c r="B440" s="276" t="s">
        <v>916</v>
      </c>
      <c r="C440" s="276"/>
      <c r="D440" s="276"/>
      <c r="E440" s="276"/>
      <c r="F440" s="276"/>
      <c r="G440" s="276"/>
    </row>
    <row r="441" spans="1:7" s="31" customFormat="1" ht="21">
      <c r="A441" s="277" t="s">
        <v>256</v>
      </c>
      <c r="B441" s="278"/>
      <c r="C441" s="279" t="s">
        <v>4</v>
      </c>
      <c r="D441" s="279" t="s">
        <v>243</v>
      </c>
      <c r="E441" s="279" t="s">
        <v>244</v>
      </c>
      <c r="F441" s="279" t="s">
        <v>245</v>
      </c>
      <c r="G441" s="279" t="s">
        <v>246</v>
      </c>
    </row>
    <row r="442" spans="1:7" s="31" customFormat="1" ht="10">
      <c r="A442" s="280" t="s">
        <v>356</v>
      </c>
      <c r="B442" s="281" t="s">
        <v>357</v>
      </c>
      <c r="C442" s="282" t="s">
        <v>253</v>
      </c>
      <c r="D442" s="282" t="s">
        <v>14</v>
      </c>
      <c r="E442" s="298">
        <v>1</v>
      </c>
      <c r="F442" s="283">
        <f>_xlfn.XLOOKUP(A442,COMP_AUX!$F$13:$F$1400,COMP_AUX!$G$13:$G$1400,_xlfn.XLOOKUP(A442,CUSTO_INSU!$A$12:$A$201,CUSTO_INSU!$G$12:$G$201))</f>
        <v>0.64</v>
      </c>
      <c r="G442" s="283">
        <f>ROUND(ROUND(E442,8)*F442,2)</f>
        <v>0.64</v>
      </c>
    </row>
    <row r="443" spans="1:7" s="31" customFormat="1" ht="10.5">
      <c r="A443" s="284"/>
      <c r="B443" s="32"/>
      <c r="C443" s="32"/>
      <c r="D443" s="32"/>
      <c r="E443" s="285" t="s">
        <v>1305</v>
      </c>
      <c r="F443" s="285"/>
      <c r="G443" s="286">
        <f>SUM(G442:G442)</f>
        <v>0.64</v>
      </c>
    </row>
    <row r="444" spans="1:7" s="31" customFormat="1" ht="21">
      <c r="A444" s="277" t="s">
        <v>242</v>
      </c>
      <c r="B444" s="278"/>
      <c r="C444" s="279" t="s">
        <v>4</v>
      </c>
      <c r="D444" s="279" t="s">
        <v>243</v>
      </c>
      <c r="E444" s="279" t="s">
        <v>244</v>
      </c>
      <c r="F444" s="279" t="s">
        <v>245</v>
      </c>
      <c r="G444" s="279" t="s">
        <v>246</v>
      </c>
    </row>
    <row r="445" spans="1:7" s="31" customFormat="1" ht="10">
      <c r="A445" s="280">
        <v>88247</v>
      </c>
      <c r="B445" s="281" t="s">
        <v>293</v>
      </c>
      <c r="C445" s="282" t="s">
        <v>26</v>
      </c>
      <c r="D445" s="282" t="s">
        <v>265</v>
      </c>
      <c r="E445" s="298">
        <v>0.03</v>
      </c>
      <c r="F445" s="283">
        <f>_xlfn.XLOOKUP(A445,COMP_AUX!$F$13:$F$1400,COMP_AUX!$G$13:$G$1400,_xlfn.XLOOKUP(A445,CUSTO_INSU!$A$12:$A$201,CUSTO_INSU!$G$12:$G$201))</f>
        <v>21.5</v>
      </c>
      <c r="G445" s="283">
        <f>ROUND(ROUND(E445,8)*F445,2)</f>
        <v>0.65</v>
      </c>
    </row>
    <row r="446" spans="1:7" s="31" customFormat="1" ht="10">
      <c r="A446" s="280">
        <v>88264</v>
      </c>
      <c r="B446" s="281" t="s">
        <v>295</v>
      </c>
      <c r="C446" s="282" t="s">
        <v>26</v>
      </c>
      <c r="D446" s="282" t="s">
        <v>265</v>
      </c>
      <c r="E446" s="298">
        <v>0.06</v>
      </c>
      <c r="F446" s="283">
        <f>_xlfn.XLOOKUP(A446,COMP_AUX!$F$13:$F$1400,COMP_AUX!$G$13:$G$1400,_xlfn.XLOOKUP(A446,CUSTO_INSU!$A$12:$A$201,CUSTO_INSU!$G$12:$G$201))</f>
        <v>25.55</v>
      </c>
      <c r="G446" s="283">
        <f>ROUND(ROUND(E446,8)*F446,2)</f>
        <v>1.53</v>
      </c>
    </row>
    <row r="447" spans="1:7" s="31" customFormat="1" ht="10.5">
      <c r="A447" s="284"/>
      <c r="B447" s="32"/>
      <c r="C447" s="32"/>
      <c r="D447" s="32"/>
      <c r="E447" s="285" t="s">
        <v>1303</v>
      </c>
      <c r="F447" s="285"/>
      <c r="G447" s="286">
        <f>SUM(G445:G446)</f>
        <v>2.1800000000000002</v>
      </c>
    </row>
    <row r="448" spans="1:7" s="31" customFormat="1" ht="21">
      <c r="A448" s="403" t="s">
        <v>355</v>
      </c>
      <c r="B448" s="403"/>
      <c r="C448" s="403"/>
      <c r="D448" s="32"/>
      <c r="E448" s="287" t="s">
        <v>255</v>
      </c>
      <c r="F448" s="287" t="str">
        <f>A440</f>
        <v>JFPB-10683074</v>
      </c>
      <c r="G448" s="288">
        <f>SUM(G447,G443)</f>
        <v>2.8200000000000003</v>
      </c>
    </row>
    <row r="449" spans="1:7" s="31" customFormat="1" ht="10">
      <c r="A449" s="294"/>
      <c r="B449" s="295"/>
      <c r="C449" s="295"/>
      <c r="D449" s="32"/>
      <c r="E449" s="32"/>
      <c r="F449" s="32"/>
      <c r="G449" s="32"/>
    </row>
    <row r="450" spans="1:7" s="31" customFormat="1" ht="10">
      <c r="A450" s="284"/>
      <c r="B450" s="32"/>
      <c r="C450" s="32"/>
      <c r="D450" s="32"/>
      <c r="E450" s="289"/>
      <c r="F450" s="289"/>
      <c r="G450" s="289"/>
    </row>
    <row r="451" spans="1:7" s="31" customFormat="1" ht="21">
      <c r="A451" s="275" t="s">
        <v>132</v>
      </c>
      <c r="B451" s="276" t="s">
        <v>917</v>
      </c>
      <c r="C451" s="276"/>
      <c r="D451" s="276"/>
      <c r="E451" s="276"/>
      <c r="F451" s="276"/>
      <c r="G451" s="276"/>
    </row>
    <row r="452" spans="1:7" s="31" customFormat="1" ht="21">
      <c r="A452" s="277" t="s">
        <v>256</v>
      </c>
      <c r="B452" s="278"/>
      <c r="C452" s="279" t="s">
        <v>4</v>
      </c>
      <c r="D452" s="279" t="s">
        <v>243</v>
      </c>
      <c r="E452" s="279" t="s">
        <v>244</v>
      </c>
      <c r="F452" s="279" t="s">
        <v>245</v>
      </c>
      <c r="G452" s="279" t="s">
        <v>246</v>
      </c>
    </row>
    <row r="453" spans="1:7" s="31" customFormat="1" ht="10">
      <c r="A453" s="280" t="s">
        <v>358</v>
      </c>
      <c r="B453" s="281" t="s">
        <v>359</v>
      </c>
      <c r="C453" s="282" t="s">
        <v>253</v>
      </c>
      <c r="D453" s="282" t="s">
        <v>14</v>
      </c>
      <c r="E453" s="298">
        <v>1</v>
      </c>
      <c r="F453" s="283">
        <f>_xlfn.XLOOKUP(A453,COMP_AUX!$F$13:$F$1400,COMP_AUX!$G$13:$G$1400,_xlfn.XLOOKUP(A453,CUSTO_INSU!$A$12:$A$201,CUSTO_INSU!$G$12:$G$201))</f>
        <v>1.1200000000000001</v>
      </c>
      <c r="G453" s="283">
        <f>ROUND(ROUND(E453,8)*F453,2)</f>
        <v>1.1200000000000001</v>
      </c>
    </row>
    <row r="454" spans="1:7" s="31" customFormat="1" ht="10.5">
      <c r="A454" s="284"/>
      <c r="B454" s="32"/>
      <c r="C454" s="32"/>
      <c r="D454" s="32"/>
      <c r="E454" s="285" t="s">
        <v>1305</v>
      </c>
      <c r="F454" s="285"/>
      <c r="G454" s="286">
        <f>SUM(G453:G453)</f>
        <v>1.1200000000000001</v>
      </c>
    </row>
    <row r="455" spans="1:7" s="31" customFormat="1" ht="21">
      <c r="A455" s="277" t="s">
        <v>242</v>
      </c>
      <c r="B455" s="278"/>
      <c r="C455" s="279" t="s">
        <v>4</v>
      </c>
      <c r="D455" s="279" t="s">
        <v>243</v>
      </c>
      <c r="E455" s="279" t="s">
        <v>244</v>
      </c>
      <c r="F455" s="279" t="s">
        <v>245</v>
      </c>
      <c r="G455" s="279" t="s">
        <v>246</v>
      </c>
    </row>
    <row r="456" spans="1:7" s="31" customFormat="1" ht="10">
      <c r="A456" s="280">
        <v>88247</v>
      </c>
      <c r="B456" s="281" t="s">
        <v>293</v>
      </c>
      <c r="C456" s="282" t="s">
        <v>26</v>
      </c>
      <c r="D456" s="282" t="s">
        <v>265</v>
      </c>
      <c r="E456" s="298">
        <v>0.03</v>
      </c>
      <c r="F456" s="283">
        <f>_xlfn.XLOOKUP(A456,COMP_AUX!$F$13:$F$1400,COMP_AUX!$G$13:$G$1400,_xlfn.XLOOKUP(A456,CUSTO_INSU!$A$12:$A$201,CUSTO_INSU!$G$12:$G$201))</f>
        <v>21.5</v>
      </c>
      <c r="G456" s="283">
        <f>ROUND(ROUND(E456,8)*F456,2)</f>
        <v>0.65</v>
      </c>
    </row>
    <row r="457" spans="1:7" s="31" customFormat="1" ht="10">
      <c r="A457" s="280">
        <v>88264</v>
      </c>
      <c r="B457" s="281" t="s">
        <v>295</v>
      </c>
      <c r="C457" s="282" t="s">
        <v>26</v>
      </c>
      <c r="D457" s="282" t="s">
        <v>265</v>
      </c>
      <c r="E457" s="298">
        <v>0.06</v>
      </c>
      <c r="F457" s="283">
        <f>_xlfn.XLOOKUP(A457,COMP_AUX!$F$13:$F$1400,COMP_AUX!$G$13:$G$1400,_xlfn.XLOOKUP(A457,CUSTO_INSU!$A$12:$A$201,CUSTO_INSU!$G$12:$G$201))</f>
        <v>25.55</v>
      </c>
      <c r="G457" s="283">
        <f>ROUND(ROUND(E457,8)*F457,2)</f>
        <v>1.53</v>
      </c>
    </row>
    <row r="458" spans="1:7" s="31" customFormat="1" ht="10.5">
      <c r="A458" s="284"/>
      <c r="B458" s="32"/>
      <c r="C458" s="32"/>
      <c r="D458" s="32"/>
      <c r="E458" s="285" t="s">
        <v>1303</v>
      </c>
      <c r="F458" s="285"/>
      <c r="G458" s="286">
        <f>SUM(G456:G457)</f>
        <v>2.1800000000000002</v>
      </c>
    </row>
    <row r="459" spans="1:7" s="31" customFormat="1" ht="21">
      <c r="A459" s="403" t="s">
        <v>360</v>
      </c>
      <c r="B459" s="403"/>
      <c r="C459" s="403"/>
      <c r="D459" s="32"/>
      <c r="E459" s="287" t="s">
        <v>255</v>
      </c>
      <c r="F459" s="287" t="str">
        <f>A451</f>
        <v>JFPB-32739098</v>
      </c>
      <c r="G459" s="288">
        <f>SUM(G458,G454)</f>
        <v>3.3000000000000003</v>
      </c>
    </row>
    <row r="460" spans="1:7" s="31" customFormat="1" ht="10">
      <c r="A460" s="294"/>
      <c r="B460" s="295"/>
      <c r="C460" s="295"/>
      <c r="D460" s="32"/>
      <c r="E460" s="32"/>
      <c r="F460" s="32"/>
      <c r="G460" s="32"/>
    </row>
    <row r="461" spans="1:7" s="31" customFormat="1" ht="10">
      <c r="A461" s="284"/>
      <c r="B461" s="32"/>
      <c r="C461" s="32"/>
      <c r="D461" s="32"/>
      <c r="E461" s="289"/>
      <c r="F461" s="289"/>
      <c r="G461" s="289"/>
    </row>
    <row r="462" spans="1:7" s="31" customFormat="1" ht="21">
      <c r="A462" s="275" t="s">
        <v>135</v>
      </c>
      <c r="B462" s="276" t="s">
        <v>918</v>
      </c>
      <c r="C462" s="276"/>
      <c r="D462" s="276"/>
      <c r="E462" s="276"/>
      <c r="F462" s="276"/>
      <c r="G462" s="276"/>
    </row>
    <row r="463" spans="1:7" s="31" customFormat="1" ht="21">
      <c r="A463" s="277" t="s">
        <v>256</v>
      </c>
      <c r="B463" s="278"/>
      <c r="C463" s="279" t="s">
        <v>4</v>
      </c>
      <c r="D463" s="279" t="s">
        <v>243</v>
      </c>
      <c r="E463" s="279" t="s">
        <v>244</v>
      </c>
      <c r="F463" s="279" t="s">
        <v>245</v>
      </c>
      <c r="G463" s="279" t="s">
        <v>246</v>
      </c>
    </row>
    <row r="464" spans="1:7" s="31" customFormat="1" ht="10">
      <c r="A464" s="280" t="s">
        <v>361</v>
      </c>
      <c r="B464" s="281" t="s">
        <v>362</v>
      </c>
      <c r="C464" s="282" t="s">
        <v>253</v>
      </c>
      <c r="D464" s="282" t="s">
        <v>14</v>
      </c>
      <c r="E464" s="298">
        <v>1</v>
      </c>
      <c r="F464" s="283">
        <f>_xlfn.XLOOKUP(A464,COMP_AUX!$F$13:$F$1400,COMP_AUX!$G$13:$G$1400,_xlfn.XLOOKUP(A464,CUSTO_INSU!$A$12:$A$201,CUSTO_INSU!$G$12:$G$201))</f>
        <v>1.42</v>
      </c>
      <c r="G464" s="283">
        <f>ROUND(ROUND(E464,8)*F464,2)</f>
        <v>1.42</v>
      </c>
    </row>
    <row r="465" spans="1:7" s="31" customFormat="1" ht="10.5">
      <c r="A465" s="284"/>
      <c r="B465" s="32"/>
      <c r="C465" s="32"/>
      <c r="D465" s="32"/>
      <c r="E465" s="285" t="s">
        <v>1305</v>
      </c>
      <c r="F465" s="285"/>
      <c r="G465" s="286">
        <f>SUM(G464:G464)</f>
        <v>1.42</v>
      </c>
    </row>
    <row r="466" spans="1:7" s="31" customFormat="1" ht="21">
      <c r="A466" s="277" t="s">
        <v>242</v>
      </c>
      <c r="B466" s="278"/>
      <c r="C466" s="279" t="s">
        <v>4</v>
      </c>
      <c r="D466" s="279" t="s">
        <v>243</v>
      </c>
      <c r="E466" s="279" t="s">
        <v>244</v>
      </c>
      <c r="F466" s="279" t="s">
        <v>245</v>
      </c>
      <c r="G466" s="279" t="s">
        <v>246</v>
      </c>
    </row>
    <row r="467" spans="1:7" s="31" customFormat="1" ht="10">
      <c r="A467" s="280">
        <v>88247</v>
      </c>
      <c r="B467" s="281" t="s">
        <v>293</v>
      </c>
      <c r="C467" s="282" t="s">
        <v>26</v>
      </c>
      <c r="D467" s="282" t="s">
        <v>265</v>
      </c>
      <c r="E467" s="298">
        <v>0.03</v>
      </c>
      <c r="F467" s="283">
        <f>_xlfn.XLOOKUP(A467,COMP_AUX!$F$13:$F$1400,COMP_AUX!$G$13:$G$1400,_xlfn.XLOOKUP(A467,CUSTO_INSU!$A$12:$A$201,CUSTO_INSU!$G$12:$G$201))</f>
        <v>21.5</v>
      </c>
      <c r="G467" s="283">
        <f>ROUND(ROUND(E467,8)*F467,2)</f>
        <v>0.65</v>
      </c>
    </row>
    <row r="468" spans="1:7" s="31" customFormat="1" ht="10">
      <c r="A468" s="280">
        <v>88264</v>
      </c>
      <c r="B468" s="281" t="s">
        <v>295</v>
      </c>
      <c r="C468" s="282" t="s">
        <v>26</v>
      </c>
      <c r="D468" s="282" t="s">
        <v>265</v>
      </c>
      <c r="E468" s="298">
        <v>0.06</v>
      </c>
      <c r="F468" s="283">
        <f>_xlfn.XLOOKUP(A468,COMP_AUX!$F$13:$F$1400,COMP_AUX!$G$13:$G$1400,_xlfn.XLOOKUP(A468,CUSTO_INSU!$A$12:$A$201,CUSTO_INSU!$G$12:$G$201))</f>
        <v>25.55</v>
      </c>
      <c r="G468" s="283">
        <f>ROUND(ROUND(E468,8)*F468,2)</f>
        <v>1.53</v>
      </c>
    </row>
    <row r="469" spans="1:7" s="31" customFormat="1" ht="10.5">
      <c r="A469" s="284"/>
      <c r="B469" s="32"/>
      <c r="C469" s="32"/>
      <c r="D469" s="32"/>
      <c r="E469" s="285" t="s">
        <v>1303</v>
      </c>
      <c r="F469" s="285"/>
      <c r="G469" s="286">
        <f>SUM(G467:G468)</f>
        <v>2.1800000000000002</v>
      </c>
    </row>
    <row r="470" spans="1:7" s="31" customFormat="1" ht="21">
      <c r="A470" s="403" t="s">
        <v>363</v>
      </c>
      <c r="B470" s="403"/>
      <c r="C470" s="403"/>
      <c r="D470" s="32"/>
      <c r="E470" s="287" t="s">
        <v>255</v>
      </c>
      <c r="F470" s="287" t="str">
        <f>A462</f>
        <v>JFPB-22864148</v>
      </c>
      <c r="G470" s="288">
        <f>SUM(G469,G465)</f>
        <v>3.6</v>
      </c>
    </row>
    <row r="471" spans="1:7" s="31" customFormat="1" ht="10">
      <c r="A471" s="294"/>
      <c r="B471" s="295"/>
      <c r="C471" s="295"/>
      <c r="D471" s="32"/>
      <c r="E471" s="32"/>
      <c r="F471" s="32"/>
      <c r="G471" s="32"/>
    </row>
    <row r="472" spans="1:7" s="31" customFormat="1" ht="10">
      <c r="A472" s="284"/>
      <c r="B472" s="32"/>
      <c r="C472" s="32"/>
      <c r="D472" s="32"/>
      <c r="E472" s="289"/>
      <c r="F472" s="289"/>
      <c r="G472" s="289"/>
    </row>
    <row r="473" spans="1:7" s="31" customFormat="1" ht="21">
      <c r="A473" s="275" t="s">
        <v>138</v>
      </c>
      <c r="B473" s="276" t="s">
        <v>919</v>
      </c>
      <c r="C473" s="276"/>
      <c r="D473" s="276"/>
      <c r="E473" s="276"/>
      <c r="F473" s="276"/>
      <c r="G473" s="276"/>
    </row>
    <row r="474" spans="1:7" s="31" customFormat="1" ht="21">
      <c r="A474" s="277" t="s">
        <v>256</v>
      </c>
      <c r="B474" s="278"/>
      <c r="C474" s="279" t="s">
        <v>4</v>
      </c>
      <c r="D474" s="279" t="s">
        <v>243</v>
      </c>
      <c r="E474" s="279" t="s">
        <v>244</v>
      </c>
      <c r="F474" s="279" t="s">
        <v>245</v>
      </c>
      <c r="G474" s="279" t="s">
        <v>246</v>
      </c>
    </row>
    <row r="475" spans="1:7" s="31" customFormat="1" ht="10">
      <c r="A475" s="280" t="s">
        <v>364</v>
      </c>
      <c r="B475" s="281" t="s">
        <v>365</v>
      </c>
      <c r="C475" s="282" t="s">
        <v>253</v>
      </c>
      <c r="D475" s="282" t="s">
        <v>14</v>
      </c>
      <c r="E475" s="298">
        <v>1</v>
      </c>
      <c r="F475" s="283">
        <f>_xlfn.XLOOKUP(A475,COMP_AUX!$F$13:$F$1400,COMP_AUX!$G$13:$G$1400,_xlfn.XLOOKUP(A475,CUSTO_INSU!$A$12:$A$201,CUSTO_INSU!$G$12:$G$201))</f>
        <v>2.11</v>
      </c>
      <c r="G475" s="283">
        <f>ROUND(ROUND(E475,8)*F475,2)</f>
        <v>2.11</v>
      </c>
    </row>
    <row r="476" spans="1:7" s="31" customFormat="1" ht="10.5">
      <c r="A476" s="284"/>
      <c r="B476" s="32"/>
      <c r="C476" s="32"/>
      <c r="D476" s="32"/>
      <c r="E476" s="285" t="s">
        <v>1305</v>
      </c>
      <c r="F476" s="285"/>
      <c r="G476" s="286">
        <f>SUM(G475:G475)</f>
        <v>2.11</v>
      </c>
    </row>
    <row r="477" spans="1:7" s="31" customFormat="1" ht="21">
      <c r="A477" s="277" t="s">
        <v>242</v>
      </c>
      <c r="B477" s="278"/>
      <c r="C477" s="279" t="s">
        <v>4</v>
      </c>
      <c r="D477" s="279" t="s">
        <v>243</v>
      </c>
      <c r="E477" s="279" t="s">
        <v>244</v>
      </c>
      <c r="F477" s="279" t="s">
        <v>245</v>
      </c>
      <c r="G477" s="279" t="s">
        <v>246</v>
      </c>
    </row>
    <row r="478" spans="1:7" s="31" customFormat="1" ht="10">
      <c r="A478" s="280">
        <v>88247</v>
      </c>
      <c r="B478" s="281" t="s">
        <v>293</v>
      </c>
      <c r="C478" s="282" t="s">
        <v>26</v>
      </c>
      <c r="D478" s="282" t="s">
        <v>265</v>
      </c>
      <c r="E478" s="298">
        <v>0.03</v>
      </c>
      <c r="F478" s="283">
        <f>_xlfn.XLOOKUP(A478,COMP_AUX!$F$13:$F$1400,COMP_AUX!$G$13:$G$1400,_xlfn.XLOOKUP(A478,CUSTO_INSU!$A$12:$A$201,CUSTO_INSU!$G$12:$G$201))</f>
        <v>21.5</v>
      </c>
      <c r="G478" s="283">
        <f>ROUND(ROUND(E478,8)*F478,2)</f>
        <v>0.65</v>
      </c>
    </row>
    <row r="479" spans="1:7" s="31" customFormat="1" ht="10">
      <c r="A479" s="280">
        <v>88264</v>
      </c>
      <c r="B479" s="281" t="s">
        <v>295</v>
      </c>
      <c r="C479" s="282" t="s">
        <v>26</v>
      </c>
      <c r="D479" s="282" t="s">
        <v>265</v>
      </c>
      <c r="E479" s="298">
        <v>0.06</v>
      </c>
      <c r="F479" s="283">
        <f>_xlfn.XLOOKUP(A479,COMP_AUX!$F$13:$F$1400,COMP_AUX!$G$13:$G$1400,_xlfn.XLOOKUP(A479,CUSTO_INSU!$A$12:$A$201,CUSTO_INSU!$G$12:$G$201))</f>
        <v>25.55</v>
      </c>
      <c r="G479" s="283">
        <f>ROUND(ROUND(E479,8)*F479,2)</f>
        <v>1.53</v>
      </c>
    </row>
    <row r="480" spans="1:7" s="31" customFormat="1" ht="10.5">
      <c r="A480" s="284"/>
      <c r="B480" s="32"/>
      <c r="C480" s="32"/>
      <c r="D480" s="32"/>
      <c r="E480" s="285" t="s">
        <v>1303</v>
      </c>
      <c r="F480" s="285"/>
      <c r="G480" s="286">
        <f>SUM(G478:G479)</f>
        <v>2.1800000000000002</v>
      </c>
    </row>
    <row r="481" spans="1:7" s="31" customFormat="1" ht="21">
      <c r="A481" s="403" t="s">
        <v>366</v>
      </c>
      <c r="B481" s="403"/>
      <c r="C481" s="403"/>
      <c r="D481" s="32"/>
      <c r="E481" s="287" t="s">
        <v>255</v>
      </c>
      <c r="F481" s="287" t="str">
        <f>A473</f>
        <v>JFPB-61355944</v>
      </c>
      <c r="G481" s="288">
        <f>SUM(G480,G476)</f>
        <v>4.29</v>
      </c>
    </row>
    <row r="482" spans="1:7" s="31" customFormat="1" ht="10">
      <c r="A482" s="294"/>
      <c r="B482" s="295"/>
      <c r="C482" s="295"/>
      <c r="D482" s="32"/>
      <c r="E482" s="32"/>
      <c r="F482" s="32"/>
      <c r="G482" s="32"/>
    </row>
    <row r="483" spans="1:7" s="31" customFormat="1" ht="10">
      <c r="A483" s="284"/>
      <c r="B483" s="32"/>
      <c r="C483" s="32"/>
      <c r="D483" s="32"/>
      <c r="E483" s="289"/>
      <c r="F483" s="289"/>
      <c r="G483" s="289"/>
    </row>
    <row r="484" spans="1:7" s="31" customFormat="1" ht="21">
      <c r="A484" s="275" t="s">
        <v>141</v>
      </c>
      <c r="B484" s="276" t="s">
        <v>920</v>
      </c>
      <c r="C484" s="276"/>
      <c r="D484" s="276"/>
      <c r="E484" s="276"/>
      <c r="F484" s="276"/>
      <c r="G484" s="276"/>
    </row>
    <row r="485" spans="1:7" s="31" customFormat="1" ht="21">
      <c r="A485" s="277" t="s">
        <v>256</v>
      </c>
      <c r="B485" s="278"/>
      <c r="C485" s="279" t="s">
        <v>4</v>
      </c>
      <c r="D485" s="279" t="s">
        <v>243</v>
      </c>
      <c r="E485" s="279" t="s">
        <v>244</v>
      </c>
      <c r="F485" s="279" t="s">
        <v>245</v>
      </c>
      <c r="G485" s="279" t="s">
        <v>246</v>
      </c>
    </row>
    <row r="486" spans="1:7" s="31" customFormat="1" ht="10">
      <c r="A486" s="280" t="s">
        <v>367</v>
      </c>
      <c r="B486" s="281" t="s">
        <v>368</v>
      </c>
      <c r="C486" s="282" t="s">
        <v>253</v>
      </c>
      <c r="D486" s="282" t="s">
        <v>14</v>
      </c>
      <c r="E486" s="298">
        <v>1</v>
      </c>
      <c r="F486" s="283">
        <f>_xlfn.XLOOKUP(A486,COMP_AUX!$F$13:$F$1400,COMP_AUX!$G$13:$G$1400,_xlfn.XLOOKUP(A486,CUSTO_INSU!$A$12:$A$201,CUSTO_INSU!$G$12:$G$201))</f>
        <v>3.3</v>
      </c>
      <c r="G486" s="283">
        <f>ROUND(ROUND(E486,8)*F486,2)</f>
        <v>3.3</v>
      </c>
    </row>
    <row r="487" spans="1:7" s="31" customFormat="1" ht="10.5">
      <c r="A487" s="284"/>
      <c r="B487" s="32"/>
      <c r="C487" s="32"/>
      <c r="D487" s="32"/>
      <c r="E487" s="285" t="s">
        <v>1305</v>
      </c>
      <c r="F487" s="285"/>
      <c r="G487" s="286">
        <f>SUM(G486:G486)</f>
        <v>3.3</v>
      </c>
    </row>
    <row r="488" spans="1:7" s="31" customFormat="1" ht="21">
      <c r="A488" s="277" t="s">
        <v>242</v>
      </c>
      <c r="B488" s="278"/>
      <c r="C488" s="279" t="s">
        <v>4</v>
      </c>
      <c r="D488" s="279" t="s">
        <v>243</v>
      </c>
      <c r="E488" s="279" t="s">
        <v>244</v>
      </c>
      <c r="F488" s="279" t="s">
        <v>245</v>
      </c>
      <c r="G488" s="279" t="s">
        <v>246</v>
      </c>
    </row>
    <row r="489" spans="1:7" s="31" customFormat="1" ht="10">
      <c r="A489" s="280">
        <v>88247</v>
      </c>
      <c r="B489" s="281" t="s">
        <v>293</v>
      </c>
      <c r="C489" s="282" t="s">
        <v>26</v>
      </c>
      <c r="D489" s="282" t="s">
        <v>265</v>
      </c>
      <c r="E489" s="298">
        <v>0.03</v>
      </c>
      <c r="F489" s="283">
        <f>_xlfn.XLOOKUP(A489,COMP_AUX!$F$13:$F$1400,COMP_AUX!$G$13:$G$1400,_xlfn.XLOOKUP(A489,CUSTO_INSU!$A$12:$A$201,CUSTO_INSU!$G$12:$G$201))</f>
        <v>21.5</v>
      </c>
      <c r="G489" s="283">
        <f>ROUND(ROUND(E489,8)*F489,2)</f>
        <v>0.65</v>
      </c>
    </row>
    <row r="490" spans="1:7" s="31" customFormat="1" ht="10">
      <c r="A490" s="280">
        <v>88264</v>
      </c>
      <c r="B490" s="281" t="s">
        <v>295</v>
      </c>
      <c r="C490" s="282" t="s">
        <v>26</v>
      </c>
      <c r="D490" s="282" t="s">
        <v>265</v>
      </c>
      <c r="E490" s="298">
        <v>0.06</v>
      </c>
      <c r="F490" s="283">
        <f>_xlfn.XLOOKUP(A490,COMP_AUX!$F$13:$F$1400,COMP_AUX!$G$13:$G$1400,_xlfn.XLOOKUP(A490,CUSTO_INSU!$A$12:$A$201,CUSTO_INSU!$G$12:$G$201))</f>
        <v>25.55</v>
      </c>
      <c r="G490" s="283">
        <f>ROUND(ROUND(E490,8)*F490,2)</f>
        <v>1.53</v>
      </c>
    </row>
    <row r="491" spans="1:7" s="31" customFormat="1" ht="10.5">
      <c r="A491" s="284"/>
      <c r="B491" s="32"/>
      <c r="C491" s="32"/>
      <c r="D491" s="32"/>
      <c r="E491" s="285" t="s">
        <v>1303</v>
      </c>
      <c r="F491" s="285"/>
      <c r="G491" s="286">
        <f>SUM(G489:G490)</f>
        <v>2.1800000000000002</v>
      </c>
    </row>
    <row r="492" spans="1:7" s="31" customFormat="1" ht="21">
      <c r="A492" s="403" t="s">
        <v>369</v>
      </c>
      <c r="B492" s="403"/>
      <c r="C492" s="403"/>
      <c r="D492" s="32"/>
      <c r="E492" s="287" t="s">
        <v>255</v>
      </c>
      <c r="F492" s="287" t="str">
        <f>A484</f>
        <v>JFPB-03296198</v>
      </c>
      <c r="G492" s="288">
        <f>SUM(G491,G487)</f>
        <v>5.48</v>
      </c>
    </row>
    <row r="493" spans="1:7" s="31" customFormat="1" ht="10">
      <c r="A493" s="294"/>
      <c r="B493" s="295"/>
      <c r="C493" s="295"/>
      <c r="D493" s="32"/>
      <c r="E493" s="32"/>
      <c r="F493" s="32"/>
      <c r="G493" s="32"/>
    </row>
    <row r="494" spans="1:7" s="31" customFormat="1" ht="10">
      <c r="A494" s="284"/>
      <c r="B494" s="32"/>
      <c r="C494" s="32"/>
      <c r="D494" s="32"/>
      <c r="E494" s="289"/>
      <c r="F494" s="289"/>
      <c r="G494" s="289"/>
    </row>
    <row r="495" spans="1:7" s="31" customFormat="1" ht="21">
      <c r="A495" s="275" t="s">
        <v>146</v>
      </c>
      <c r="B495" s="276" t="s">
        <v>921</v>
      </c>
      <c r="C495" s="276"/>
      <c r="D495" s="276"/>
      <c r="E495" s="276"/>
      <c r="F495" s="276"/>
      <c r="G495" s="276"/>
    </row>
    <row r="496" spans="1:7" s="31" customFormat="1" ht="21">
      <c r="A496" s="277" t="s">
        <v>256</v>
      </c>
      <c r="B496" s="278"/>
      <c r="C496" s="279" t="s">
        <v>4</v>
      </c>
      <c r="D496" s="279" t="s">
        <v>243</v>
      </c>
      <c r="E496" s="279" t="s">
        <v>244</v>
      </c>
      <c r="F496" s="279" t="s">
        <v>245</v>
      </c>
      <c r="G496" s="279" t="s">
        <v>246</v>
      </c>
    </row>
    <row r="497" spans="1:7" s="31" customFormat="1" ht="10">
      <c r="A497" s="280" t="s">
        <v>370</v>
      </c>
      <c r="B497" s="281" t="s">
        <v>371</v>
      </c>
      <c r="C497" s="282" t="s">
        <v>253</v>
      </c>
      <c r="D497" s="282" t="s">
        <v>70</v>
      </c>
      <c r="E497" s="298">
        <v>1.05</v>
      </c>
      <c r="F497" s="283">
        <f>_xlfn.XLOOKUP(A497,COMP_AUX!$F$13:$F$1400,COMP_AUX!$G$13:$G$1400,_xlfn.XLOOKUP(A497,CUSTO_INSU!$A$12:$A$201,CUSTO_INSU!$G$12:$G$201))</f>
        <v>20.83</v>
      </c>
      <c r="G497" s="283">
        <f>ROUND(ROUND(E497,8)*F497,2)</f>
        <v>21.87</v>
      </c>
    </row>
    <row r="498" spans="1:7" s="31" customFormat="1" ht="10.5">
      <c r="A498" s="284"/>
      <c r="B498" s="32"/>
      <c r="C498" s="32"/>
      <c r="D498" s="32"/>
      <c r="E498" s="285" t="s">
        <v>1305</v>
      </c>
      <c r="F498" s="285"/>
      <c r="G498" s="286">
        <f>SUM(G497:G497)</f>
        <v>21.87</v>
      </c>
    </row>
    <row r="499" spans="1:7" s="31" customFormat="1" ht="21">
      <c r="A499" s="277" t="s">
        <v>242</v>
      </c>
      <c r="B499" s="278"/>
      <c r="C499" s="279" t="s">
        <v>4</v>
      </c>
      <c r="D499" s="279" t="s">
        <v>243</v>
      </c>
      <c r="E499" s="279" t="s">
        <v>244</v>
      </c>
      <c r="F499" s="279" t="s">
        <v>245</v>
      </c>
      <c r="G499" s="279" t="s">
        <v>246</v>
      </c>
    </row>
    <row r="500" spans="1:7" s="31" customFormat="1" ht="10">
      <c r="A500" s="280">
        <v>88247</v>
      </c>
      <c r="B500" s="281" t="s">
        <v>293</v>
      </c>
      <c r="C500" s="282" t="s">
        <v>26</v>
      </c>
      <c r="D500" s="282" t="s">
        <v>265</v>
      </c>
      <c r="E500" s="298">
        <v>0.3</v>
      </c>
      <c r="F500" s="283">
        <f>_xlfn.XLOOKUP(A500,COMP_AUX!$F$13:$F$1400,COMP_AUX!$G$13:$G$1400,_xlfn.XLOOKUP(A500,CUSTO_INSU!$A$12:$A$201,CUSTO_INSU!$G$12:$G$201))</f>
        <v>21.5</v>
      </c>
      <c r="G500" s="283">
        <f>ROUND(ROUND(E500,8)*F500,2)</f>
        <v>6.45</v>
      </c>
    </row>
    <row r="501" spans="1:7" s="31" customFormat="1" ht="10">
      <c r="A501" s="280">
        <v>88264</v>
      </c>
      <c r="B501" s="281" t="s">
        <v>295</v>
      </c>
      <c r="C501" s="282" t="s">
        <v>26</v>
      </c>
      <c r="D501" s="282" t="s">
        <v>265</v>
      </c>
      <c r="E501" s="298">
        <v>0.3</v>
      </c>
      <c r="F501" s="283">
        <f>_xlfn.XLOOKUP(A501,COMP_AUX!$F$13:$F$1400,COMP_AUX!$G$13:$G$1400,_xlfn.XLOOKUP(A501,CUSTO_INSU!$A$12:$A$201,CUSTO_INSU!$G$12:$G$201))</f>
        <v>25.55</v>
      </c>
      <c r="G501" s="283">
        <f>ROUND(ROUND(E501,8)*F501,2)</f>
        <v>7.67</v>
      </c>
    </row>
    <row r="502" spans="1:7" s="31" customFormat="1" ht="10.5">
      <c r="A502" s="284"/>
      <c r="B502" s="32"/>
      <c r="C502" s="32"/>
      <c r="D502" s="32"/>
      <c r="E502" s="285" t="s">
        <v>1303</v>
      </c>
      <c r="F502" s="285"/>
      <c r="G502" s="286">
        <f>SUM(G500:G501)</f>
        <v>14.120000000000001</v>
      </c>
    </row>
    <row r="503" spans="1:7" s="31" customFormat="1" ht="21">
      <c r="A503" s="403" t="s">
        <v>372</v>
      </c>
      <c r="B503" s="403"/>
      <c r="C503" s="403"/>
      <c r="D503" s="32"/>
      <c r="E503" s="287" t="s">
        <v>255</v>
      </c>
      <c r="F503" s="287" t="str">
        <f>A495</f>
        <v>JFPB-84089542</v>
      </c>
      <c r="G503" s="288">
        <f>SUM(G502,G498)</f>
        <v>35.99</v>
      </c>
    </row>
    <row r="504" spans="1:7" s="31" customFormat="1" ht="10">
      <c r="A504" s="294"/>
      <c r="B504" s="295"/>
      <c r="C504" s="295"/>
      <c r="D504" s="32"/>
      <c r="E504" s="32"/>
      <c r="F504" s="32"/>
      <c r="G504" s="32"/>
    </row>
    <row r="505" spans="1:7" s="31" customFormat="1" ht="10">
      <c r="A505" s="284"/>
      <c r="B505" s="32"/>
      <c r="C505" s="32"/>
      <c r="D505" s="32"/>
      <c r="E505" s="289"/>
      <c r="F505" s="289"/>
      <c r="G505" s="289"/>
    </row>
    <row r="506" spans="1:7" s="31" customFormat="1" ht="21">
      <c r="A506" s="275" t="s">
        <v>149</v>
      </c>
      <c r="B506" s="276" t="s">
        <v>922</v>
      </c>
      <c r="C506" s="276"/>
      <c r="D506" s="276"/>
      <c r="E506" s="276"/>
      <c r="F506" s="276"/>
      <c r="G506" s="276"/>
    </row>
    <row r="507" spans="1:7" s="31" customFormat="1" ht="21">
      <c r="A507" s="277" t="s">
        <v>256</v>
      </c>
      <c r="B507" s="278"/>
      <c r="C507" s="279" t="s">
        <v>4</v>
      </c>
      <c r="D507" s="279" t="s">
        <v>243</v>
      </c>
      <c r="E507" s="279" t="s">
        <v>244</v>
      </c>
      <c r="F507" s="279" t="s">
        <v>245</v>
      </c>
      <c r="G507" s="279" t="s">
        <v>246</v>
      </c>
    </row>
    <row r="508" spans="1:7" s="31" customFormat="1" ht="10">
      <c r="A508" s="280" t="s">
        <v>373</v>
      </c>
      <c r="B508" s="281" t="s">
        <v>374</v>
      </c>
      <c r="C508" s="282" t="s">
        <v>253</v>
      </c>
      <c r="D508" s="282" t="s">
        <v>70</v>
      </c>
      <c r="E508" s="298">
        <v>1</v>
      </c>
      <c r="F508" s="283">
        <f>_xlfn.XLOOKUP(A508,COMP_AUX!$F$13:$F$1400,COMP_AUX!$G$13:$G$1400,_xlfn.XLOOKUP(A508,CUSTO_INSU!$A$12:$A$201,CUSTO_INSU!$G$12:$G$201))</f>
        <v>39.74</v>
      </c>
      <c r="G508" s="283">
        <f>ROUND(ROUND(E508,8)*F508,2)</f>
        <v>39.74</v>
      </c>
    </row>
    <row r="509" spans="1:7" s="31" customFormat="1" ht="10.5">
      <c r="A509" s="284"/>
      <c r="B509" s="32"/>
      <c r="C509" s="32"/>
      <c r="D509" s="32"/>
      <c r="E509" s="285" t="s">
        <v>1305</v>
      </c>
      <c r="F509" s="285"/>
      <c r="G509" s="286">
        <f>SUM(G508:G508)</f>
        <v>39.74</v>
      </c>
    </row>
    <row r="510" spans="1:7" s="31" customFormat="1" ht="21">
      <c r="A510" s="277" t="s">
        <v>242</v>
      </c>
      <c r="B510" s="278"/>
      <c r="C510" s="279" t="s">
        <v>4</v>
      </c>
      <c r="D510" s="279" t="s">
        <v>243</v>
      </c>
      <c r="E510" s="279" t="s">
        <v>244</v>
      </c>
      <c r="F510" s="279" t="s">
        <v>245</v>
      </c>
      <c r="G510" s="279" t="s">
        <v>246</v>
      </c>
    </row>
    <row r="511" spans="1:7" s="31" customFormat="1" ht="10">
      <c r="A511" s="280">
        <v>88247</v>
      </c>
      <c r="B511" s="281" t="s">
        <v>293</v>
      </c>
      <c r="C511" s="282" t="s">
        <v>26</v>
      </c>
      <c r="D511" s="282" t="s">
        <v>265</v>
      </c>
      <c r="E511" s="298">
        <v>0.3</v>
      </c>
      <c r="F511" s="283">
        <f>_xlfn.XLOOKUP(A511,COMP_AUX!$F$13:$F$1400,COMP_AUX!$G$13:$G$1400,_xlfn.XLOOKUP(A511,CUSTO_INSU!$A$12:$A$201,CUSTO_INSU!$G$12:$G$201))</f>
        <v>21.5</v>
      </c>
      <c r="G511" s="283">
        <f>ROUND(ROUND(E511,8)*F511,2)</f>
        <v>6.45</v>
      </c>
    </row>
    <row r="512" spans="1:7" s="31" customFormat="1" ht="10">
      <c r="A512" s="280">
        <v>88264</v>
      </c>
      <c r="B512" s="281" t="s">
        <v>295</v>
      </c>
      <c r="C512" s="282" t="s">
        <v>26</v>
      </c>
      <c r="D512" s="282" t="s">
        <v>265</v>
      </c>
      <c r="E512" s="298">
        <v>0.3</v>
      </c>
      <c r="F512" s="283">
        <f>_xlfn.XLOOKUP(A512,COMP_AUX!$F$13:$F$1400,COMP_AUX!$G$13:$G$1400,_xlfn.XLOOKUP(A512,CUSTO_INSU!$A$12:$A$201,CUSTO_INSU!$G$12:$G$201))</f>
        <v>25.55</v>
      </c>
      <c r="G512" s="283">
        <f>ROUND(ROUND(E512,8)*F512,2)</f>
        <v>7.67</v>
      </c>
    </row>
    <row r="513" spans="1:7" s="31" customFormat="1" ht="10.5">
      <c r="A513" s="284"/>
      <c r="B513" s="32"/>
      <c r="C513" s="32"/>
      <c r="D513" s="32"/>
      <c r="E513" s="285" t="s">
        <v>1303</v>
      </c>
      <c r="F513" s="285"/>
      <c r="G513" s="286">
        <f>SUM(G511:G512)</f>
        <v>14.120000000000001</v>
      </c>
    </row>
    <row r="514" spans="1:7" s="31" customFormat="1" ht="21">
      <c r="A514" s="403" t="s">
        <v>372</v>
      </c>
      <c r="B514" s="403"/>
      <c r="C514" s="403"/>
      <c r="D514" s="32"/>
      <c r="E514" s="287" t="s">
        <v>255</v>
      </c>
      <c r="F514" s="287" t="str">
        <f>A506</f>
        <v>JFPB-28313097</v>
      </c>
      <c r="G514" s="288">
        <f>SUM(G513,G509)</f>
        <v>53.86</v>
      </c>
    </row>
    <row r="515" spans="1:7" s="31" customFormat="1" ht="10">
      <c r="A515" s="294"/>
      <c r="B515" s="295"/>
      <c r="C515" s="295"/>
      <c r="D515" s="32"/>
      <c r="E515" s="32"/>
      <c r="F515" s="32"/>
      <c r="G515" s="32"/>
    </row>
    <row r="516" spans="1:7" s="31" customFormat="1" ht="10">
      <c r="A516" s="284"/>
      <c r="B516" s="32"/>
      <c r="C516" s="32"/>
      <c r="D516" s="32"/>
      <c r="E516" s="289"/>
      <c r="F516" s="289"/>
      <c r="G516" s="289"/>
    </row>
    <row r="517" spans="1:7" s="31" customFormat="1" ht="42">
      <c r="A517" s="275">
        <v>104785</v>
      </c>
      <c r="B517" s="276" t="s">
        <v>923</v>
      </c>
      <c r="C517" s="276"/>
      <c r="D517" s="276"/>
      <c r="E517" s="276"/>
      <c r="F517" s="276"/>
      <c r="G517" s="276"/>
    </row>
    <row r="518" spans="1:7" s="31" customFormat="1" ht="21">
      <c r="A518" s="277" t="s">
        <v>256</v>
      </c>
      <c r="B518" s="278"/>
      <c r="C518" s="279" t="s">
        <v>4</v>
      </c>
      <c r="D518" s="279" t="s">
        <v>243</v>
      </c>
      <c r="E518" s="279" t="s">
        <v>244</v>
      </c>
      <c r="F518" s="279" t="s">
        <v>245</v>
      </c>
      <c r="G518" s="279" t="s">
        <v>246</v>
      </c>
    </row>
    <row r="519" spans="1:7" s="31" customFormat="1" ht="20">
      <c r="A519" s="280">
        <v>395</v>
      </c>
      <c r="B519" s="281" t="s">
        <v>375</v>
      </c>
      <c r="C519" s="282" t="s">
        <v>26</v>
      </c>
      <c r="D519" s="282" t="s">
        <v>14</v>
      </c>
      <c r="E519" s="298">
        <v>1.25</v>
      </c>
      <c r="F519" s="283">
        <f>_xlfn.XLOOKUP(A519,COMP_AUX!$F$13:$F$1400,COMP_AUX!$G$13:$G$1400,_xlfn.XLOOKUP(A519,CUSTO_INSU!$A$12:$A$201,CUSTO_INSU!$G$12:$G$201))</f>
        <v>4.1399999999999997</v>
      </c>
      <c r="G519" s="283">
        <f>TRUNC(TRUNC(E519,8)*F519,2)</f>
        <v>5.17</v>
      </c>
    </row>
    <row r="520" spans="1:7" s="31" customFormat="1" ht="30">
      <c r="A520" s="280">
        <v>4350</v>
      </c>
      <c r="B520" s="281" t="s">
        <v>376</v>
      </c>
      <c r="C520" s="282" t="s">
        <v>26</v>
      </c>
      <c r="D520" s="282" t="s">
        <v>14</v>
      </c>
      <c r="E520" s="298">
        <v>1.3125</v>
      </c>
      <c r="F520" s="283">
        <f>_xlfn.XLOOKUP(A520,COMP_AUX!$F$13:$F$1400,COMP_AUX!$G$13:$G$1400,_xlfn.XLOOKUP(A520,CUSTO_INSU!$A$12:$A$201,CUSTO_INSU!$G$12:$G$201))</f>
        <v>0.7</v>
      </c>
      <c r="G520" s="283">
        <f>TRUNC(TRUNC(E520,8)*F520,2)</f>
        <v>0.91</v>
      </c>
    </row>
    <row r="521" spans="1:7" s="31" customFormat="1" ht="10.5">
      <c r="A521" s="284"/>
      <c r="B521" s="32"/>
      <c r="C521" s="32"/>
      <c r="D521" s="32"/>
      <c r="E521" s="285" t="s">
        <v>1305</v>
      </c>
      <c r="F521" s="285"/>
      <c r="G521" s="286">
        <f>SUM(G519:G520)</f>
        <v>6.08</v>
      </c>
    </row>
    <row r="522" spans="1:7" s="31" customFormat="1" ht="21">
      <c r="A522" s="277" t="s">
        <v>242</v>
      </c>
      <c r="B522" s="278"/>
      <c r="C522" s="279" t="s">
        <v>4</v>
      </c>
      <c r="D522" s="279" t="s">
        <v>243</v>
      </c>
      <c r="E522" s="279" t="s">
        <v>244</v>
      </c>
      <c r="F522" s="279" t="s">
        <v>245</v>
      </c>
      <c r="G522" s="279" t="s">
        <v>246</v>
      </c>
    </row>
    <row r="523" spans="1:7" s="31" customFormat="1" ht="10">
      <c r="A523" s="280">
        <v>88247</v>
      </c>
      <c r="B523" s="281" t="s">
        <v>293</v>
      </c>
      <c r="C523" s="282" t="s">
        <v>26</v>
      </c>
      <c r="D523" s="282" t="s">
        <v>265</v>
      </c>
      <c r="E523" s="298">
        <v>4.4200000000000003E-2</v>
      </c>
      <c r="F523" s="283">
        <f>_xlfn.XLOOKUP(A523,COMP_AUX!$F$13:$F$1400,COMP_AUX!$G$13:$G$1400,_xlfn.XLOOKUP(A523,CUSTO_INSU!$A$12:$A$201,CUSTO_INSU!$G$12:$G$201))</f>
        <v>21.5</v>
      </c>
      <c r="G523" s="283">
        <f>TRUNC(TRUNC(E523,8)*F523,2)</f>
        <v>0.95</v>
      </c>
    </row>
    <row r="524" spans="1:7" s="31" customFormat="1" ht="10">
      <c r="A524" s="280">
        <v>88264</v>
      </c>
      <c r="B524" s="281" t="s">
        <v>295</v>
      </c>
      <c r="C524" s="282" t="s">
        <v>26</v>
      </c>
      <c r="D524" s="282" t="s">
        <v>265</v>
      </c>
      <c r="E524" s="298">
        <v>0.1946</v>
      </c>
      <c r="F524" s="283">
        <f>_xlfn.XLOOKUP(A524,COMP_AUX!$F$13:$F$1400,COMP_AUX!$G$13:$G$1400,_xlfn.XLOOKUP(A524,CUSTO_INSU!$A$12:$A$201,CUSTO_INSU!$G$12:$G$201))</f>
        <v>25.55</v>
      </c>
      <c r="G524" s="283">
        <f>TRUNC(TRUNC(E524,8)*F524,2)</f>
        <v>4.97</v>
      </c>
    </row>
    <row r="525" spans="1:7" s="31" customFormat="1" ht="10.5">
      <c r="A525" s="284"/>
      <c r="B525" s="32"/>
      <c r="C525" s="32"/>
      <c r="D525" s="32"/>
      <c r="E525" s="285" t="s">
        <v>1303</v>
      </c>
      <c r="F525" s="285"/>
      <c r="G525" s="286">
        <f>SUM(G523:G524)</f>
        <v>5.92</v>
      </c>
    </row>
    <row r="526" spans="1:7" s="31" customFormat="1" ht="10.5">
      <c r="A526" s="284"/>
      <c r="B526" s="32"/>
      <c r="C526" s="32"/>
      <c r="D526" s="32"/>
      <c r="E526" s="287" t="s">
        <v>255</v>
      </c>
      <c r="F526" s="287">
        <f>A517</f>
        <v>104785</v>
      </c>
      <c r="G526" s="288">
        <f>SUM(G521,G525)</f>
        <v>12</v>
      </c>
    </row>
    <row r="527" spans="1:7" s="31" customFormat="1" ht="10">
      <c r="A527" s="284"/>
      <c r="B527" s="32"/>
      <c r="C527" s="32"/>
      <c r="D527" s="32"/>
      <c r="E527" s="289"/>
      <c r="F527" s="289"/>
      <c r="G527" s="289"/>
    </row>
    <row r="528" spans="1:7" s="31" customFormat="1" ht="21">
      <c r="A528" s="275" t="s">
        <v>154</v>
      </c>
      <c r="B528" s="276" t="s">
        <v>924</v>
      </c>
      <c r="C528" s="276"/>
      <c r="D528" s="276"/>
      <c r="E528" s="276"/>
      <c r="F528" s="276"/>
      <c r="G528" s="276"/>
    </row>
    <row r="529" spans="1:7" s="31" customFormat="1" ht="21">
      <c r="A529" s="277" t="s">
        <v>256</v>
      </c>
      <c r="B529" s="278"/>
      <c r="C529" s="279" t="s">
        <v>4</v>
      </c>
      <c r="D529" s="279" t="s">
        <v>243</v>
      </c>
      <c r="E529" s="279" t="s">
        <v>244</v>
      </c>
      <c r="F529" s="279" t="s">
        <v>245</v>
      </c>
      <c r="G529" s="279" t="s">
        <v>246</v>
      </c>
    </row>
    <row r="530" spans="1:7" s="31" customFormat="1" ht="10">
      <c r="A530" s="280" t="s">
        <v>377</v>
      </c>
      <c r="B530" s="281" t="s">
        <v>378</v>
      </c>
      <c r="C530" s="282" t="s">
        <v>253</v>
      </c>
      <c r="D530" s="282" t="s">
        <v>14</v>
      </c>
      <c r="E530" s="298">
        <v>1</v>
      </c>
      <c r="F530" s="283">
        <f>_xlfn.XLOOKUP(A530,COMP_AUX!$F$13:$F$1400,COMP_AUX!$G$13:$G$1400,_xlfn.XLOOKUP(A530,CUSTO_INSU!$A$12:$A$201,CUSTO_INSU!$G$12:$G$201))</f>
        <v>212.14</v>
      </c>
      <c r="G530" s="283">
        <f>ROUND(ROUND(E530,8)*F530,2)</f>
        <v>212.14</v>
      </c>
    </row>
    <row r="531" spans="1:7" s="31" customFormat="1" ht="10.5">
      <c r="A531" s="284"/>
      <c r="B531" s="32"/>
      <c r="C531" s="32"/>
      <c r="D531" s="32"/>
      <c r="E531" s="285" t="s">
        <v>1305</v>
      </c>
      <c r="F531" s="285"/>
      <c r="G531" s="286">
        <f>SUM(G530:G530)</f>
        <v>212.14</v>
      </c>
    </row>
    <row r="532" spans="1:7" s="31" customFormat="1" ht="21">
      <c r="A532" s="277" t="s">
        <v>242</v>
      </c>
      <c r="B532" s="278"/>
      <c r="C532" s="279" t="s">
        <v>4</v>
      </c>
      <c r="D532" s="279" t="s">
        <v>243</v>
      </c>
      <c r="E532" s="279" t="s">
        <v>244</v>
      </c>
      <c r="F532" s="279" t="s">
        <v>245</v>
      </c>
      <c r="G532" s="279" t="s">
        <v>246</v>
      </c>
    </row>
    <row r="533" spans="1:7" s="31" customFormat="1" ht="10">
      <c r="A533" s="280">
        <v>88247</v>
      </c>
      <c r="B533" s="281" t="s">
        <v>293</v>
      </c>
      <c r="C533" s="282" t="s">
        <v>26</v>
      </c>
      <c r="D533" s="282" t="s">
        <v>265</v>
      </c>
      <c r="E533" s="298">
        <v>0.3</v>
      </c>
      <c r="F533" s="283">
        <f>_xlfn.XLOOKUP(A533,COMP_AUX!$F$13:$F$1400,COMP_AUX!$G$13:$G$1400,_xlfn.XLOOKUP(A533,CUSTO_INSU!$A$12:$A$201,CUSTO_INSU!$G$12:$G$201))</f>
        <v>21.5</v>
      </c>
      <c r="G533" s="283">
        <f>ROUND(ROUND(E533,8)*F533,2)</f>
        <v>6.45</v>
      </c>
    </row>
    <row r="534" spans="1:7" s="31" customFormat="1" ht="10">
      <c r="A534" s="280">
        <v>88264</v>
      </c>
      <c r="B534" s="281" t="s">
        <v>295</v>
      </c>
      <c r="C534" s="282" t="s">
        <v>26</v>
      </c>
      <c r="D534" s="282" t="s">
        <v>265</v>
      </c>
      <c r="E534" s="298">
        <v>0.3</v>
      </c>
      <c r="F534" s="283">
        <f>_xlfn.XLOOKUP(A534,COMP_AUX!$F$13:$F$1400,COMP_AUX!$G$13:$G$1400,_xlfn.XLOOKUP(A534,CUSTO_INSU!$A$12:$A$201,CUSTO_INSU!$G$12:$G$201))</f>
        <v>25.55</v>
      </c>
      <c r="G534" s="283">
        <f>ROUND(ROUND(E534,8)*F534,2)</f>
        <v>7.67</v>
      </c>
    </row>
    <row r="535" spans="1:7" s="31" customFormat="1" ht="10.5">
      <c r="A535" s="284"/>
      <c r="B535" s="32"/>
      <c r="C535" s="32"/>
      <c r="D535" s="32"/>
      <c r="E535" s="285" t="s">
        <v>1303</v>
      </c>
      <c r="F535" s="285"/>
      <c r="G535" s="286">
        <f>SUM(G533:G534)</f>
        <v>14.120000000000001</v>
      </c>
    </row>
    <row r="536" spans="1:7" s="31" customFormat="1" ht="21">
      <c r="A536" s="403" t="s">
        <v>379</v>
      </c>
      <c r="B536" s="403"/>
      <c r="C536" s="403"/>
      <c r="D536" s="32"/>
      <c r="E536" s="287" t="s">
        <v>255</v>
      </c>
      <c r="F536" s="287" t="str">
        <f>A528</f>
        <v>JFPB-33027435</v>
      </c>
      <c r="G536" s="288">
        <f>SUM(G535,G531)</f>
        <v>226.26</v>
      </c>
    </row>
    <row r="537" spans="1:7" s="31" customFormat="1" ht="10">
      <c r="A537" s="294"/>
      <c r="B537" s="295"/>
      <c r="C537" s="295"/>
      <c r="D537" s="32"/>
      <c r="E537" s="32"/>
      <c r="F537" s="32"/>
      <c r="G537" s="32"/>
    </row>
    <row r="538" spans="1:7" s="31" customFormat="1" ht="10">
      <c r="A538" s="284"/>
      <c r="B538" s="32"/>
      <c r="C538" s="32"/>
      <c r="D538" s="32"/>
      <c r="E538" s="289"/>
      <c r="F538" s="289"/>
      <c r="G538" s="289"/>
    </row>
    <row r="539" spans="1:7" s="31" customFormat="1" ht="31.5">
      <c r="A539" s="275">
        <v>95802</v>
      </c>
      <c r="B539" s="276" t="s">
        <v>925</v>
      </c>
      <c r="C539" s="276"/>
      <c r="D539" s="276"/>
      <c r="E539" s="276"/>
      <c r="F539" s="276"/>
      <c r="G539" s="276"/>
    </row>
    <row r="540" spans="1:7" s="31" customFormat="1" ht="21">
      <c r="A540" s="277" t="s">
        <v>256</v>
      </c>
      <c r="B540" s="278"/>
      <c r="C540" s="279" t="s">
        <v>4</v>
      </c>
      <c r="D540" s="279" t="s">
        <v>243</v>
      </c>
      <c r="E540" s="279" t="s">
        <v>244</v>
      </c>
      <c r="F540" s="279" t="s">
        <v>245</v>
      </c>
      <c r="G540" s="279" t="s">
        <v>246</v>
      </c>
    </row>
    <row r="541" spans="1:7" s="31" customFormat="1" ht="30">
      <c r="A541" s="280">
        <v>11950</v>
      </c>
      <c r="B541" s="281" t="s">
        <v>380</v>
      </c>
      <c r="C541" s="282" t="s">
        <v>26</v>
      </c>
      <c r="D541" s="282" t="s">
        <v>14</v>
      </c>
      <c r="E541" s="298">
        <v>2</v>
      </c>
      <c r="F541" s="283">
        <f>_xlfn.XLOOKUP(A541,COMP_AUX!$F$13:$F$1400,COMP_AUX!$G$13:$G$1400,_xlfn.XLOOKUP(A541,CUSTO_INSU!$A$12:$A$201,CUSTO_INSU!$G$12:$G$201))</f>
        <v>0.2</v>
      </c>
      <c r="G541" s="283">
        <f>TRUNC(TRUNC(E541,8)*F541,2)</f>
        <v>0.4</v>
      </c>
    </row>
    <row r="542" spans="1:7" s="31" customFormat="1" ht="20">
      <c r="A542" s="280">
        <v>2581</v>
      </c>
      <c r="B542" s="281" t="s">
        <v>381</v>
      </c>
      <c r="C542" s="282" t="s">
        <v>26</v>
      </c>
      <c r="D542" s="282" t="s">
        <v>14</v>
      </c>
      <c r="E542" s="298">
        <v>1</v>
      </c>
      <c r="F542" s="283">
        <f>_xlfn.XLOOKUP(A542,COMP_AUX!$F$13:$F$1400,COMP_AUX!$G$13:$G$1400,_xlfn.XLOOKUP(A542,CUSTO_INSU!$A$12:$A$201,CUSTO_INSU!$G$12:$G$201))</f>
        <v>17.670000000000002</v>
      </c>
      <c r="G542" s="283">
        <f>TRUNC(TRUNC(E542,8)*F542,2)</f>
        <v>17.670000000000002</v>
      </c>
    </row>
    <row r="543" spans="1:7" s="31" customFormat="1" ht="10.5">
      <c r="A543" s="284"/>
      <c r="B543" s="32"/>
      <c r="C543" s="32"/>
      <c r="D543" s="32"/>
      <c r="E543" s="285" t="s">
        <v>1305</v>
      </c>
      <c r="F543" s="285"/>
      <c r="G543" s="286">
        <f>SUM(G541:G542)</f>
        <v>18.07</v>
      </c>
    </row>
    <row r="544" spans="1:7" s="31" customFormat="1" ht="21">
      <c r="A544" s="277" t="s">
        <v>242</v>
      </c>
      <c r="B544" s="278"/>
      <c r="C544" s="279" t="s">
        <v>4</v>
      </c>
      <c r="D544" s="279" t="s">
        <v>243</v>
      </c>
      <c r="E544" s="279" t="s">
        <v>244</v>
      </c>
      <c r="F544" s="279" t="s">
        <v>245</v>
      </c>
      <c r="G544" s="279" t="s">
        <v>246</v>
      </c>
    </row>
    <row r="545" spans="1:7" s="31" customFormat="1" ht="10">
      <c r="A545" s="280">
        <v>88247</v>
      </c>
      <c r="B545" s="281" t="s">
        <v>293</v>
      </c>
      <c r="C545" s="282" t="s">
        <v>26</v>
      </c>
      <c r="D545" s="282" t="s">
        <v>265</v>
      </c>
      <c r="E545" s="298">
        <v>0.52539999999999998</v>
      </c>
      <c r="F545" s="283">
        <f>_xlfn.XLOOKUP(A545,COMP_AUX!$F$13:$F$1400,COMP_AUX!$G$13:$G$1400,_xlfn.XLOOKUP(A545,CUSTO_INSU!$A$12:$A$201,CUSTO_INSU!$G$12:$G$201))</f>
        <v>21.5</v>
      </c>
      <c r="G545" s="283">
        <f>TRUNC(TRUNC(E545,8)*F545,2)</f>
        <v>11.29</v>
      </c>
    </row>
    <row r="546" spans="1:7" s="31" customFormat="1" ht="10">
      <c r="A546" s="280">
        <v>88264</v>
      </c>
      <c r="B546" s="281" t="s">
        <v>295</v>
      </c>
      <c r="C546" s="282" t="s">
        <v>26</v>
      </c>
      <c r="D546" s="282" t="s">
        <v>265</v>
      </c>
      <c r="E546" s="298">
        <v>0.52539999999999998</v>
      </c>
      <c r="F546" s="283">
        <f>_xlfn.XLOOKUP(A546,COMP_AUX!$F$13:$F$1400,COMP_AUX!$G$13:$G$1400,_xlfn.XLOOKUP(A546,CUSTO_INSU!$A$12:$A$201,CUSTO_INSU!$G$12:$G$201))</f>
        <v>25.55</v>
      </c>
      <c r="G546" s="283">
        <f>TRUNC(TRUNC(E546,8)*F546,2)</f>
        <v>13.42</v>
      </c>
    </row>
    <row r="547" spans="1:7" s="31" customFormat="1" ht="10.5">
      <c r="A547" s="284"/>
      <c r="B547" s="32"/>
      <c r="C547" s="32"/>
      <c r="D547" s="32"/>
      <c r="E547" s="285" t="s">
        <v>1303</v>
      </c>
      <c r="F547" s="285"/>
      <c r="G547" s="286">
        <f>SUM(G545:G546)</f>
        <v>24.71</v>
      </c>
    </row>
    <row r="548" spans="1:7" s="31" customFormat="1" ht="10.5">
      <c r="A548" s="284"/>
      <c r="B548" s="32"/>
      <c r="C548" s="32"/>
      <c r="D548" s="32"/>
      <c r="E548" s="287" t="s">
        <v>255</v>
      </c>
      <c r="F548" s="287">
        <f>A539</f>
        <v>95802</v>
      </c>
      <c r="G548" s="288">
        <f>SUM(G543,G547)</f>
        <v>42.78</v>
      </c>
    </row>
    <row r="549" spans="1:7" s="31" customFormat="1" ht="10">
      <c r="A549" s="284"/>
      <c r="B549" s="32"/>
      <c r="C549" s="32"/>
      <c r="D549" s="32"/>
      <c r="E549" s="289"/>
      <c r="F549" s="289"/>
      <c r="G549" s="289"/>
    </row>
    <row r="550" spans="1:7" s="31" customFormat="1" ht="31.5">
      <c r="A550" s="275">
        <v>95796</v>
      </c>
      <c r="B550" s="276" t="s">
        <v>926</v>
      </c>
      <c r="C550" s="276"/>
      <c r="D550" s="276"/>
      <c r="E550" s="276"/>
      <c r="F550" s="276"/>
      <c r="G550" s="276"/>
    </row>
    <row r="551" spans="1:7" s="31" customFormat="1" ht="21">
      <c r="A551" s="277" t="s">
        <v>256</v>
      </c>
      <c r="B551" s="278"/>
      <c r="C551" s="279" t="s">
        <v>4</v>
      </c>
      <c r="D551" s="279" t="s">
        <v>243</v>
      </c>
      <c r="E551" s="279" t="s">
        <v>244</v>
      </c>
      <c r="F551" s="279" t="s">
        <v>245</v>
      </c>
      <c r="G551" s="279" t="s">
        <v>246</v>
      </c>
    </row>
    <row r="552" spans="1:7" s="31" customFormat="1" ht="30">
      <c r="A552" s="280">
        <v>11950</v>
      </c>
      <c r="B552" s="281" t="s">
        <v>380</v>
      </c>
      <c r="C552" s="282" t="s">
        <v>26</v>
      </c>
      <c r="D552" s="282" t="s">
        <v>14</v>
      </c>
      <c r="E552" s="298">
        <v>2</v>
      </c>
      <c r="F552" s="283">
        <f>_xlfn.XLOOKUP(A552,COMP_AUX!$F$13:$F$1400,COMP_AUX!$G$13:$G$1400,_xlfn.XLOOKUP(A552,CUSTO_INSU!$A$12:$A$201,CUSTO_INSU!$G$12:$G$201))</f>
        <v>0.2</v>
      </c>
      <c r="G552" s="283">
        <f>TRUNC(TRUNC(E552,8)*F552,2)</f>
        <v>0.4</v>
      </c>
    </row>
    <row r="553" spans="1:7" s="31" customFormat="1" ht="20">
      <c r="A553" s="280">
        <v>2586</v>
      </c>
      <c r="B553" s="281" t="s">
        <v>382</v>
      </c>
      <c r="C553" s="282" t="s">
        <v>26</v>
      </c>
      <c r="D553" s="282" t="s">
        <v>14</v>
      </c>
      <c r="E553" s="298">
        <v>1</v>
      </c>
      <c r="F553" s="283">
        <f>_xlfn.XLOOKUP(A553,COMP_AUX!$F$13:$F$1400,COMP_AUX!$G$13:$G$1400,_xlfn.XLOOKUP(A553,CUSTO_INSU!$A$12:$A$201,CUSTO_INSU!$G$12:$G$201))</f>
        <v>18.47</v>
      </c>
      <c r="G553" s="283">
        <f>TRUNC(TRUNC(E553,8)*F553,2)</f>
        <v>18.47</v>
      </c>
    </row>
    <row r="554" spans="1:7" s="31" customFormat="1" ht="10.5">
      <c r="A554" s="284"/>
      <c r="B554" s="32"/>
      <c r="C554" s="32"/>
      <c r="D554" s="32"/>
      <c r="E554" s="285" t="s">
        <v>1305</v>
      </c>
      <c r="F554" s="285"/>
      <c r="G554" s="286">
        <f>SUM(G552:G553)</f>
        <v>18.869999999999997</v>
      </c>
    </row>
    <row r="555" spans="1:7" s="31" customFormat="1" ht="21">
      <c r="A555" s="277" t="s">
        <v>242</v>
      </c>
      <c r="B555" s="278"/>
      <c r="C555" s="279" t="s">
        <v>4</v>
      </c>
      <c r="D555" s="279" t="s">
        <v>243</v>
      </c>
      <c r="E555" s="279" t="s">
        <v>244</v>
      </c>
      <c r="F555" s="279" t="s">
        <v>245</v>
      </c>
      <c r="G555" s="279" t="s">
        <v>246</v>
      </c>
    </row>
    <row r="556" spans="1:7" s="31" customFormat="1" ht="10">
      <c r="A556" s="280">
        <v>88247</v>
      </c>
      <c r="B556" s="281" t="s">
        <v>293</v>
      </c>
      <c r="C556" s="282" t="s">
        <v>26</v>
      </c>
      <c r="D556" s="282" t="s">
        <v>265</v>
      </c>
      <c r="E556" s="298">
        <v>0.45779999999999998</v>
      </c>
      <c r="F556" s="283">
        <f>_xlfn.XLOOKUP(A556,COMP_AUX!$F$13:$F$1400,COMP_AUX!$G$13:$G$1400,_xlfn.XLOOKUP(A556,CUSTO_INSU!$A$12:$A$201,CUSTO_INSU!$G$12:$G$201))</f>
        <v>21.5</v>
      </c>
      <c r="G556" s="283">
        <f>TRUNC(TRUNC(E556,8)*F556,2)</f>
        <v>9.84</v>
      </c>
    </row>
    <row r="557" spans="1:7" s="31" customFormat="1" ht="10">
      <c r="A557" s="280">
        <v>88264</v>
      </c>
      <c r="B557" s="281" t="s">
        <v>295</v>
      </c>
      <c r="C557" s="282" t="s">
        <v>26</v>
      </c>
      <c r="D557" s="282" t="s">
        <v>265</v>
      </c>
      <c r="E557" s="298">
        <v>0.45779999999999998</v>
      </c>
      <c r="F557" s="283">
        <f>_xlfn.XLOOKUP(A557,COMP_AUX!$F$13:$F$1400,COMP_AUX!$G$13:$G$1400,_xlfn.XLOOKUP(A557,CUSTO_INSU!$A$12:$A$201,CUSTO_INSU!$G$12:$G$201))</f>
        <v>25.55</v>
      </c>
      <c r="G557" s="283">
        <f>TRUNC(TRUNC(E557,8)*F557,2)</f>
        <v>11.69</v>
      </c>
    </row>
    <row r="558" spans="1:7" s="31" customFormat="1" ht="10.5">
      <c r="A558" s="284"/>
      <c r="B558" s="32"/>
      <c r="C558" s="32"/>
      <c r="D558" s="32"/>
      <c r="E558" s="285" t="s">
        <v>1303</v>
      </c>
      <c r="F558" s="285"/>
      <c r="G558" s="286">
        <f>SUM(G556:G557)</f>
        <v>21.53</v>
      </c>
    </row>
    <row r="559" spans="1:7" s="31" customFormat="1" ht="10.5">
      <c r="A559" s="284"/>
      <c r="B559" s="32"/>
      <c r="C559" s="32"/>
      <c r="D559" s="32"/>
      <c r="E559" s="287" t="s">
        <v>255</v>
      </c>
      <c r="F559" s="287">
        <f>A550</f>
        <v>95796</v>
      </c>
      <c r="G559" s="288">
        <f>SUM(G554,G558)</f>
        <v>40.4</v>
      </c>
    </row>
    <row r="560" spans="1:7" s="31" customFormat="1" ht="10">
      <c r="A560" s="284"/>
      <c r="B560" s="32"/>
      <c r="C560" s="32"/>
      <c r="D560" s="32"/>
      <c r="E560" s="289"/>
      <c r="F560" s="289"/>
      <c r="G560" s="289"/>
    </row>
    <row r="561" spans="1:7" s="31" customFormat="1" ht="31.5">
      <c r="A561" s="275">
        <v>95791</v>
      </c>
      <c r="B561" s="276" t="s">
        <v>927</v>
      </c>
      <c r="C561" s="276"/>
      <c r="D561" s="276"/>
      <c r="E561" s="276"/>
      <c r="F561" s="276"/>
      <c r="G561" s="276"/>
    </row>
    <row r="562" spans="1:7" s="31" customFormat="1" ht="21">
      <c r="A562" s="277" t="s">
        <v>256</v>
      </c>
      <c r="B562" s="278"/>
      <c r="C562" s="279" t="s">
        <v>4</v>
      </c>
      <c r="D562" s="279" t="s">
        <v>243</v>
      </c>
      <c r="E562" s="279" t="s">
        <v>244</v>
      </c>
      <c r="F562" s="279" t="s">
        <v>245</v>
      </c>
      <c r="G562" s="279" t="s">
        <v>246</v>
      </c>
    </row>
    <row r="563" spans="1:7" s="31" customFormat="1" ht="30">
      <c r="A563" s="280">
        <v>11950</v>
      </c>
      <c r="B563" s="281" t="s">
        <v>380</v>
      </c>
      <c r="C563" s="282" t="s">
        <v>26</v>
      </c>
      <c r="D563" s="282" t="s">
        <v>14</v>
      </c>
      <c r="E563" s="298">
        <v>2</v>
      </c>
      <c r="F563" s="283">
        <f>_xlfn.XLOOKUP(A563,COMP_AUX!$F$13:$F$1400,COMP_AUX!$G$13:$G$1400,_xlfn.XLOOKUP(A563,CUSTO_INSU!$A$12:$A$201,CUSTO_INSU!$G$12:$G$201))</f>
        <v>0.2</v>
      </c>
      <c r="G563" s="283">
        <f>TRUNC(TRUNC(E563,8)*F563,2)</f>
        <v>0.4</v>
      </c>
    </row>
    <row r="564" spans="1:7" s="31" customFormat="1" ht="20">
      <c r="A564" s="280">
        <v>2588</v>
      </c>
      <c r="B564" s="281" t="s">
        <v>383</v>
      </c>
      <c r="C564" s="282" t="s">
        <v>26</v>
      </c>
      <c r="D564" s="282" t="s">
        <v>14</v>
      </c>
      <c r="E564" s="298">
        <v>1</v>
      </c>
      <c r="F564" s="283">
        <f>_xlfn.XLOOKUP(A564,COMP_AUX!$F$13:$F$1400,COMP_AUX!$G$13:$G$1400,_xlfn.XLOOKUP(A564,CUSTO_INSU!$A$12:$A$201,CUSTO_INSU!$G$12:$G$201))</f>
        <v>24.2</v>
      </c>
      <c r="G564" s="283">
        <f>TRUNC(TRUNC(E564,8)*F564,2)</f>
        <v>24.2</v>
      </c>
    </row>
    <row r="565" spans="1:7" s="31" customFormat="1" ht="10.5">
      <c r="A565" s="284"/>
      <c r="B565" s="32"/>
      <c r="C565" s="32"/>
      <c r="D565" s="32"/>
      <c r="E565" s="285" t="s">
        <v>1305</v>
      </c>
      <c r="F565" s="285"/>
      <c r="G565" s="286">
        <f>SUM(G563:G564)</f>
        <v>24.599999999999998</v>
      </c>
    </row>
    <row r="566" spans="1:7" s="31" customFormat="1" ht="21">
      <c r="A566" s="277" t="s">
        <v>242</v>
      </c>
      <c r="B566" s="278"/>
      <c r="C566" s="279" t="s">
        <v>4</v>
      </c>
      <c r="D566" s="279" t="s">
        <v>243</v>
      </c>
      <c r="E566" s="279" t="s">
        <v>244</v>
      </c>
      <c r="F566" s="279" t="s">
        <v>245</v>
      </c>
      <c r="G566" s="279" t="s">
        <v>246</v>
      </c>
    </row>
    <row r="567" spans="1:7" s="31" customFormat="1" ht="10">
      <c r="A567" s="280">
        <v>88247</v>
      </c>
      <c r="B567" s="281" t="s">
        <v>293</v>
      </c>
      <c r="C567" s="282" t="s">
        <v>26</v>
      </c>
      <c r="D567" s="282" t="s">
        <v>265</v>
      </c>
      <c r="E567" s="298">
        <v>0.49480000000000002</v>
      </c>
      <c r="F567" s="283">
        <f>_xlfn.XLOOKUP(A567,COMP_AUX!$F$13:$F$1400,COMP_AUX!$G$13:$G$1400,_xlfn.XLOOKUP(A567,CUSTO_INSU!$A$12:$A$201,CUSTO_INSU!$G$12:$G$201))</f>
        <v>21.5</v>
      </c>
      <c r="G567" s="283">
        <f>TRUNC(TRUNC(E567,8)*F567,2)</f>
        <v>10.63</v>
      </c>
    </row>
    <row r="568" spans="1:7" s="31" customFormat="1" ht="10">
      <c r="A568" s="280">
        <v>88264</v>
      </c>
      <c r="B568" s="281" t="s">
        <v>295</v>
      </c>
      <c r="C568" s="282" t="s">
        <v>26</v>
      </c>
      <c r="D568" s="282" t="s">
        <v>265</v>
      </c>
      <c r="E568" s="298">
        <v>0.49480000000000002</v>
      </c>
      <c r="F568" s="283">
        <f>_xlfn.XLOOKUP(A568,COMP_AUX!$F$13:$F$1400,COMP_AUX!$G$13:$G$1400,_xlfn.XLOOKUP(A568,CUSTO_INSU!$A$12:$A$201,CUSTO_INSU!$G$12:$G$201))</f>
        <v>25.55</v>
      </c>
      <c r="G568" s="283">
        <f>TRUNC(TRUNC(E568,8)*F568,2)</f>
        <v>12.64</v>
      </c>
    </row>
    <row r="569" spans="1:7" s="31" customFormat="1" ht="10.5">
      <c r="A569" s="284"/>
      <c r="B569" s="32"/>
      <c r="C569" s="32"/>
      <c r="D569" s="32"/>
      <c r="E569" s="285" t="s">
        <v>1303</v>
      </c>
      <c r="F569" s="285"/>
      <c r="G569" s="286">
        <f>SUM(G567:G568)</f>
        <v>23.270000000000003</v>
      </c>
    </row>
    <row r="570" spans="1:7" s="31" customFormat="1" ht="10.5">
      <c r="A570" s="284"/>
      <c r="B570" s="32"/>
      <c r="C570" s="32"/>
      <c r="D570" s="32"/>
      <c r="E570" s="287" t="s">
        <v>255</v>
      </c>
      <c r="F570" s="287">
        <f>A561</f>
        <v>95791</v>
      </c>
      <c r="G570" s="288">
        <f>SUM(G565,G569)</f>
        <v>47.870000000000005</v>
      </c>
    </row>
    <row r="571" spans="1:7" s="31" customFormat="1" ht="10">
      <c r="A571" s="284"/>
      <c r="B571" s="32"/>
      <c r="C571" s="32"/>
      <c r="D571" s="32"/>
      <c r="E571" s="289"/>
      <c r="F571" s="289"/>
      <c r="G571" s="289"/>
    </row>
    <row r="572" spans="1:7" s="31" customFormat="1" ht="31.5">
      <c r="A572" s="275">
        <v>95782</v>
      </c>
      <c r="B572" s="276" t="s">
        <v>928</v>
      </c>
      <c r="C572" s="276"/>
      <c r="D572" s="276"/>
      <c r="E572" s="276"/>
      <c r="F572" s="276"/>
      <c r="G572" s="276"/>
    </row>
    <row r="573" spans="1:7" s="31" customFormat="1" ht="21">
      <c r="A573" s="277" t="s">
        <v>256</v>
      </c>
      <c r="B573" s="278"/>
      <c r="C573" s="279" t="s">
        <v>4</v>
      </c>
      <c r="D573" s="279" t="s">
        <v>243</v>
      </c>
      <c r="E573" s="279" t="s">
        <v>244</v>
      </c>
      <c r="F573" s="279" t="s">
        <v>245</v>
      </c>
      <c r="G573" s="279" t="s">
        <v>246</v>
      </c>
    </row>
    <row r="574" spans="1:7" s="31" customFormat="1" ht="30">
      <c r="A574" s="280">
        <v>11950</v>
      </c>
      <c r="B574" s="281" t="s">
        <v>380</v>
      </c>
      <c r="C574" s="282" t="s">
        <v>26</v>
      </c>
      <c r="D574" s="282" t="s">
        <v>14</v>
      </c>
      <c r="E574" s="298">
        <v>2</v>
      </c>
      <c r="F574" s="283">
        <f>_xlfn.XLOOKUP(A574,COMP_AUX!$F$13:$F$1400,COMP_AUX!$G$13:$G$1400,_xlfn.XLOOKUP(A574,CUSTO_INSU!$A$12:$A$201,CUSTO_INSU!$G$12:$G$201))</f>
        <v>0.2</v>
      </c>
      <c r="G574" s="283">
        <f>TRUNC(TRUNC(E574,8)*F574,2)</f>
        <v>0.4</v>
      </c>
    </row>
    <row r="575" spans="1:7" s="31" customFormat="1" ht="20">
      <c r="A575" s="280">
        <v>2590</v>
      </c>
      <c r="B575" s="281" t="s">
        <v>384</v>
      </c>
      <c r="C575" s="282" t="s">
        <v>26</v>
      </c>
      <c r="D575" s="282" t="s">
        <v>14</v>
      </c>
      <c r="E575" s="298">
        <v>1</v>
      </c>
      <c r="F575" s="283">
        <f>_xlfn.XLOOKUP(A575,COMP_AUX!$F$13:$F$1400,COMP_AUX!$G$13:$G$1400,_xlfn.XLOOKUP(A575,CUSTO_INSU!$A$12:$A$201,CUSTO_INSU!$G$12:$G$201))</f>
        <v>16.16</v>
      </c>
      <c r="G575" s="283">
        <f>TRUNC(TRUNC(E575,8)*F575,2)</f>
        <v>16.16</v>
      </c>
    </row>
    <row r="576" spans="1:7" s="31" customFormat="1" ht="10.5">
      <c r="A576" s="284"/>
      <c r="B576" s="32"/>
      <c r="C576" s="32"/>
      <c r="D576" s="32"/>
      <c r="E576" s="285" t="s">
        <v>1305</v>
      </c>
      <c r="F576" s="285"/>
      <c r="G576" s="286">
        <f>SUM(G574:G575)</f>
        <v>16.559999999999999</v>
      </c>
    </row>
    <row r="577" spans="1:7" s="31" customFormat="1" ht="21">
      <c r="A577" s="277" t="s">
        <v>242</v>
      </c>
      <c r="B577" s="278"/>
      <c r="C577" s="279" t="s">
        <v>4</v>
      </c>
      <c r="D577" s="279" t="s">
        <v>243</v>
      </c>
      <c r="E577" s="279" t="s">
        <v>244</v>
      </c>
      <c r="F577" s="279" t="s">
        <v>245</v>
      </c>
      <c r="G577" s="279" t="s">
        <v>246</v>
      </c>
    </row>
    <row r="578" spans="1:7" s="31" customFormat="1" ht="10">
      <c r="A578" s="280">
        <v>88247</v>
      </c>
      <c r="B578" s="281" t="s">
        <v>293</v>
      </c>
      <c r="C578" s="282" t="s">
        <v>26</v>
      </c>
      <c r="D578" s="282" t="s">
        <v>265</v>
      </c>
      <c r="E578" s="298">
        <v>0.255</v>
      </c>
      <c r="F578" s="283">
        <f>_xlfn.XLOOKUP(A578,COMP_AUX!$F$13:$F$1400,COMP_AUX!$G$13:$G$1400,_xlfn.XLOOKUP(A578,CUSTO_INSU!$A$12:$A$201,CUSTO_INSU!$G$12:$G$201))</f>
        <v>21.5</v>
      </c>
      <c r="G578" s="283">
        <f>TRUNC(TRUNC(E578,8)*F578,2)</f>
        <v>5.48</v>
      </c>
    </row>
    <row r="579" spans="1:7" s="31" customFormat="1" ht="10">
      <c r="A579" s="280">
        <v>88264</v>
      </c>
      <c r="B579" s="281" t="s">
        <v>295</v>
      </c>
      <c r="C579" s="282" t="s">
        <v>26</v>
      </c>
      <c r="D579" s="282" t="s">
        <v>265</v>
      </c>
      <c r="E579" s="298">
        <v>0.255</v>
      </c>
      <c r="F579" s="283">
        <f>_xlfn.XLOOKUP(A579,COMP_AUX!$F$13:$F$1400,COMP_AUX!$G$13:$G$1400,_xlfn.XLOOKUP(A579,CUSTO_INSU!$A$12:$A$201,CUSTO_INSU!$G$12:$G$201))</f>
        <v>25.55</v>
      </c>
      <c r="G579" s="283">
        <f>TRUNC(TRUNC(E579,8)*F579,2)</f>
        <v>6.51</v>
      </c>
    </row>
    <row r="580" spans="1:7" s="31" customFormat="1" ht="10.5">
      <c r="A580" s="284"/>
      <c r="B580" s="32"/>
      <c r="C580" s="32"/>
      <c r="D580" s="32"/>
      <c r="E580" s="285" t="s">
        <v>1303</v>
      </c>
      <c r="F580" s="285"/>
      <c r="G580" s="286">
        <f>SUM(G578:G579)</f>
        <v>11.99</v>
      </c>
    </row>
    <row r="581" spans="1:7" s="31" customFormat="1" ht="10.5">
      <c r="A581" s="284"/>
      <c r="B581" s="32"/>
      <c r="C581" s="32"/>
      <c r="D581" s="32"/>
      <c r="E581" s="287" t="s">
        <v>255</v>
      </c>
      <c r="F581" s="287">
        <f>A572</f>
        <v>95782</v>
      </c>
      <c r="G581" s="288">
        <f>SUM(G576,G580)</f>
        <v>28.549999999999997</v>
      </c>
    </row>
    <row r="582" spans="1:7" s="31" customFormat="1" ht="10">
      <c r="A582" s="284"/>
      <c r="B582" s="32"/>
      <c r="C582" s="32"/>
      <c r="D582" s="32"/>
      <c r="E582" s="289"/>
      <c r="F582" s="289"/>
      <c r="G582" s="289"/>
    </row>
    <row r="583" spans="1:7" s="31" customFormat="1" ht="31.5">
      <c r="A583" s="275">
        <v>95793</v>
      </c>
      <c r="B583" s="276" t="s">
        <v>929</v>
      </c>
      <c r="C583" s="276"/>
      <c r="D583" s="276"/>
      <c r="E583" s="276"/>
      <c r="F583" s="276"/>
      <c r="G583" s="276"/>
    </row>
    <row r="584" spans="1:7" s="31" customFormat="1" ht="21">
      <c r="A584" s="277" t="s">
        <v>256</v>
      </c>
      <c r="B584" s="278"/>
      <c r="C584" s="279" t="s">
        <v>4</v>
      </c>
      <c r="D584" s="279" t="s">
        <v>243</v>
      </c>
      <c r="E584" s="279" t="s">
        <v>244</v>
      </c>
      <c r="F584" s="279" t="s">
        <v>245</v>
      </c>
      <c r="G584" s="279" t="s">
        <v>246</v>
      </c>
    </row>
    <row r="585" spans="1:7" s="31" customFormat="1" ht="20">
      <c r="A585" s="280">
        <v>44079</v>
      </c>
      <c r="B585" s="281" t="s">
        <v>385</v>
      </c>
      <c r="C585" s="282" t="s">
        <v>26</v>
      </c>
      <c r="D585" s="282" t="s">
        <v>14</v>
      </c>
      <c r="E585" s="298">
        <v>1</v>
      </c>
      <c r="F585" s="283">
        <f>_xlfn.XLOOKUP(A585,COMP_AUX!$F$13:$F$1400,COMP_AUX!$G$13:$G$1400,_xlfn.XLOOKUP(A585,CUSTO_INSU!$A$12:$A$201,CUSTO_INSU!$G$12:$G$201))</f>
        <v>16.329999999999998</v>
      </c>
      <c r="G585" s="283">
        <f>TRUNC(TRUNC(E585,8)*F585,2)</f>
        <v>16.329999999999998</v>
      </c>
    </row>
    <row r="586" spans="1:7" s="31" customFormat="1" ht="10.5">
      <c r="A586" s="284"/>
      <c r="B586" s="32"/>
      <c r="C586" s="32"/>
      <c r="D586" s="32"/>
      <c r="E586" s="285" t="s">
        <v>1305</v>
      </c>
      <c r="F586" s="285"/>
      <c r="G586" s="286">
        <f>SUM(G585:G585)</f>
        <v>16.329999999999998</v>
      </c>
    </row>
    <row r="587" spans="1:7" s="31" customFormat="1" ht="21">
      <c r="A587" s="277" t="s">
        <v>242</v>
      </c>
      <c r="B587" s="278"/>
      <c r="C587" s="279" t="s">
        <v>4</v>
      </c>
      <c r="D587" s="279" t="s">
        <v>243</v>
      </c>
      <c r="E587" s="279" t="s">
        <v>244</v>
      </c>
      <c r="F587" s="279" t="s">
        <v>245</v>
      </c>
      <c r="G587" s="279" t="s">
        <v>246</v>
      </c>
    </row>
    <row r="588" spans="1:7" s="31" customFormat="1" ht="10">
      <c r="A588" s="280">
        <v>88247</v>
      </c>
      <c r="B588" s="281" t="s">
        <v>293</v>
      </c>
      <c r="C588" s="282" t="s">
        <v>26</v>
      </c>
      <c r="D588" s="282" t="s">
        <v>265</v>
      </c>
      <c r="E588" s="298">
        <v>0.20280000000000001</v>
      </c>
      <c r="F588" s="283">
        <f>_xlfn.XLOOKUP(A588,COMP_AUX!$F$13:$F$1400,COMP_AUX!$G$13:$G$1400,_xlfn.XLOOKUP(A588,CUSTO_INSU!$A$12:$A$201,CUSTO_INSU!$G$12:$G$201))</f>
        <v>21.5</v>
      </c>
      <c r="G588" s="283">
        <f>TRUNC(TRUNC(E588,8)*F588,2)</f>
        <v>4.3600000000000003</v>
      </c>
    </row>
    <row r="589" spans="1:7" s="31" customFormat="1" ht="10">
      <c r="A589" s="280">
        <v>88264</v>
      </c>
      <c r="B589" s="281" t="s">
        <v>295</v>
      </c>
      <c r="C589" s="282" t="s">
        <v>26</v>
      </c>
      <c r="D589" s="282" t="s">
        <v>265</v>
      </c>
      <c r="E589" s="298">
        <v>0.20280000000000001</v>
      </c>
      <c r="F589" s="283">
        <f>_xlfn.XLOOKUP(A589,COMP_AUX!$F$13:$F$1400,COMP_AUX!$G$13:$G$1400,_xlfn.XLOOKUP(A589,CUSTO_INSU!$A$12:$A$201,CUSTO_INSU!$G$12:$G$201))</f>
        <v>25.55</v>
      </c>
      <c r="G589" s="283">
        <f>TRUNC(TRUNC(E589,8)*F589,2)</f>
        <v>5.18</v>
      </c>
    </row>
    <row r="590" spans="1:7" s="31" customFormat="1" ht="10.5">
      <c r="A590" s="284"/>
      <c r="B590" s="32"/>
      <c r="C590" s="32"/>
      <c r="D590" s="32"/>
      <c r="E590" s="285" t="s">
        <v>1303</v>
      </c>
      <c r="F590" s="285"/>
      <c r="G590" s="286">
        <f>SUM(G588:G589)</f>
        <v>9.5399999999999991</v>
      </c>
    </row>
    <row r="591" spans="1:7" s="31" customFormat="1" ht="10.5">
      <c r="A591" s="284"/>
      <c r="B591" s="32"/>
      <c r="C591" s="32"/>
      <c r="D591" s="32"/>
      <c r="E591" s="287" t="s">
        <v>255</v>
      </c>
      <c r="F591" s="287">
        <f>A583</f>
        <v>95793</v>
      </c>
      <c r="G591" s="288">
        <f>SUM(G586,G590)</f>
        <v>25.869999999999997</v>
      </c>
    </row>
    <row r="592" spans="1:7" s="31" customFormat="1" ht="10">
      <c r="A592" s="284"/>
      <c r="B592" s="32"/>
      <c r="C592" s="32"/>
      <c r="D592" s="32"/>
      <c r="E592" s="289"/>
      <c r="F592" s="289"/>
      <c r="G592" s="289"/>
    </row>
    <row r="593" spans="1:7" s="31" customFormat="1" ht="21">
      <c r="A593" s="275" t="s">
        <v>169</v>
      </c>
      <c r="B593" s="276" t="s">
        <v>930</v>
      </c>
      <c r="C593" s="276"/>
      <c r="D593" s="276"/>
      <c r="E593" s="276"/>
      <c r="F593" s="276"/>
      <c r="G593" s="276"/>
    </row>
    <row r="594" spans="1:7" s="31" customFormat="1" ht="21">
      <c r="A594" s="277" t="s">
        <v>256</v>
      </c>
      <c r="B594" s="278"/>
      <c r="C594" s="279" t="s">
        <v>4</v>
      </c>
      <c r="D594" s="279" t="s">
        <v>243</v>
      </c>
      <c r="E594" s="279" t="s">
        <v>244</v>
      </c>
      <c r="F594" s="279" t="s">
        <v>245</v>
      </c>
      <c r="G594" s="279" t="s">
        <v>246</v>
      </c>
    </row>
    <row r="595" spans="1:7" s="31" customFormat="1" ht="10">
      <c r="A595" s="280" t="s">
        <v>386</v>
      </c>
      <c r="B595" s="281" t="s">
        <v>387</v>
      </c>
      <c r="C595" s="282" t="s">
        <v>253</v>
      </c>
      <c r="D595" s="282" t="s">
        <v>14</v>
      </c>
      <c r="E595" s="298">
        <v>1</v>
      </c>
      <c r="F595" s="283">
        <f>_xlfn.XLOOKUP(A595,COMP_AUX!$F$13:$F$1400,COMP_AUX!$G$13:$G$1400,_xlfn.XLOOKUP(A595,CUSTO_INSU!$A$12:$A$201,CUSTO_INSU!$G$12:$G$201))</f>
        <v>6.72</v>
      </c>
      <c r="G595" s="283">
        <f>ROUND(ROUND(E595,8)*F595,2)</f>
        <v>6.72</v>
      </c>
    </row>
    <row r="596" spans="1:7" s="31" customFormat="1" ht="10.5">
      <c r="A596" s="284"/>
      <c r="B596" s="32"/>
      <c r="C596" s="32"/>
      <c r="D596" s="32"/>
      <c r="E596" s="285" t="s">
        <v>1305</v>
      </c>
      <c r="F596" s="285"/>
      <c r="G596" s="286">
        <f>SUM(G595:G595)</f>
        <v>6.72</v>
      </c>
    </row>
    <row r="597" spans="1:7" s="31" customFormat="1" ht="21">
      <c r="A597" s="277" t="s">
        <v>242</v>
      </c>
      <c r="B597" s="278"/>
      <c r="C597" s="279" t="s">
        <v>4</v>
      </c>
      <c r="D597" s="279" t="s">
        <v>243</v>
      </c>
      <c r="E597" s="279" t="s">
        <v>244</v>
      </c>
      <c r="F597" s="279" t="s">
        <v>245</v>
      </c>
      <c r="G597" s="279" t="s">
        <v>246</v>
      </c>
    </row>
    <row r="598" spans="1:7" s="31" customFormat="1" ht="10">
      <c r="A598" s="280">
        <v>88247</v>
      </c>
      <c r="B598" s="281" t="s">
        <v>293</v>
      </c>
      <c r="C598" s="282" t="s">
        <v>26</v>
      </c>
      <c r="D598" s="282" t="s">
        <v>265</v>
      </c>
      <c r="E598" s="298">
        <v>0.05</v>
      </c>
      <c r="F598" s="283">
        <f>_xlfn.XLOOKUP(A598,COMP_AUX!$F$13:$F$1400,COMP_AUX!$G$13:$G$1400,_xlfn.XLOOKUP(A598,CUSTO_INSU!$A$12:$A$201,CUSTO_INSU!$G$12:$G$201))</f>
        <v>21.5</v>
      </c>
      <c r="G598" s="283">
        <f>ROUND(ROUND(E598,8)*F598,2)</f>
        <v>1.08</v>
      </c>
    </row>
    <row r="599" spans="1:7" s="31" customFormat="1" ht="10">
      <c r="A599" s="280">
        <v>88264</v>
      </c>
      <c r="B599" s="281" t="s">
        <v>295</v>
      </c>
      <c r="C599" s="282" t="s">
        <v>26</v>
      </c>
      <c r="D599" s="282" t="s">
        <v>265</v>
      </c>
      <c r="E599" s="298">
        <v>0.05</v>
      </c>
      <c r="F599" s="283">
        <f>_xlfn.XLOOKUP(A599,COMP_AUX!$F$13:$F$1400,COMP_AUX!$G$13:$G$1400,_xlfn.XLOOKUP(A599,CUSTO_INSU!$A$12:$A$201,CUSTO_INSU!$G$12:$G$201))</f>
        <v>25.55</v>
      </c>
      <c r="G599" s="283">
        <f>ROUND(ROUND(E599,8)*F599,2)</f>
        <v>1.28</v>
      </c>
    </row>
    <row r="600" spans="1:7" s="31" customFormat="1" ht="10.5">
      <c r="A600" s="284"/>
      <c r="B600" s="32"/>
      <c r="C600" s="32"/>
      <c r="D600" s="32"/>
      <c r="E600" s="285" t="s">
        <v>1303</v>
      </c>
      <c r="F600" s="285"/>
      <c r="G600" s="286">
        <f>SUM(G598:G599)</f>
        <v>2.3600000000000003</v>
      </c>
    </row>
    <row r="601" spans="1:7" s="31" customFormat="1" ht="21">
      <c r="A601" s="403" t="s">
        <v>388</v>
      </c>
      <c r="B601" s="403"/>
      <c r="C601" s="403"/>
      <c r="D601" s="32"/>
      <c r="E601" s="287" t="s">
        <v>255</v>
      </c>
      <c r="F601" s="287" t="str">
        <f>A593</f>
        <v>JFPB-63311372</v>
      </c>
      <c r="G601" s="288">
        <f>SUM(G600,G596)</f>
        <v>9.08</v>
      </c>
    </row>
    <row r="602" spans="1:7" s="31" customFormat="1" ht="10">
      <c r="A602" s="294"/>
      <c r="B602" s="295"/>
      <c r="C602" s="295"/>
      <c r="D602" s="32"/>
      <c r="E602" s="32"/>
      <c r="F602" s="32"/>
      <c r="G602" s="32"/>
    </row>
    <row r="603" spans="1:7" s="31" customFormat="1" ht="10">
      <c r="A603" s="284"/>
      <c r="B603" s="32"/>
      <c r="C603" s="32"/>
      <c r="D603" s="32"/>
      <c r="E603" s="289"/>
      <c r="F603" s="289"/>
      <c r="G603" s="289"/>
    </row>
    <row r="604" spans="1:7" s="31" customFormat="1" ht="21">
      <c r="A604" s="275" t="s">
        <v>172</v>
      </c>
      <c r="B604" s="276" t="s">
        <v>931</v>
      </c>
      <c r="C604" s="276"/>
      <c r="D604" s="276"/>
      <c r="E604" s="276"/>
      <c r="F604" s="276"/>
      <c r="G604" s="276"/>
    </row>
    <row r="605" spans="1:7" s="31" customFormat="1" ht="21">
      <c r="A605" s="277" t="s">
        <v>256</v>
      </c>
      <c r="B605" s="278"/>
      <c r="C605" s="279" t="s">
        <v>4</v>
      </c>
      <c r="D605" s="279" t="s">
        <v>243</v>
      </c>
      <c r="E605" s="279" t="s">
        <v>244</v>
      </c>
      <c r="F605" s="279" t="s">
        <v>245</v>
      </c>
      <c r="G605" s="279" t="s">
        <v>246</v>
      </c>
    </row>
    <row r="606" spans="1:7" s="31" customFormat="1" ht="20">
      <c r="A606" s="280" t="s">
        <v>389</v>
      </c>
      <c r="B606" s="281" t="s">
        <v>390</v>
      </c>
      <c r="C606" s="282" t="s">
        <v>253</v>
      </c>
      <c r="D606" s="282" t="s">
        <v>14</v>
      </c>
      <c r="E606" s="298">
        <v>0.5</v>
      </c>
      <c r="F606" s="283">
        <f>_xlfn.XLOOKUP(A606,COMP_AUX!$F$13:$F$1400,COMP_AUX!$G$13:$G$1400,_xlfn.XLOOKUP(A606,CUSTO_INSU!$A$12:$A$201,CUSTO_INSU!$G$12:$G$201))</f>
        <v>813.39</v>
      </c>
      <c r="G606" s="283">
        <f>ROUND(ROUND(E606,8)*F606,2)</f>
        <v>406.7</v>
      </c>
    </row>
    <row r="607" spans="1:7" s="31" customFormat="1" ht="10.5">
      <c r="A607" s="284"/>
      <c r="B607" s="32"/>
      <c r="C607" s="32"/>
      <c r="D607" s="32"/>
      <c r="E607" s="285" t="s">
        <v>1305</v>
      </c>
      <c r="F607" s="285"/>
      <c r="G607" s="286">
        <f>SUM(G606:G606)</f>
        <v>406.7</v>
      </c>
    </row>
    <row r="608" spans="1:7" s="31" customFormat="1" ht="21">
      <c r="A608" s="277" t="s">
        <v>242</v>
      </c>
      <c r="B608" s="278"/>
      <c r="C608" s="279" t="s">
        <v>4</v>
      </c>
      <c r="D608" s="279" t="s">
        <v>243</v>
      </c>
      <c r="E608" s="279" t="s">
        <v>244</v>
      </c>
      <c r="F608" s="279" t="s">
        <v>245</v>
      </c>
      <c r="G608" s="279" t="s">
        <v>246</v>
      </c>
    </row>
    <row r="609" spans="1:7" s="31" customFormat="1" ht="10">
      <c r="A609" s="280">
        <v>88247</v>
      </c>
      <c r="B609" s="281" t="s">
        <v>293</v>
      </c>
      <c r="C609" s="282" t="s">
        <v>26</v>
      </c>
      <c r="D609" s="282" t="s">
        <v>265</v>
      </c>
      <c r="E609" s="298">
        <v>3</v>
      </c>
      <c r="F609" s="283">
        <f>_xlfn.XLOOKUP(A609,COMP_AUX!$F$13:$F$1400,COMP_AUX!$G$13:$G$1400,_xlfn.XLOOKUP(A609,CUSTO_INSU!$A$12:$A$201,CUSTO_INSU!$G$12:$G$201))</f>
        <v>21.5</v>
      </c>
      <c r="G609" s="283">
        <f>ROUND(ROUND(E609,8)*F609,2)</f>
        <v>64.5</v>
      </c>
    </row>
    <row r="610" spans="1:7" s="31" customFormat="1" ht="10">
      <c r="A610" s="280">
        <v>88264</v>
      </c>
      <c r="B610" s="281" t="s">
        <v>295</v>
      </c>
      <c r="C610" s="282" t="s">
        <v>26</v>
      </c>
      <c r="D610" s="282" t="s">
        <v>265</v>
      </c>
      <c r="E610" s="298">
        <v>3</v>
      </c>
      <c r="F610" s="283">
        <f>_xlfn.XLOOKUP(A610,COMP_AUX!$F$13:$F$1400,COMP_AUX!$G$13:$G$1400,_xlfn.XLOOKUP(A610,CUSTO_INSU!$A$12:$A$201,CUSTO_INSU!$G$12:$G$201))</f>
        <v>25.55</v>
      </c>
      <c r="G610" s="283">
        <f>ROUND(ROUND(E610,8)*F610,2)</f>
        <v>76.650000000000006</v>
      </c>
    </row>
    <row r="611" spans="1:7" s="31" customFormat="1" ht="10.5">
      <c r="A611" s="284"/>
      <c r="B611" s="32"/>
      <c r="C611" s="32"/>
      <c r="D611" s="32"/>
      <c r="E611" s="285" t="s">
        <v>1303</v>
      </c>
      <c r="F611" s="285"/>
      <c r="G611" s="286">
        <f>SUM(G609:G610)</f>
        <v>141.15</v>
      </c>
    </row>
    <row r="612" spans="1:7" s="31" customFormat="1" ht="21">
      <c r="A612" s="403" t="s">
        <v>391</v>
      </c>
      <c r="B612" s="403"/>
      <c r="C612" s="403"/>
      <c r="D612" s="32"/>
      <c r="E612" s="287" t="s">
        <v>255</v>
      </c>
      <c r="F612" s="287" t="str">
        <f>A604</f>
        <v>JFPB-33448248</v>
      </c>
      <c r="G612" s="288">
        <f>SUM(G611,G607)</f>
        <v>547.85</v>
      </c>
    </row>
    <row r="613" spans="1:7" s="31" customFormat="1" ht="10">
      <c r="A613" s="294"/>
      <c r="B613" s="295"/>
      <c r="C613" s="295"/>
      <c r="D613" s="32"/>
      <c r="E613" s="32"/>
      <c r="F613" s="32"/>
      <c r="G613" s="32"/>
    </row>
    <row r="614" spans="1:7" s="31" customFormat="1" ht="10">
      <c r="A614" s="284"/>
      <c r="B614" s="32"/>
      <c r="C614" s="32"/>
      <c r="D614" s="32"/>
      <c r="E614" s="289"/>
      <c r="F614" s="289"/>
      <c r="G614" s="289"/>
    </row>
    <row r="615" spans="1:7" s="31" customFormat="1" ht="31.5">
      <c r="A615" s="275" t="s">
        <v>176</v>
      </c>
      <c r="B615" s="276" t="s">
        <v>932</v>
      </c>
      <c r="C615" s="276"/>
      <c r="D615" s="276"/>
      <c r="E615" s="276"/>
      <c r="F615" s="276"/>
      <c r="G615" s="276"/>
    </row>
    <row r="616" spans="1:7" s="31" customFormat="1" ht="21">
      <c r="A616" s="277" t="s">
        <v>256</v>
      </c>
      <c r="B616" s="278"/>
      <c r="C616" s="279" t="s">
        <v>4</v>
      </c>
      <c r="D616" s="279" t="s">
        <v>243</v>
      </c>
      <c r="E616" s="279" t="s">
        <v>244</v>
      </c>
      <c r="F616" s="279" t="s">
        <v>245</v>
      </c>
      <c r="G616" s="279" t="s">
        <v>246</v>
      </c>
    </row>
    <row r="617" spans="1:7" s="31" customFormat="1" ht="20">
      <c r="A617" s="280" t="s">
        <v>389</v>
      </c>
      <c r="B617" s="281" t="s">
        <v>390</v>
      </c>
      <c r="C617" s="282" t="s">
        <v>253</v>
      </c>
      <c r="D617" s="282" t="s">
        <v>14</v>
      </c>
      <c r="E617" s="298">
        <v>1</v>
      </c>
      <c r="F617" s="283">
        <f>_xlfn.XLOOKUP(A617,COMP_AUX!$F$13:$F$1400,COMP_AUX!$G$13:$G$1400,_xlfn.XLOOKUP(A617,CUSTO_INSU!$A$12:$A$201,CUSTO_INSU!$G$12:$G$201))</f>
        <v>813.39</v>
      </c>
      <c r="G617" s="283">
        <f>ROUND(ROUND(E617,8)*F617,2)</f>
        <v>813.39</v>
      </c>
    </row>
    <row r="618" spans="1:7" s="31" customFormat="1" ht="10.5">
      <c r="A618" s="284"/>
      <c r="B618" s="32"/>
      <c r="C618" s="32"/>
      <c r="D618" s="32"/>
      <c r="E618" s="285" t="s">
        <v>1305</v>
      </c>
      <c r="F618" s="285"/>
      <c r="G618" s="286">
        <f>SUM(G617:G617)</f>
        <v>813.39</v>
      </c>
    </row>
    <row r="619" spans="1:7" s="31" customFormat="1" ht="21">
      <c r="A619" s="277" t="s">
        <v>242</v>
      </c>
      <c r="B619" s="278"/>
      <c r="C619" s="279" t="s">
        <v>4</v>
      </c>
      <c r="D619" s="279" t="s">
        <v>243</v>
      </c>
      <c r="E619" s="279" t="s">
        <v>244</v>
      </c>
      <c r="F619" s="279" t="s">
        <v>245</v>
      </c>
      <c r="G619" s="279" t="s">
        <v>246</v>
      </c>
    </row>
    <row r="620" spans="1:7" s="31" customFormat="1" ht="10">
      <c r="A620" s="280">
        <v>88247</v>
      </c>
      <c r="B620" s="281" t="s">
        <v>293</v>
      </c>
      <c r="C620" s="282" t="s">
        <v>26</v>
      </c>
      <c r="D620" s="282" t="s">
        <v>265</v>
      </c>
      <c r="E620" s="298">
        <v>6</v>
      </c>
      <c r="F620" s="283">
        <f>_xlfn.XLOOKUP(A620,COMP_AUX!$F$13:$F$1400,COMP_AUX!$G$13:$G$1400,_xlfn.XLOOKUP(A620,CUSTO_INSU!$A$12:$A$201,CUSTO_INSU!$G$12:$G$201))</f>
        <v>21.5</v>
      </c>
      <c r="G620" s="283">
        <f>ROUND(ROUND(E620,8)*F620,2)</f>
        <v>129</v>
      </c>
    </row>
    <row r="621" spans="1:7" s="31" customFormat="1" ht="10">
      <c r="A621" s="280">
        <v>88264</v>
      </c>
      <c r="B621" s="281" t="s">
        <v>295</v>
      </c>
      <c r="C621" s="282" t="s">
        <v>26</v>
      </c>
      <c r="D621" s="282" t="s">
        <v>265</v>
      </c>
      <c r="E621" s="298">
        <v>6</v>
      </c>
      <c r="F621" s="283">
        <f>_xlfn.XLOOKUP(A621,COMP_AUX!$F$13:$F$1400,COMP_AUX!$G$13:$G$1400,_xlfn.XLOOKUP(A621,CUSTO_INSU!$A$12:$A$201,CUSTO_INSU!$G$12:$G$201))</f>
        <v>25.55</v>
      </c>
      <c r="G621" s="283">
        <f>ROUND(ROUND(E621,8)*F621,2)</f>
        <v>153.30000000000001</v>
      </c>
    </row>
    <row r="622" spans="1:7" s="31" customFormat="1" ht="10.5">
      <c r="A622" s="284"/>
      <c r="B622" s="32"/>
      <c r="C622" s="32"/>
      <c r="D622" s="32"/>
      <c r="E622" s="285" t="s">
        <v>1303</v>
      </c>
      <c r="F622" s="285"/>
      <c r="G622" s="286">
        <f>SUM(G620:G621)</f>
        <v>282.3</v>
      </c>
    </row>
    <row r="623" spans="1:7" s="31" customFormat="1" ht="21">
      <c r="A623" s="403" t="s">
        <v>391</v>
      </c>
      <c r="B623" s="403"/>
      <c r="C623" s="403"/>
      <c r="D623" s="32"/>
      <c r="E623" s="287" t="s">
        <v>255</v>
      </c>
      <c r="F623" s="287" t="str">
        <f>A615</f>
        <v>JFPB-91506224</v>
      </c>
      <c r="G623" s="288">
        <f>SUM(G622,G618)</f>
        <v>1095.69</v>
      </c>
    </row>
    <row r="624" spans="1:7" s="31" customFormat="1" ht="10">
      <c r="A624" s="294"/>
      <c r="B624" s="295"/>
      <c r="C624" s="295"/>
      <c r="D624" s="32"/>
      <c r="E624" s="32"/>
      <c r="F624" s="32"/>
      <c r="G624" s="32"/>
    </row>
    <row r="625" spans="1:7" s="31" customFormat="1" ht="10">
      <c r="A625" s="284"/>
      <c r="B625" s="32"/>
      <c r="C625" s="32"/>
      <c r="D625" s="32"/>
      <c r="E625" s="289"/>
      <c r="F625" s="289"/>
      <c r="G625" s="289"/>
    </row>
    <row r="626" spans="1:7" s="31" customFormat="1" ht="21">
      <c r="A626" s="275" t="s">
        <v>179</v>
      </c>
      <c r="B626" s="276" t="s">
        <v>933</v>
      </c>
      <c r="C626" s="276"/>
      <c r="D626" s="276"/>
      <c r="E626" s="276"/>
      <c r="F626" s="276"/>
      <c r="G626" s="276"/>
    </row>
    <row r="627" spans="1:7" s="31" customFormat="1" ht="21">
      <c r="A627" s="277" t="s">
        <v>256</v>
      </c>
      <c r="B627" s="278"/>
      <c r="C627" s="279" t="s">
        <v>4</v>
      </c>
      <c r="D627" s="279" t="s">
        <v>243</v>
      </c>
      <c r="E627" s="279" t="s">
        <v>244</v>
      </c>
      <c r="F627" s="279" t="s">
        <v>245</v>
      </c>
      <c r="G627" s="279" t="s">
        <v>246</v>
      </c>
    </row>
    <row r="628" spans="1:7" s="31" customFormat="1" ht="10">
      <c r="A628" s="280" t="s">
        <v>392</v>
      </c>
      <c r="B628" s="281" t="s">
        <v>393</v>
      </c>
      <c r="C628" s="282" t="s">
        <v>253</v>
      </c>
      <c r="D628" s="282" t="s">
        <v>14</v>
      </c>
      <c r="E628" s="298">
        <v>1</v>
      </c>
      <c r="F628" s="283">
        <f>_xlfn.XLOOKUP(A628,COMP_AUX!$F$13:$F$1400,COMP_AUX!$G$13:$G$1400,_xlfn.XLOOKUP(A628,CUSTO_INSU!$A$12:$A$201,CUSTO_INSU!$G$12:$G$201))</f>
        <v>142.53</v>
      </c>
      <c r="G628" s="283">
        <f>ROUND(ROUND(E628,8)*F628,2)</f>
        <v>142.53</v>
      </c>
    </row>
    <row r="629" spans="1:7" s="31" customFormat="1" ht="10.5">
      <c r="A629" s="284"/>
      <c r="B629" s="32"/>
      <c r="C629" s="32"/>
      <c r="D629" s="32"/>
      <c r="E629" s="285" t="s">
        <v>1305</v>
      </c>
      <c r="F629" s="285"/>
      <c r="G629" s="286">
        <f>SUM(G628:G628)</f>
        <v>142.53</v>
      </c>
    </row>
    <row r="630" spans="1:7" s="31" customFormat="1" ht="21">
      <c r="A630" s="277" t="s">
        <v>242</v>
      </c>
      <c r="B630" s="278"/>
      <c r="C630" s="279" t="s">
        <v>4</v>
      </c>
      <c r="D630" s="279" t="s">
        <v>243</v>
      </c>
      <c r="E630" s="279" t="s">
        <v>244</v>
      </c>
      <c r="F630" s="279" t="s">
        <v>245</v>
      </c>
      <c r="G630" s="279" t="s">
        <v>246</v>
      </c>
    </row>
    <row r="631" spans="1:7" s="31" customFormat="1" ht="10">
      <c r="A631" s="280">
        <v>88247</v>
      </c>
      <c r="B631" s="281" t="s">
        <v>293</v>
      </c>
      <c r="C631" s="282" t="s">
        <v>26</v>
      </c>
      <c r="D631" s="282" t="s">
        <v>265</v>
      </c>
      <c r="E631" s="298">
        <v>1</v>
      </c>
      <c r="F631" s="283">
        <f>_xlfn.XLOOKUP(A631,COMP_AUX!$F$13:$F$1400,COMP_AUX!$G$13:$G$1400,_xlfn.XLOOKUP(A631,CUSTO_INSU!$A$12:$A$201,CUSTO_INSU!$G$12:$G$201))</f>
        <v>21.5</v>
      </c>
      <c r="G631" s="283">
        <f>ROUND(ROUND(E631,8)*F631,2)</f>
        <v>21.5</v>
      </c>
    </row>
    <row r="632" spans="1:7" s="31" customFormat="1" ht="10">
      <c r="A632" s="280">
        <v>88264</v>
      </c>
      <c r="B632" s="281" t="s">
        <v>295</v>
      </c>
      <c r="C632" s="282" t="s">
        <v>26</v>
      </c>
      <c r="D632" s="282" t="s">
        <v>265</v>
      </c>
      <c r="E632" s="298">
        <v>1</v>
      </c>
      <c r="F632" s="283">
        <f>_xlfn.XLOOKUP(A632,COMP_AUX!$F$13:$F$1400,COMP_AUX!$G$13:$G$1400,_xlfn.XLOOKUP(A632,CUSTO_INSU!$A$12:$A$201,CUSTO_INSU!$G$12:$G$201))</f>
        <v>25.55</v>
      </c>
      <c r="G632" s="283">
        <f>ROUND(ROUND(E632,8)*F632,2)</f>
        <v>25.55</v>
      </c>
    </row>
    <row r="633" spans="1:7" s="31" customFormat="1" ht="10.5">
      <c r="A633" s="284"/>
      <c r="B633" s="32"/>
      <c r="C633" s="32"/>
      <c r="D633" s="32"/>
      <c r="E633" s="285" t="s">
        <v>1303</v>
      </c>
      <c r="F633" s="285"/>
      <c r="G633" s="286">
        <f>SUM(G631:G632)</f>
        <v>47.05</v>
      </c>
    </row>
    <row r="634" spans="1:7" s="31" customFormat="1" ht="21">
      <c r="A634" s="403" t="s">
        <v>388</v>
      </c>
      <c r="B634" s="403"/>
      <c r="C634" s="403"/>
      <c r="D634" s="32"/>
      <c r="E634" s="287" t="s">
        <v>255</v>
      </c>
      <c r="F634" s="287" t="str">
        <f>A626</f>
        <v>JFPB-20549891</v>
      </c>
      <c r="G634" s="288">
        <f>SUM(G633,G629)</f>
        <v>189.57999999999998</v>
      </c>
    </row>
    <row r="635" spans="1:7" s="31" customFormat="1" ht="10">
      <c r="A635" s="294"/>
      <c r="B635" s="295"/>
      <c r="C635" s="295"/>
      <c r="D635" s="32"/>
      <c r="E635" s="32"/>
      <c r="F635" s="32"/>
      <c r="G635" s="32"/>
    </row>
    <row r="636" spans="1:7" s="31" customFormat="1" ht="10">
      <c r="A636" s="284"/>
      <c r="B636" s="32"/>
      <c r="C636" s="32"/>
      <c r="D636" s="32"/>
      <c r="E636" s="289"/>
      <c r="F636" s="289"/>
      <c r="G636" s="289"/>
    </row>
    <row r="637" spans="1:7" s="31" customFormat="1" ht="21">
      <c r="A637" s="275">
        <v>97599</v>
      </c>
      <c r="B637" s="276" t="s">
        <v>934</v>
      </c>
      <c r="C637" s="276"/>
      <c r="D637" s="276"/>
      <c r="E637" s="276"/>
      <c r="F637" s="276"/>
      <c r="G637" s="276"/>
    </row>
    <row r="638" spans="1:7" s="31" customFormat="1" ht="21">
      <c r="A638" s="277" t="s">
        <v>256</v>
      </c>
      <c r="B638" s="278"/>
      <c r="C638" s="279" t="s">
        <v>4</v>
      </c>
      <c r="D638" s="279" t="s">
        <v>243</v>
      </c>
      <c r="E638" s="279" t="s">
        <v>244</v>
      </c>
      <c r="F638" s="279" t="s">
        <v>245</v>
      </c>
      <c r="G638" s="279" t="s">
        <v>246</v>
      </c>
    </row>
    <row r="639" spans="1:7" s="31" customFormat="1" ht="20">
      <c r="A639" s="280">
        <v>38774</v>
      </c>
      <c r="B639" s="281" t="s">
        <v>394</v>
      </c>
      <c r="C639" s="282" t="s">
        <v>26</v>
      </c>
      <c r="D639" s="282" t="s">
        <v>14</v>
      </c>
      <c r="E639" s="298">
        <v>1</v>
      </c>
      <c r="F639" s="283">
        <f>_xlfn.XLOOKUP(A639,COMP_AUX!$F$13:$F$1400,COMP_AUX!$G$13:$G$1400,_xlfn.XLOOKUP(A639,CUSTO_INSU!$A$12:$A$201,CUSTO_INSU!$G$12:$G$201))</f>
        <v>10.87</v>
      </c>
      <c r="G639" s="283">
        <f>TRUNC(TRUNC(E639,8)*F639,2)</f>
        <v>10.87</v>
      </c>
    </row>
    <row r="640" spans="1:7" s="31" customFormat="1" ht="10.5">
      <c r="A640" s="284"/>
      <c r="B640" s="32"/>
      <c r="C640" s="32"/>
      <c r="D640" s="32"/>
      <c r="E640" s="285" t="s">
        <v>1305</v>
      </c>
      <c r="F640" s="285"/>
      <c r="G640" s="286">
        <f>SUM(G639:G639)</f>
        <v>10.87</v>
      </c>
    </row>
    <row r="641" spans="1:7" s="31" customFormat="1" ht="21">
      <c r="A641" s="277" t="s">
        <v>242</v>
      </c>
      <c r="B641" s="278"/>
      <c r="C641" s="279" t="s">
        <v>4</v>
      </c>
      <c r="D641" s="279" t="s">
        <v>243</v>
      </c>
      <c r="E641" s="279" t="s">
        <v>244</v>
      </c>
      <c r="F641" s="279" t="s">
        <v>245</v>
      </c>
      <c r="G641" s="279" t="s">
        <v>246</v>
      </c>
    </row>
    <row r="642" spans="1:7" s="31" customFormat="1" ht="10">
      <c r="A642" s="280">
        <v>88247</v>
      </c>
      <c r="B642" s="281" t="s">
        <v>293</v>
      </c>
      <c r="C642" s="282" t="s">
        <v>26</v>
      </c>
      <c r="D642" s="282" t="s">
        <v>265</v>
      </c>
      <c r="E642" s="298">
        <v>5.5156200000000002E-2</v>
      </c>
      <c r="F642" s="283">
        <f>_xlfn.XLOOKUP(A642,COMP_AUX!$F$13:$F$1400,COMP_AUX!$G$13:$G$1400,_xlfn.XLOOKUP(A642,CUSTO_INSU!$A$12:$A$201,CUSTO_INSU!$G$12:$G$201))</f>
        <v>21.5</v>
      </c>
      <c r="G642" s="283">
        <f>TRUNC(TRUNC(E642,8)*F642,2)</f>
        <v>1.18</v>
      </c>
    </row>
    <row r="643" spans="1:7" s="31" customFormat="1" ht="10">
      <c r="A643" s="280">
        <v>88264</v>
      </c>
      <c r="B643" s="281" t="s">
        <v>295</v>
      </c>
      <c r="C643" s="282" t="s">
        <v>26</v>
      </c>
      <c r="D643" s="282" t="s">
        <v>265</v>
      </c>
      <c r="E643" s="298">
        <v>0.17649999999999999</v>
      </c>
      <c r="F643" s="283">
        <f>_xlfn.XLOOKUP(A643,COMP_AUX!$F$13:$F$1400,COMP_AUX!$G$13:$G$1400,_xlfn.XLOOKUP(A643,CUSTO_INSU!$A$12:$A$201,CUSTO_INSU!$G$12:$G$201))</f>
        <v>25.55</v>
      </c>
      <c r="G643" s="283">
        <f>TRUNC(TRUNC(E643,8)*F643,2)</f>
        <v>4.5</v>
      </c>
    </row>
    <row r="644" spans="1:7" s="31" customFormat="1" ht="10.5">
      <c r="A644" s="284"/>
      <c r="B644" s="32"/>
      <c r="C644" s="32"/>
      <c r="D644" s="32"/>
      <c r="E644" s="285" t="s">
        <v>1303</v>
      </c>
      <c r="F644" s="285"/>
      <c r="G644" s="286">
        <f>SUM(G642:G643)</f>
        <v>5.68</v>
      </c>
    </row>
    <row r="645" spans="1:7" s="31" customFormat="1" ht="10.5">
      <c r="A645" s="284"/>
      <c r="B645" s="32"/>
      <c r="C645" s="32"/>
      <c r="D645" s="32"/>
      <c r="E645" s="287" t="s">
        <v>255</v>
      </c>
      <c r="F645" s="287">
        <f>A637</f>
        <v>97599</v>
      </c>
      <c r="G645" s="288">
        <f>SUM(G640,G644)</f>
        <v>16.549999999999997</v>
      </c>
    </row>
    <row r="646" spans="1:7" s="31" customFormat="1" ht="10">
      <c r="A646" s="284"/>
      <c r="B646" s="32"/>
      <c r="C646" s="32"/>
      <c r="D646" s="32"/>
      <c r="E646" s="289"/>
      <c r="F646" s="289"/>
      <c r="G646" s="289"/>
    </row>
    <row r="647" spans="1:7" s="31" customFormat="1" ht="31.5">
      <c r="A647" s="275">
        <v>91959</v>
      </c>
      <c r="B647" s="276" t="s">
        <v>935</v>
      </c>
      <c r="C647" s="276"/>
      <c r="D647" s="276"/>
      <c r="E647" s="276"/>
      <c r="F647" s="276"/>
      <c r="G647" s="276"/>
    </row>
    <row r="648" spans="1:7" s="31" customFormat="1" ht="21">
      <c r="A648" s="277" t="s">
        <v>250</v>
      </c>
      <c r="B648" s="278"/>
      <c r="C648" s="279" t="s">
        <v>4</v>
      </c>
      <c r="D648" s="279" t="s">
        <v>243</v>
      </c>
      <c r="E648" s="279" t="s">
        <v>244</v>
      </c>
      <c r="F648" s="279" t="s">
        <v>245</v>
      </c>
      <c r="G648" s="279" t="s">
        <v>246</v>
      </c>
    </row>
    <row r="649" spans="1:7" s="31" customFormat="1" ht="20">
      <c r="A649" s="280">
        <v>91958</v>
      </c>
      <c r="B649" s="281" t="s">
        <v>395</v>
      </c>
      <c r="C649" s="282" t="s">
        <v>26</v>
      </c>
      <c r="D649" s="282" t="s">
        <v>14</v>
      </c>
      <c r="E649" s="298">
        <v>1</v>
      </c>
      <c r="F649" s="283">
        <f>_xlfn.XLOOKUP(A649,COMP_AUX!$F$13:$F$1400,COMP_AUX!$G$13:$G$1400,_xlfn.XLOOKUP(A649,CUSTO_INSU!$A$12:$A$201,CUSTO_INSU!$G$12:$G$201))</f>
        <v>31.61</v>
      </c>
      <c r="G649" s="283">
        <f>TRUNC(TRUNC(E649,8)*F649,2)</f>
        <v>31.61</v>
      </c>
    </row>
    <row r="650" spans="1:7" s="31" customFormat="1" ht="30">
      <c r="A650" s="280">
        <v>91946</v>
      </c>
      <c r="B650" s="281" t="s">
        <v>396</v>
      </c>
      <c r="C650" s="282" t="s">
        <v>26</v>
      </c>
      <c r="D650" s="282" t="s">
        <v>14</v>
      </c>
      <c r="E650" s="298">
        <v>1</v>
      </c>
      <c r="F650" s="283">
        <f>_xlfn.XLOOKUP(A650,COMP_AUX!$F$13:$F$1400,COMP_AUX!$G$13:$G$1400,_xlfn.XLOOKUP(A650,CUSTO_INSU!$A$12:$A$201,CUSTO_INSU!$G$12:$G$201))</f>
        <v>10.11</v>
      </c>
      <c r="G650" s="283">
        <f>TRUNC(TRUNC(E650,8)*F650,2)</f>
        <v>10.11</v>
      </c>
    </row>
    <row r="651" spans="1:7" s="31" customFormat="1" ht="21">
      <c r="A651" s="284"/>
      <c r="B651" s="32"/>
      <c r="C651" s="32"/>
      <c r="D651" s="32"/>
      <c r="E651" s="285" t="s">
        <v>254</v>
      </c>
      <c r="F651" s="285"/>
      <c r="G651" s="286">
        <f>SUM(G649:G650)</f>
        <v>41.72</v>
      </c>
    </row>
    <row r="652" spans="1:7" s="31" customFormat="1" ht="10.5">
      <c r="A652" s="284"/>
      <c r="B652" s="32"/>
      <c r="C652" s="32"/>
      <c r="D652" s="32"/>
      <c r="E652" s="287" t="s">
        <v>255</v>
      </c>
      <c r="F652" s="287">
        <f>A647</f>
        <v>91959</v>
      </c>
      <c r="G652" s="288">
        <f>SUM(G651)</f>
        <v>41.72</v>
      </c>
    </row>
    <row r="653" spans="1:7" s="31" customFormat="1" ht="10">
      <c r="A653" s="284"/>
      <c r="B653" s="32"/>
      <c r="C653" s="32"/>
      <c r="D653" s="32"/>
      <c r="E653" s="289"/>
      <c r="F653" s="289"/>
      <c r="G653" s="289"/>
    </row>
    <row r="654" spans="1:7" s="31" customFormat="1" ht="31.5">
      <c r="A654" s="275">
        <v>92013</v>
      </c>
      <c r="B654" s="276" t="s">
        <v>936</v>
      </c>
      <c r="C654" s="276"/>
      <c r="D654" s="276"/>
      <c r="E654" s="276"/>
      <c r="F654" s="276"/>
      <c r="G654" s="276"/>
    </row>
    <row r="655" spans="1:7" s="31" customFormat="1" ht="21">
      <c r="A655" s="277" t="s">
        <v>250</v>
      </c>
      <c r="B655" s="278"/>
      <c r="C655" s="279" t="s">
        <v>4</v>
      </c>
      <c r="D655" s="279" t="s">
        <v>243</v>
      </c>
      <c r="E655" s="279" t="s">
        <v>244</v>
      </c>
      <c r="F655" s="279" t="s">
        <v>245</v>
      </c>
      <c r="G655" s="279" t="s">
        <v>246</v>
      </c>
    </row>
    <row r="656" spans="1:7" s="31" customFormat="1" ht="30">
      <c r="A656" s="280">
        <v>91946</v>
      </c>
      <c r="B656" s="281" t="s">
        <v>396</v>
      </c>
      <c r="C656" s="282" t="s">
        <v>26</v>
      </c>
      <c r="D656" s="282" t="s">
        <v>14</v>
      </c>
      <c r="E656" s="298">
        <v>1</v>
      </c>
      <c r="F656" s="283">
        <f>_xlfn.XLOOKUP(A656,COMP_AUX!$F$13:$F$1400,COMP_AUX!$G$13:$G$1400,_xlfn.XLOOKUP(A656,CUSTO_INSU!$A$12:$A$201,CUSTO_INSU!$G$12:$G$201))</f>
        <v>10.11</v>
      </c>
      <c r="G656" s="283">
        <f>TRUNC(TRUNC(E656,8)*F656,2)</f>
        <v>10.11</v>
      </c>
    </row>
    <row r="657" spans="1:7" s="31" customFormat="1" ht="30">
      <c r="A657" s="280">
        <v>92011</v>
      </c>
      <c r="B657" s="281" t="s">
        <v>397</v>
      </c>
      <c r="C657" s="282" t="s">
        <v>26</v>
      </c>
      <c r="D657" s="282" t="s">
        <v>14</v>
      </c>
      <c r="E657" s="298">
        <v>1</v>
      </c>
      <c r="F657" s="283">
        <f>_xlfn.XLOOKUP(A657,COMP_AUX!$F$13:$F$1400,COMP_AUX!$G$13:$G$1400,_xlfn.XLOOKUP(A657,CUSTO_INSU!$A$12:$A$201,CUSTO_INSU!$G$12:$G$201))</f>
        <v>66.599999999999994</v>
      </c>
      <c r="G657" s="283">
        <f>TRUNC(TRUNC(E657,8)*F657,2)</f>
        <v>66.599999999999994</v>
      </c>
    </row>
    <row r="658" spans="1:7" s="31" customFormat="1" ht="21">
      <c r="A658" s="284"/>
      <c r="B658" s="32"/>
      <c r="C658" s="32"/>
      <c r="D658" s="32"/>
      <c r="E658" s="285" t="s">
        <v>254</v>
      </c>
      <c r="F658" s="285"/>
      <c r="G658" s="286">
        <f>SUM(G656:G657)</f>
        <v>76.709999999999994</v>
      </c>
    </row>
    <row r="659" spans="1:7" s="31" customFormat="1" ht="10.5">
      <c r="A659" s="284"/>
      <c r="B659" s="32"/>
      <c r="C659" s="32"/>
      <c r="D659" s="32"/>
      <c r="E659" s="287" t="s">
        <v>255</v>
      </c>
      <c r="F659" s="287">
        <f>A654</f>
        <v>92013</v>
      </c>
      <c r="G659" s="288">
        <f>SUM(G658)</f>
        <v>76.709999999999994</v>
      </c>
    </row>
    <row r="660" spans="1:7" s="31" customFormat="1" ht="10">
      <c r="A660" s="284"/>
      <c r="B660" s="32"/>
      <c r="C660" s="32"/>
      <c r="D660" s="32"/>
      <c r="E660" s="289"/>
      <c r="F660" s="289"/>
      <c r="G660" s="289"/>
    </row>
    <row r="661" spans="1:7" s="31" customFormat="1" ht="31.5">
      <c r="A661" s="275">
        <v>92012</v>
      </c>
      <c r="B661" s="276" t="s">
        <v>937</v>
      </c>
      <c r="C661" s="276"/>
      <c r="D661" s="276"/>
      <c r="E661" s="276"/>
      <c r="F661" s="276"/>
      <c r="G661" s="276"/>
    </row>
    <row r="662" spans="1:7" s="31" customFormat="1" ht="21">
      <c r="A662" s="277" t="s">
        <v>250</v>
      </c>
      <c r="B662" s="278"/>
      <c r="C662" s="279" t="s">
        <v>4</v>
      </c>
      <c r="D662" s="279" t="s">
        <v>243</v>
      </c>
      <c r="E662" s="279" t="s">
        <v>244</v>
      </c>
      <c r="F662" s="279" t="s">
        <v>245</v>
      </c>
      <c r="G662" s="279" t="s">
        <v>246</v>
      </c>
    </row>
    <row r="663" spans="1:7" s="31" customFormat="1" ht="30">
      <c r="A663" s="280">
        <v>91946</v>
      </c>
      <c r="B663" s="281" t="s">
        <v>396</v>
      </c>
      <c r="C663" s="282" t="s">
        <v>26</v>
      </c>
      <c r="D663" s="282" t="s">
        <v>14</v>
      </c>
      <c r="E663" s="298">
        <v>1</v>
      </c>
      <c r="F663" s="283">
        <f>_xlfn.XLOOKUP(A663,COMP_AUX!$F$13:$F$1400,COMP_AUX!$G$13:$G$1400,_xlfn.XLOOKUP(A663,CUSTO_INSU!$A$12:$A$201,CUSTO_INSU!$G$12:$G$201))</f>
        <v>10.11</v>
      </c>
      <c r="G663" s="283">
        <f>TRUNC(TRUNC(E663,8)*F663,2)</f>
        <v>10.11</v>
      </c>
    </row>
    <row r="664" spans="1:7" s="31" customFormat="1" ht="30">
      <c r="A664" s="280">
        <v>92010</v>
      </c>
      <c r="B664" s="281" t="s">
        <v>398</v>
      </c>
      <c r="C664" s="282" t="s">
        <v>26</v>
      </c>
      <c r="D664" s="282" t="s">
        <v>14</v>
      </c>
      <c r="E664" s="298">
        <v>1</v>
      </c>
      <c r="F664" s="283">
        <f>_xlfn.XLOOKUP(A664,COMP_AUX!$F$13:$F$1400,COMP_AUX!$G$13:$G$1400,_xlfn.XLOOKUP(A664,CUSTO_INSU!$A$12:$A$201,CUSTO_INSU!$G$12:$G$201))</f>
        <v>60.540000000000006</v>
      </c>
      <c r="G664" s="283">
        <f>TRUNC(TRUNC(E664,8)*F664,2)</f>
        <v>60.54</v>
      </c>
    </row>
    <row r="665" spans="1:7" s="31" customFormat="1" ht="21">
      <c r="A665" s="284"/>
      <c r="B665" s="32"/>
      <c r="C665" s="32"/>
      <c r="D665" s="32"/>
      <c r="E665" s="285" t="s">
        <v>254</v>
      </c>
      <c r="F665" s="285"/>
      <c r="G665" s="286">
        <f>SUM(G663:G664)</f>
        <v>70.650000000000006</v>
      </c>
    </row>
    <row r="666" spans="1:7" s="31" customFormat="1" ht="10.5">
      <c r="A666" s="284"/>
      <c r="B666" s="32"/>
      <c r="C666" s="32"/>
      <c r="D666" s="32"/>
      <c r="E666" s="287" t="s">
        <v>255</v>
      </c>
      <c r="F666" s="287">
        <f>A661</f>
        <v>92012</v>
      </c>
      <c r="G666" s="288">
        <f>SUM(G665)</f>
        <v>70.650000000000006</v>
      </c>
    </row>
    <row r="667" spans="1:7" s="31" customFormat="1" ht="10">
      <c r="A667" s="284"/>
      <c r="B667" s="32"/>
      <c r="C667" s="32"/>
      <c r="D667" s="32"/>
      <c r="E667" s="289"/>
      <c r="F667" s="289"/>
      <c r="G667" s="289"/>
    </row>
    <row r="668" spans="1:7" s="31" customFormat="1" ht="42">
      <c r="A668" s="275">
        <v>101878</v>
      </c>
      <c r="B668" s="276" t="s">
        <v>938</v>
      </c>
      <c r="C668" s="276"/>
      <c r="D668" s="276"/>
      <c r="E668" s="276"/>
      <c r="F668" s="276"/>
      <c r="G668" s="276"/>
    </row>
    <row r="669" spans="1:7" s="31" customFormat="1" ht="21">
      <c r="A669" s="277" t="s">
        <v>256</v>
      </c>
      <c r="B669" s="278"/>
      <c r="C669" s="279" t="s">
        <v>4</v>
      </c>
      <c r="D669" s="279" t="s">
        <v>243</v>
      </c>
      <c r="E669" s="279" t="s">
        <v>244</v>
      </c>
      <c r="F669" s="279" t="s">
        <v>245</v>
      </c>
      <c r="G669" s="279" t="s">
        <v>246</v>
      </c>
    </row>
    <row r="670" spans="1:7" s="31" customFormat="1" ht="30">
      <c r="A670" s="280">
        <v>12038</v>
      </c>
      <c r="B670" s="281" t="s">
        <v>399</v>
      </c>
      <c r="C670" s="282" t="s">
        <v>26</v>
      </c>
      <c r="D670" s="282" t="s">
        <v>14</v>
      </c>
      <c r="E670" s="298">
        <v>1</v>
      </c>
      <c r="F670" s="283">
        <f>_xlfn.XLOOKUP(A670,COMP_AUX!$F$13:$F$1400,COMP_AUX!$G$13:$G$1400,_xlfn.XLOOKUP(A670,CUSTO_INSU!$A$12:$A$201,CUSTO_INSU!$G$12:$G$201))</f>
        <v>460.85</v>
      </c>
      <c r="G670" s="283">
        <f>TRUNC(TRUNC(E670,8)*F670,2)</f>
        <v>460.85</v>
      </c>
    </row>
    <row r="671" spans="1:7" s="31" customFormat="1" ht="10.5">
      <c r="A671" s="284"/>
      <c r="B671" s="32"/>
      <c r="C671" s="32"/>
      <c r="D671" s="32"/>
      <c r="E671" s="285" t="s">
        <v>1305</v>
      </c>
      <c r="F671" s="285"/>
      <c r="G671" s="286">
        <f>SUM(G670:G670)</f>
        <v>460.85</v>
      </c>
    </row>
    <row r="672" spans="1:7" s="31" customFormat="1" ht="21">
      <c r="A672" s="277" t="s">
        <v>242</v>
      </c>
      <c r="B672" s="278"/>
      <c r="C672" s="279" t="s">
        <v>4</v>
      </c>
      <c r="D672" s="279" t="s">
        <v>243</v>
      </c>
      <c r="E672" s="279" t="s">
        <v>244</v>
      </c>
      <c r="F672" s="279" t="s">
        <v>245</v>
      </c>
      <c r="G672" s="279" t="s">
        <v>246</v>
      </c>
    </row>
    <row r="673" spans="1:7" s="31" customFormat="1" ht="10">
      <c r="A673" s="280">
        <v>88247</v>
      </c>
      <c r="B673" s="281" t="s">
        <v>293</v>
      </c>
      <c r="C673" s="282" t="s">
        <v>26</v>
      </c>
      <c r="D673" s="282" t="s">
        <v>265</v>
      </c>
      <c r="E673" s="298">
        <v>1.5233000000000001</v>
      </c>
      <c r="F673" s="283">
        <f>_xlfn.XLOOKUP(A673,COMP_AUX!$F$13:$F$1400,COMP_AUX!$G$13:$G$1400,_xlfn.XLOOKUP(A673,CUSTO_INSU!$A$12:$A$201,CUSTO_INSU!$G$12:$G$201))</f>
        <v>21.5</v>
      </c>
      <c r="G673" s="283">
        <f>TRUNC(TRUNC(E673,8)*F673,2)</f>
        <v>32.75</v>
      </c>
    </row>
    <row r="674" spans="1:7" s="31" customFormat="1" ht="10">
      <c r="A674" s="280">
        <v>88264</v>
      </c>
      <c r="B674" s="281" t="s">
        <v>295</v>
      </c>
      <c r="C674" s="282" t="s">
        <v>26</v>
      </c>
      <c r="D674" s="282" t="s">
        <v>265</v>
      </c>
      <c r="E674" s="298">
        <v>1.5233000000000001</v>
      </c>
      <c r="F674" s="283">
        <f>_xlfn.XLOOKUP(A674,COMP_AUX!$F$13:$F$1400,COMP_AUX!$G$13:$G$1400,_xlfn.XLOOKUP(A674,CUSTO_INSU!$A$12:$A$201,CUSTO_INSU!$G$12:$G$201))</f>
        <v>25.55</v>
      </c>
      <c r="G674" s="283">
        <f>TRUNC(TRUNC(E674,8)*F674,2)</f>
        <v>38.92</v>
      </c>
    </row>
    <row r="675" spans="1:7" s="31" customFormat="1" ht="10.5">
      <c r="A675" s="284"/>
      <c r="B675" s="32"/>
      <c r="C675" s="32"/>
      <c r="D675" s="32"/>
      <c r="E675" s="285" t="s">
        <v>1303</v>
      </c>
      <c r="F675" s="285"/>
      <c r="G675" s="286">
        <f>SUM(G673:G674)</f>
        <v>71.67</v>
      </c>
    </row>
    <row r="676" spans="1:7" s="31" customFormat="1" ht="10.5">
      <c r="A676" s="284"/>
      <c r="B676" s="32"/>
      <c r="C676" s="32"/>
      <c r="D676" s="32"/>
      <c r="E676" s="287" t="s">
        <v>255</v>
      </c>
      <c r="F676" s="287">
        <f>A668</f>
        <v>101878</v>
      </c>
      <c r="G676" s="288">
        <f>SUM(G671,G675)</f>
        <v>532.52</v>
      </c>
    </row>
    <row r="677" spans="1:7" s="31" customFormat="1" ht="10">
      <c r="A677" s="284"/>
      <c r="B677" s="32"/>
      <c r="C677" s="32"/>
      <c r="D677" s="32"/>
      <c r="E677" s="289"/>
      <c r="F677" s="289"/>
      <c r="G677" s="289"/>
    </row>
    <row r="678" spans="1:7" s="31" customFormat="1" ht="21">
      <c r="A678" s="275" t="s">
        <v>192</v>
      </c>
      <c r="B678" s="276" t="s">
        <v>939</v>
      </c>
      <c r="C678" s="276"/>
      <c r="D678" s="276"/>
      <c r="E678" s="276"/>
      <c r="F678" s="276"/>
      <c r="G678" s="276"/>
    </row>
    <row r="679" spans="1:7" s="31" customFormat="1" ht="21">
      <c r="A679" s="277" t="s">
        <v>256</v>
      </c>
      <c r="B679" s="278"/>
      <c r="C679" s="279" t="s">
        <v>4</v>
      </c>
      <c r="D679" s="279" t="s">
        <v>243</v>
      </c>
      <c r="E679" s="279" t="s">
        <v>244</v>
      </c>
      <c r="F679" s="279" t="s">
        <v>245</v>
      </c>
      <c r="G679" s="279" t="s">
        <v>246</v>
      </c>
    </row>
    <row r="680" spans="1:7" s="31" customFormat="1" ht="10">
      <c r="A680" s="280" t="s">
        <v>400</v>
      </c>
      <c r="B680" s="281" t="s">
        <v>401</v>
      </c>
      <c r="C680" s="282" t="s">
        <v>253</v>
      </c>
      <c r="D680" s="282" t="s">
        <v>14</v>
      </c>
      <c r="E680" s="298">
        <v>1</v>
      </c>
      <c r="F680" s="283">
        <f>_xlfn.XLOOKUP(A680,COMP_AUX!$F$13:$F$1400,COMP_AUX!$G$13:$G$1400,_xlfn.XLOOKUP(A680,CUSTO_INSU!$A$12:$A$201,CUSTO_INSU!$G$12:$G$201))</f>
        <v>3.98</v>
      </c>
      <c r="G680" s="283">
        <f>ROUND(ROUND(E680,8)*F680,2)</f>
        <v>3.98</v>
      </c>
    </row>
    <row r="681" spans="1:7" s="31" customFormat="1" ht="10.5">
      <c r="A681" s="284"/>
      <c r="B681" s="32"/>
      <c r="C681" s="32"/>
      <c r="D681" s="32"/>
      <c r="E681" s="285" t="s">
        <v>1305</v>
      </c>
      <c r="F681" s="285"/>
      <c r="G681" s="286">
        <f>SUM(G680:G680)</f>
        <v>3.98</v>
      </c>
    </row>
    <row r="682" spans="1:7" s="31" customFormat="1" ht="21">
      <c r="A682" s="277" t="s">
        <v>242</v>
      </c>
      <c r="B682" s="278"/>
      <c r="C682" s="279" t="s">
        <v>4</v>
      </c>
      <c r="D682" s="279" t="s">
        <v>243</v>
      </c>
      <c r="E682" s="279" t="s">
        <v>244</v>
      </c>
      <c r="F682" s="279" t="s">
        <v>245</v>
      </c>
      <c r="G682" s="279" t="s">
        <v>246</v>
      </c>
    </row>
    <row r="683" spans="1:7" s="31" customFormat="1" ht="10">
      <c r="A683" s="280">
        <v>88247</v>
      </c>
      <c r="B683" s="281" t="s">
        <v>293</v>
      </c>
      <c r="C683" s="282" t="s">
        <v>26</v>
      </c>
      <c r="D683" s="282" t="s">
        <v>265</v>
      </c>
      <c r="E683" s="298">
        <v>0.05</v>
      </c>
      <c r="F683" s="283">
        <f>_xlfn.XLOOKUP(A683,COMP_AUX!$F$13:$F$1400,COMP_AUX!$G$13:$G$1400,_xlfn.XLOOKUP(A683,CUSTO_INSU!$A$12:$A$201,CUSTO_INSU!$G$12:$G$201))</f>
        <v>21.5</v>
      </c>
      <c r="G683" s="283">
        <f>ROUND(ROUND(E683,8)*F683,2)</f>
        <v>1.08</v>
      </c>
    </row>
    <row r="684" spans="1:7" s="31" customFormat="1" ht="10">
      <c r="A684" s="280">
        <v>88264</v>
      </c>
      <c r="B684" s="281" t="s">
        <v>295</v>
      </c>
      <c r="C684" s="282" t="s">
        <v>26</v>
      </c>
      <c r="D684" s="282" t="s">
        <v>265</v>
      </c>
      <c r="E684" s="298">
        <v>0.05</v>
      </c>
      <c r="F684" s="283">
        <f>_xlfn.XLOOKUP(A684,COMP_AUX!$F$13:$F$1400,COMP_AUX!$G$13:$G$1400,_xlfn.XLOOKUP(A684,CUSTO_INSU!$A$12:$A$201,CUSTO_INSU!$G$12:$G$201))</f>
        <v>25.55</v>
      </c>
      <c r="G684" s="283">
        <f>ROUND(ROUND(E684,8)*F684,2)</f>
        <v>1.28</v>
      </c>
    </row>
    <row r="685" spans="1:7" s="31" customFormat="1" ht="10.5">
      <c r="A685" s="284"/>
      <c r="B685" s="32"/>
      <c r="C685" s="32"/>
      <c r="D685" s="32"/>
      <c r="E685" s="285" t="s">
        <v>1303</v>
      </c>
      <c r="F685" s="285"/>
      <c r="G685" s="286">
        <f>SUM(G683:G684)</f>
        <v>2.3600000000000003</v>
      </c>
    </row>
    <row r="686" spans="1:7" s="31" customFormat="1" ht="21">
      <c r="A686" s="403" t="s">
        <v>388</v>
      </c>
      <c r="B686" s="403"/>
      <c r="C686" s="403"/>
      <c r="D686" s="32"/>
      <c r="E686" s="287" t="s">
        <v>255</v>
      </c>
      <c r="F686" s="287" t="str">
        <f>A678</f>
        <v>JFPB-16268503</v>
      </c>
      <c r="G686" s="288">
        <f>SUM(G685,G681)</f>
        <v>6.34</v>
      </c>
    </row>
    <row r="687" spans="1:7" s="31" customFormat="1" ht="10">
      <c r="A687" s="294"/>
      <c r="B687" s="295"/>
      <c r="C687" s="295"/>
      <c r="D687" s="32"/>
      <c r="E687" s="32"/>
      <c r="F687" s="32"/>
      <c r="G687" s="32"/>
    </row>
    <row r="688" spans="1:7" s="31" customFormat="1" ht="10">
      <c r="A688" s="284"/>
      <c r="B688" s="32"/>
      <c r="C688" s="32"/>
      <c r="D688" s="32"/>
      <c r="E688" s="289"/>
      <c r="F688" s="289"/>
      <c r="G688" s="289"/>
    </row>
    <row r="689" spans="1:7" s="31" customFormat="1" ht="21">
      <c r="A689" s="275" t="s">
        <v>195</v>
      </c>
      <c r="B689" s="276" t="s">
        <v>940</v>
      </c>
      <c r="C689" s="276"/>
      <c r="D689" s="276"/>
      <c r="E689" s="276"/>
      <c r="F689" s="276"/>
      <c r="G689" s="276"/>
    </row>
    <row r="690" spans="1:7" s="31" customFormat="1" ht="21">
      <c r="A690" s="277" t="s">
        <v>256</v>
      </c>
      <c r="B690" s="278"/>
      <c r="C690" s="279" t="s">
        <v>4</v>
      </c>
      <c r="D690" s="279" t="s">
        <v>243</v>
      </c>
      <c r="E690" s="279" t="s">
        <v>244</v>
      </c>
      <c r="F690" s="279" t="s">
        <v>245</v>
      </c>
      <c r="G690" s="279" t="s">
        <v>246</v>
      </c>
    </row>
    <row r="691" spans="1:7" s="31" customFormat="1" ht="10">
      <c r="A691" s="280" t="s">
        <v>402</v>
      </c>
      <c r="B691" s="281" t="s">
        <v>403</v>
      </c>
      <c r="C691" s="282" t="s">
        <v>253</v>
      </c>
      <c r="D691" s="282" t="s">
        <v>14</v>
      </c>
      <c r="E691" s="298">
        <v>1</v>
      </c>
      <c r="F691" s="283">
        <f>_xlfn.XLOOKUP(A691,COMP_AUX!$F$13:$F$1400,COMP_AUX!$G$13:$G$1400,_xlfn.XLOOKUP(A691,CUSTO_INSU!$A$12:$A$201,CUSTO_INSU!$G$12:$G$201))</f>
        <v>3.48</v>
      </c>
      <c r="G691" s="283">
        <f>ROUND(ROUND(E691,8)*F691,2)</f>
        <v>3.48</v>
      </c>
    </row>
    <row r="692" spans="1:7" s="31" customFormat="1" ht="10.5">
      <c r="A692" s="284"/>
      <c r="B692" s="32"/>
      <c r="C692" s="32"/>
      <c r="D692" s="32"/>
      <c r="E692" s="285" t="s">
        <v>1305</v>
      </c>
      <c r="F692" s="285"/>
      <c r="G692" s="286">
        <f>SUM(G691:G691)</f>
        <v>3.48</v>
      </c>
    </row>
    <row r="693" spans="1:7" s="31" customFormat="1" ht="21">
      <c r="A693" s="277" t="s">
        <v>242</v>
      </c>
      <c r="B693" s="278"/>
      <c r="C693" s="279" t="s">
        <v>4</v>
      </c>
      <c r="D693" s="279" t="s">
        <v>243</v>
      </c>
      <c r="E693" s="279" t="s">
        <v>244</v>
      </c>
      <c r="F693" s="279" t="s">
        <v>245</v>
      </c>
      <c r="G693" s="279" t="s">
        <v>246</v>
      </c>
    </row>
    <row r="694" spans="1:7" s="31" customFormat="1" ht="10">
      <c r="A694" s="280">
        <v>88247</v>
      </c>
      <c r="B694" s="281" t="s">
        <v>293</v>
      </c>
      <c r="C694" s="282" t="s">
        <v>26</v>
      </c>
      <c r="D694" s="282" t="s">
        <v>265</v>
      </c>
      <c r="E694" s="298">
        <v>0.05</v>
      </c>
      <c r="F694" s="283">
        <f>_xlfn.XLOOKUP(A694,COMP_AUX!$F$13:$F$1400,COMP_AUX!$G$13:$G$1400,_xlfn.XLOOKUP(A694,CUSTO_INSU!$A$12:$A$201,CUSTO_INSU!$G$12:$G$201))</f>
        <v>21.5</v>
      </c>
      <c r="G694" s="283">
        <f>ROUND(ROUND(E694,8)*F694,2)</f>
        <v>1.08</v>
      </c>
    </row>
    <row r="695" spans="1:7" s="31" customFormat="1" ht="10">
      <c r="A695" s="280">
        <v>88264</v>
      </c>
      <c r="B695" s="281" t="s">
        <v>295</v>
      </c>
      <c r="C695" s="282" t="s">
        <v>26</v>
      </c>
      <c r="D695" s="282" t="s">
        <v>265</v>
      </c>
      <c r="E695" s="298">
        <v>0.05</v>
      </c>
      <c r="F695" s="283">
        <v>25.62</v>
      </c>
      <c r="G695" s="283">
        <f>ROUND(ROUND(E695,8)*F695,2)</f>
        <v>1.28</v>
      </c>
    </row>
    <row r="696" spans="1:7" s="31" customFormat="1" ht="10.5">
      <c r="A696" s="284"/>
      <c r="B696" s="32"/>
      <c r="C696" s="32"/>
      <c r="D696" s="32"/>
      <c r="E696" s="285" t="s">
        <v>1303</v>
      </c>
      <c r="F696" s="285"/>
      <c r="G696" s="286">
        <f>SUM(G694:G695)</f>
        <v>2.3600000000000003</v>
      </c>
    </row>
    <row r="697" spans="1:7" s="31" customFormat="1" ht="21">
      <c r="A697" s="403" t="s">
        <v>388</v>
      </c>
      <c r="B697" s="403"/>
      <c r="C697" s="403"/>
      <c r="D697" s="32"/>
      <c r="E697" s="287" t="s">
        <v>255</v>
      </c>
      <c r="F697" s="287" t="str">
        <f>A689</f>
        <v>JFPB-13128427</v>
      </c>
      <c r="G697" s="288">
        <f>SUM(G696,G692)</f>
        <v>5.84</v>
      </c>
    </row>
    <row r="698" spans="1:7" s="31" customFormat="1" ht="10">
      <c r="A698" s="294"/>
      <c r="B698" s="295"/>
      <c r="C698" s="295"/>
      <c r="D698" s="32"/>
      <c r="E698" s="32"/>
      <c r="F698" s="32"/>
      <c r="G698" s="32"/>
    </row>
    <row r="699" spans="1:7" s="31" customFormat="1" ht="10">
      <c r="A699" s="284"/>
      <c r="B699" s="32"/>
      <c r="C699" s="32"/>
      <c r="D699" s="32"/>
      <c r="E699" s="289"/>
      <c r="F699" s="289"/>
      <c r="G699" s="289"/>
    </row>
    <row r="700" spans="1:7" s="31" customFormat="1" ht="31.5">
      <c r="A700" s="275">
        <v>101909</v>
      </c>
      <c r="B700" s="276" t="s">
        <v>941</v>
      </c>
      <c r="C700" s="276"/>
      <c r="D700" s="276"/>
      <c r="E700" s="276"/>
      <c r="F700" s="276"/>
      <c r="G700" s="276"/>
    </row>
    <row r="701" spans="1:7" s="31" customFormat="1" ht="21">
      <c r="A701" s="277" t="s">
        <v>256</v>
      </c>
      <c r="B701" s="278"/>
      <c r="C701" s="279" t="s">
        <v>4</v>
      </c>
      <c r="D701" s="279" t="s">
        <v>243</v>
      </c>
      <c r="E701" s="279" t="s">
        <v>244</v>
      </c>
      <c r="F701" s="279" t="s">
        <v>245</v>
      </c>
      <c r="G701" s="279" t="s">
        <v>246</v>
      </c>
    </row>
    <row r="702" spans="1:7" s="31" customFormat="1" ht="30">
      <c r="A702" s="280">
        <v>4350</v>
      </c>
      <c r="B702" s="281" t="s">
        <v>376</v>
      </c>
      <c r="C702" s="282" t="s">
        <v>26</v>
      </c>
      <c r="D702" s="282" t="s">
        <v>14</v>
      </c>
      <c r="E702" s="298">
        <v>2</v>
      </c>
      <c r="F702" s="283">
        <f>_xlfn.XLOOKUP(A702,COMP_AUX!$F$13:$F$1400,COMP_AUX!$G$13:$G$1400,_xlfn.XLOOKUP(A702,CUSTO_INSU!$A$12:$A$201,CUSTO_INSU!$G$12:$G$201))</f>
        <v>0.7</v>
      </c>
      <c r="G702" s="283">
        <f>TRUNC(TRUNC(E702,8)*F702,2)</f>
        <v>1.4</v>
      </c>
    </row>
    <row r="703" spans="1:7" s="31" customFormat="1" ht="20">
      <c r="A703" s="280">
        <v>10892</v>
      </c>
      <c r="B703" s="281" t="s">
        <v>404</v>
      </c>
      <c r="C703" s="282" t="s">
        <v>26</v>
      </c>
      <c r="D703" s="282" t="s">
        <v>14</v>
      </c>
      <c r="E703" s="298">
        <v>1</v>
      </c>
      <c r="F703" s="283">
        <f>_xlfn.XLOOKUP(A703,COMP_AUX!$F$13:$F$1400,COMP_AUX!$G$13:$G$1400,_xlfn.XLOOKUP(A703,CUSTO_INSU!$A$12:$A$201,CUSTO_INSU!$G$12:$G$201))</f>
        <v>300</v>
      </c>
      <c r="G703" s="283">
        <f>TRUNC(TRUNC(E703,8)*F703,2)</f>
        <v>300</v>
      </c>
    </row>
    <row r="704" spans="1:7" s="31" customFormat="1" ht="10.5">
      <c r="A704" s="284"/>
      <c r="B704" s="32"/>
      <c r="C704" s="32"/>
      <c r="D704" s="32"/>
      <c r="E704" s="285" t="s">
        <v>1305</v>
      </c>
      <c r="F704" s="285"/>
      <c r="G704" s="286">
        <f>SUM(G702:G703)</f>
        <v>301.39999999999998</v>
      </c>
    </row>
    <row r="705" spans="1:7" s="31" customFormat="1" ht="21">
      <c r="A705" s="277" t="s">
        <v>242</v>
      </c>
      <c r="B705" s="278"/>
      <c r="C705" s="279" t="s">
        <v>4</v>
      </c>
      <c r="D705" s="279" t="s">
        <v>243</v>
      </c>
      <c r="E705" s="279" t="s">
        <v>244</v>
      </c>
      <c r="F705" s="279" t="s">
        <v>245</v>
      </c>
      <c r="G705" s="279" t="s">
        <v>246</v>
      </c>
    </row>
    <row r="706" spans="1:7" s="31" customFormat="1" ht="20">
      <c r="A706" s="280">
        <v>88248</v>
      </c>
      <c r="B706" s="281" t="s">
        <v>405</v>
      </c>
      <c r="C706" s="282" t="s">
        <v>26</v>
      </c>
      <c r="D706" s="282" t="s">
        <v>265</v>
      </c>
      <c r="E706" s="298">
        <v>0.45739999999999997</v>
      </c>
      <c r="F706" s="283">
        <f>_xlfn.XLOOKUP(A706,COMP_AUX!$F$13:$F$1400,COMP_AUX!$G$13:$G$1400,_xlfn.XLOOKUP(A706,CUSTO_INSU!$A$12:$A$201,CUSTO_INSU!$G$12:$G$201))</f>
        <v>20.51</v>
      </c>
      <c r="G706" s="283">
        <f>TRUNC(TRUNC(E706,8)*F706,2)</f>
        <v>9.3800000000000008</v>
      </c>
    </row>
    <row r="707" spans="1:7" s="31" customFormat="1" ht="20">
      <c r="A707" s="280">
        <v>88267</v>
      </c>
      <c r="B707" s="281" t="s">
        <v>406</v>
      </c>
      <c r="C707" s="282" t="s">
        <v>26</v>
      </c>
      <c r="D707" s="282" t="s">
        <v>265</v>
      </c>
      <c r="E707" s="298">
        <v>0.45739999999999997</v>
      </c>
      <c r="F707" s="283">
        <f>_xlfn.XLOOKUP(A707,COMP_AUX!$F$13:$F$1400,COMP_AUX!$G$13:$G$1400,_xlfn.XLOOKUP(A707,CUSTO_INSU!$A$12:$A$201,CUSTO_INSU!$G$12:$G$201))</f>
        <v>24.19</v>
      </c>
      <c r="G707" s="283">
        <f>TRUNC(TRUNC(E707,8)*F707,2)</f>
        <v>11.06</v>
      </c>
    </row>
    <row r="708" spans="1:7" s="31" customFormat="1" ht="10.5">
      <c r="A708" s="284"/>
      <c r="B708" s="32"/>
      <c r="C708" s="32"/>
      <c r="D708" s="32"/>
      <c r="E708" s="285" t="s">
        <v>1303</v>
      </c>
      <c r="F708" s="285"/>
      <c r="G708" s="286">
        <f>SUM(G706:G707)</f>
        <v>20.440000000000001</v>
      </c>
    </row>
    <row r="709" spans="1:7" s="31" customFormat="1" ht="10.5">
      <c r="A709" s="284"/>
      <c r="B709" s="32"/>
      <c r="C709" s="32"/>
      <c r="D709" s="32"/>
      <c r="E709" s="287" t="s">
        <v>255</v>
      </c>
      <c r="F709" s="287">
        <f>A700</f>
        <v>101909</v>
      </c>
      <c r="G709" s="288">
        <f>SUM(G704,G708)</f>
        <v>321.83999999999997</v>
      </c>
    </row>
    <row r="710" spans="1:7" s="31" customFormat="1" ht="10">
      <c r="A710" s="284"/>
      <c r="B710" s="32"/>
      <c r="C710" s="32"/>
      <c r="D710" s="32"/>
      <c r="E710" s="289"/>
      <c r="F710" s="289"/>
      <c r="G710" s="289"/>
    </row>
    <row r="711" spans="1:7" s="31" customFormat="1" ht="21">
      <c r="A711" s="275" t="s">
        <v>200</v>
      </c>
      <c r="B711" s="276" t="s">
        <v>942</v>
      </c>
      <c r="C711" s="276"/>
      <c r="D711" s="276"/>
      <c r="E711" s="276"/>
      <c r="F711" s="276"/>
      <c r="G711" s="276"/>
    </row>
    <row r="712" spans="1:7" s="31" customFormat="1" ht="21">
      <c r="A712" s="277" t="s">
        <v>256</v>
      </c>
      <c r="B712" s="278"/>
      <c r="C712" s="279" t="s">
        <v>4</v>
      </c>
      <c r="D712" s="279" t="s">
        <v>243</v>
      </c>
      <c r="E712" s="279" t="s">
        <v>244</v>
      </c>
      <c r="F712" s="279" t="s">
        <v>245</v>
      </c>
      <c r="G712" s="279" t="s">
        <v>246</v>
      </c>
    </row>
    <row r="713" spans="1:7" s="31" customFormat="1" ht="10">
      <c r="A713" s="280" t="s">
        <v>407</v>
      </c>
      <c r="B713" s="281" t="s">
        <v>408</v>
      </c>
      <c r="C713" s="282" t="s">
        <v>253</v>
      </c>
      <c r="D713" s="282" t="s">
        <v>14</v>
      </c>
      <c r="E713" s="298">
        <v>1</v>
      </c>
      <c r="F713" s="283">
        <f>_xlfn.XLOOKUP(A713,COMP_AUX!$F$13:$F$1400,COMP_AUX!$G$13:$G$1400,_xlfn.XLOOKUP(A713,CUSTO_INSU!$A$12:$A$201,CUSTO_INSU!$G$12:$G$201))</f>
        <v>8.56</v>
      </c>
      <c r="G713" s="283">
        <f>ROUND(ROUND(E713,8)*F713,2)</f>
        <v>8.56</v>
      </c>
    </row>
    <row r="714" spans="1:7" s="31" customFormat="1" ht="10.5">
      <c r="A714" s="284"/>
      <c r="B714" s="32"/>
      <c r="C714" s="32"/>
      <c r="D714" s="32"/>
      <c r="E714" s="285" t="s">
        <v>1305</v>
      </c>
      <c r="F714" s="285"/>
      <c r="G714" s="286">
        <f>SUM(G713:G713)</f>
        <v>8.56</v>
      </c>
    </row>
    <row r="715" spans="1:7" s="31" customFormat="1" ht="21">
      <c r="A715" s="277" t="s">
        <v>242</v>
      </c>
      <c r="B715" s="278"/>
      <c r="C715" s="279" t="s">
        <v>4</v>
      </c>
      <c r="D715" s="279" t="s">
        <v>243</v>
      </c>
      <c r="E715" s="279" t="s">
        <v>244</v>
      </c>
      <c r="F715" s="279" t="s">
        <v>245</v>
      </c>
      <c r="G715" s="279" t="s">
        <v>246</v>
      </c>
    </row>
    <row r="716" spans="1:7" s="31" customFormat="1" ht="10">
      <c r="A716" s="280">
        <v>88247</v>
      </c>
      <c r="B716" s="281" t="s">
        <v>293</v>
      </c>
      <c r="C716" s="282" t="s">
        <v>26</v>
      </c>
      <c r="D716" s="282" t="s">
        <v>265</v>
      </c>
      <c r="E716" s="298">
        <v>0.05</v>
      </c>
      <c r="F716" s="283">
        <f>_xlfn.XLOOKUP(A716,COMP_AUX!$F$13:$F$1400,COMP_AUX!$G$13:$G$1400,_xlfn.XLOOKUP(A716,CUSTO_INSU!$A$12:$A$201,CUSTO_INSU!$G$12:$G$201))</f>
        <v>21.5</v>
      </c>
      <c r="G716" s="283">
        <f>ROUND(ROUND(E716,8)*F716,2)</f>
        <v>1.08</v>
      </c>
    </row>
    <row r="717" spans="1:7" s="31" customFormat="1" ht="10">
      <c r="A717" s="280">
        <v>88264</v>
      </c>
      <c r="B717" s="281" t="s">
        <v>295</v>
      </c>
      <c r="C717" s="282" t="s">
        <v>26</v>
      </c>
      <c r="D717" s="282" t="s">
        <v>265</v>
      </c>
      <c r="E717" s="298">
        <v>0.05</v>
      </c>
      <c r="F717" s="283">
        <f>_xlfn.XLOOKUP(A717,COMP_AUX!$F$13:$F$1400,COMP_AUX!$G$13:$G$1400,_xlfn.XLOOKUP(A717,CUSTO_INSU!$A$12:$A$201,CUSTO_INSU!$G$12:$G$201))</f>
        <v>25.55</v>
      </c>
      <c r="G717" s="283">
        <f>ROUND(ROUND(E717,8)*F717,2)</f>
        <v>1.28</v>
      </c>
    </row>
    <row r="718" spans="1:7" s="31" customFormat="1" ht="10.5">
      <c r="A718" s="284"/>
      <c r="B718" s="32"/>
      <c r="C718" s="32"/>
      <c r="D718" s="32"/>
      <c r="E718" s="285" t="s">
        <v>1303</v>
      </c>
      <c r="F718" s="285"/>
      <c r="G718" s="286">
        <f>SUM(G716:G717)</f>
        <v>2.3600000000000003</v>
      </c>
    </row>
    <row r="719" spans="1:7" s="31" customFormat="1" ht="21">
      <c r="A719" s="403" t="s">
        <v>388</v>
      </c>
      <c r="B719" s="403"/>
      <c r="C719" s="403"/>
      <c r="D719" s="32"/>
      <c r="E719" s="287" t="s">
        <v>255</v>
      </c>
      <c r="F719" s="287" t="str">
        <f>A711</f>
        <v>JFPB-04407116</v>
      </c>
      <c r="G719" s="288">
        <f>SUM(G718,G714)</f>
        <v>10.920000000000002</v>
      </c>
    </row>
    <row r="720" spans="1:7" s="31" customFormat="1" ht="10">
      <c r="A720" s="294"/>
      <c r="B720" s="295"/>
      <c r="C720" s="295"/>
      <c r="D720" s="32"/>
      <c r="E720" s="32"/>
      <c r="F720" s="32"/>
      <c r="G720" s="32"/>
    </row>
    <row r="721" spans="1:7" s="31" customFormat="1" ht="10">
      <c r="A721" s="284"/>
      <c r="B721" s="32"/>
      <c r="C721" s="32"/>
      <c r="D721" s="32"/>
      <c r="E721" s="289"/>
      <c r="F721" s="289"/>
      <c r="G721" s="289"/>
    </row>
    <row r="722" spans="1:7" s="31" customFormat="1" ht="21">
      <c r="A722" s="275">
        <v>96985</v>
      </c>
      <c r="B722" s="276" t="s">
        <v>943</v>
      </c>
      <c r="C722" s="276"/>
      <c r="D722" s="276"/>
      <c r="E722" s="276"/>
      <c r="F722" s="276"/>
      <c r="G722" s="276"/>
    </row>
    <row r="723" spans="1:7" s="31" customFormat="1" ht="21">
      <c r="A723" s="277" t="s">
        <v>256</v>
      </c>
      <c r="B723" s="278"/>
      <c r="C723" s="279" t="s">
        <v>4</v>
      </c>
      <c r="D723" s="279" t="s">
        <v>243</v>
      </c>
      <c r="E723" s="279" t="s">
        <v>244</v>
      </c>
      <c r="F723" s="279" t="s">
        <v>245</v>
      </c>
      <c r="G723" s="279" t="s">
        <v>246</v>
      </c>
    </row>
    <row r="724" spans="1:7" s="31" customFormat="1" ht="30">
      <c r="A724" s="280">
        <v>3379</v>
      </c>
      <c r="B724" s="281" t="s">
        <v>409</v>
      </c>
      <c r="C724" s="282" t="s">
        <v>26</v>
      </c>
      <c r="D724" s="282" t="s">
        <v>14</v>
      </c>
      <c r="E724" s="298">
        <v>1</v>
      </c>
      <c r="F724" s="283">
        <f>_xlfn.XLOOKUP(A724,COMP_AUX!$F$13:$F$1400,COMP_AUX!$G$13:$G$1400,_xlfn.XLOOKUP(A724,CUSTO_INSU!$A$12:$A$201,CUSTO_INSU!$G$12:$G$201))</f>
        <v>74.290000000000006</v>
      </c>
      <c r="G724" s="283">
        <f>TRUNC(TRUNC(E724,8)*F724,2)</f>
        <v>74.290000000000006</v>
      </c>
    </row>
    <row r="725" spans="1:7" s="31" customFormat="1" ht="10.5">
      <c r="A725" s="284"/>
      <c r="B725" s="32"/>
      <c r="C725" s="32"/>
      <c r="D725" s="32"/>
      <c r="E725" s="285" t="s">
        <v>1305</v>
      </c>
      <c r="F725" s="285"/>
      <c r="G725" s="286">
        <f>SUM(G724:G724)</f>
        <v>74.290000000000006</v>
      </c>
    </row>
    <row r="726" spans="1:7" s="31" customFormat="1" ht="21">
      <c r="A726" s="277" t="s">
        <v>242</v>
      </c>
      <c r="B726" s="278"/>
      <c r="C726" s="279" t="s">
        <v>4</v>
      </c>
      <c r="D726" s="279" t="s">
        <v>243</v>
      </c>
      <c r="E726" s="279" t="s">
        <v>244</v>
      </c>
      <c r="F726" s="279" t="s">
        <v>245</v>
      </c>
      <c r="G726" s="279" t="s">
        <v>246</v>
      </c>
    </row>
    <row r="727" spans="1:7" s="31" customFormat="1" ht="10">
      <c r="A727" s="280">
        <v>88247</v>
      </c>
      <c r="B727" s="281" t="s">
        <v>293</v>
      </c>
      <c r="C727" s="282" t="s">
        <v>26</v>
      </c>
      <c r="D727" s="282" t="s">
        <v>265</v>
      </c>
      <c r="E727" s="298">
        <v>0.24840000000000001</v>
      </c>
      <c r="F727" s="283">
        <f>_xlfn.XLOOKUP(A727,COMP_AUX!$F$13:$F$1400,COMP_AUX!$G$13:$G$1400,_xlfn.XLOOKUP(A727,CUSTO_INSU!$A$12:$A$201,CUSTO_INSU!$G$12:$G$201))</f>
        <v>21.5</v>
      </c>
      <c r="G727" s="283">
        <f>TRUNC(TRUNC(E727,8)*F727,2)</f>
        <v>5.34</v>
      </c>
    </row>
    <row r="728" spans="1:7" s="31" customFormat="1" ht="10">
      <c r="A728" s="280">
        <v>88264</v>
      </c>
      <c r="B728" s="281" t="s">
        <v>295</v>
      </c>
      <c r="C728" s="282" t="s">
        <v>26</v>
      </c>
      <c r="D728" s="282" t="s">
        <v>265</v>
      </c>
      <c r="E728" s="298">
        <v>0.24840000000000001</v>
      </c>
      <c r="F728" s="283">
        <f>_xlfn.XLOOKUP(A728,COMP_AUX!$F$13:$F$1400,COMP_AUX!$G$13:$G$1400,_xlfn.XLOOKUP(A728,CUSTO_INSU!$A$12:$A$201,CUSTO_INSU!$G$12:$G$201))</f>
        <v>25.55</v>
      </c>
      <c r="G728" s="283">
        <f>TRUNC(TRUNC(E728,8)*F728,2)</f>
        <v>6.34</v>
      </c>
    </row>
    <row r="729" spans="1:7" s="31" customFormat="1" ht="10.5">
      <c r="A729" s="284"/>
      <c r="B729" s="32"/>
      <c r="C729" s="32"/>
      <c r="D729" s="32"/>
      <c r="E729" s="285" t="s">
        <v>1303</v>
      </c>
      <c r="F729" s="285"/>
      <c r="G729" s="286">
        <f>SUM(G727:G728)</f>
        <v>11.68</v>
      </c>
    </row>
    <row r="730" spans="1:7" s="31" customFormat="1" ht="10.5">
      <c r="A730" s="284"/>
      <c r="B730" s="32"/>
      <c r="C730" s="32"/>
      <c r="D730" s="32"/>
      <c r="E730" s="287" t="s">
        <v>255</v>
      </c>
      <c r="F730" s="287">
        <f>A722</f>
        <v>96985</v>
      </c>
      <c r="G730" s="288">
        <f>SUM(G725,G729)</f>
        <v>85.97</v>
      </c>
    </row>
    <row r="731" spans="1:7" s="31" customFormat="1" ht="10">
      <c r="A731" s="284"/>
      <c r="B731" s="32"/>
      <c r="C731" s="32"/>
      <c r="D731" s="32"/>
      <c r="E731" s="289"/>
      <c r="F731" s="289"/>
      <c r="G731" s="289"/>
    </row>
    <row r="732" spans="1:7" s="31" customFormat="1" ht="42">
      <c r="A732" s="275" t="s">
        <v>205</v>
      </c>
      <c r="B732" s="276" t="s">
        <v>944</v>
      </c>
      <c r="C732" s="276"/>
      <c r="D732" s="276"/>
      <c r="E732" s="276"/>
      <c r="F732" s="276"/>
      <c r="G732" s="276"/>
    </row>
    <row r="733" spans="1:7" s="31" customFormat="1" ht="21">
      <c r="A733" s="277" t="s">
        <v>256</v>
      </c>
      <c r="B733" s="278"/>
      <c r="C733" s="279" t="s">
        <v>4</v>
      </c>
      <c r="D733" s="279" t="s">
        <v>243</v>
      </c>
      <c r="E733" s="279" t="s">
        <v>244</v>
      </c>
      <c r="F733" s="279" t="s">
        <v>245</v>
      </c>
      <c r="G733" s="279" t="s">
        <v>246</v>
      </c>
    </row>
    <row r="734" spans="1:7" s="31" customFormat="1" ht="30">
      <c r="A734" s="280" t="s">
        <v>410</v>
      </c>
      <c r="B734" s="281" t="s">
        <v>411</v>
      </c>
      <c r="C734" s="282" t="s">
        <v>253</v>
      </c>
      <c r="D734" s="282" t="s">
        <v>14</v>
      </c>
      <c r="E734" s="298">
        <v>1</v>
      </c>
      <c r="F734" s="283">
        <f>_xlfn.XLOOKUP(A734,COMP_AUX!$F$13:$F$1400,COMP_AUX!$G$13:$G$1400,_xlfn.XLOOKUP(A734,CUSTO_INSU!$A$12:$A$201,CUSTO_INSU!$G$12:$G$201))</f>
        <v>46136.959999999999</v>
      </c>
      <c r="G734" s="283">
        <f>ROUND(ROUND(E734,8)*F734,2)</f>
        <v>46136.959999999999</v>
      </c>
    </row>
    <row r="735" spans="1:7" s="31" customFormat="1" ht="10.5">
      <c r="A735" s="284"/>
      <c r="B735" s="32"/>
      <c r="C735" s="32"/>
      <c r="D735" s="32"/>
      <c r="E735" s="285" t="s">
        <v>1305</v>
      </c>
      <c r="F735" s="285"/>
      <c r="G735" s="286">
        <f>SUM(G734:G734)</f>
        <v>46136.959999999999</v>
      </c>
    </row>
    <row r="736" spans="1:7" s="31" customFormat="1" ht="21">
      <c r="A736" s="277" t="s">
        <v>242</v>
      </c>
      <c r="B736" s="278"/>
      <c r="C736" s="279" t="s">
        <v>4</v>
      </c>
      <c r="D736" s="279" t="s">
        <v>243</v>
      </c>
      <c r="E736" s="279" t="s">
        <v>244</v>
      </c>
      <c r="F736" s="279" t="s">
        <v>245</v>
      </c>
      <c r="G736" s="279" t="s">
        <v>246</v>
      </c>
    </row>
    <row r="737" spans="1:7" s="31" customFormat="1" ht="10">
      <c r="A737" s="280">
        <v>88247</v>
      </c>
      <c r="B737" s="281" t="s">
        <v>293</v>
      </c>
      <c r="C737" s="282" t="s">
        <v>26</v>
      </c>
      <c r="D737" s="282" t="s">
        <v>265</v>
      </c>
      <c r="E737" s="298">
        <v>3</v>
      </c>
      <c r="F737" s="283">
        <f>_xlfn.XLOOKUP(A737,COMP_AUX!$F$13:$F$1400,COMP_AUX!$G$13:$G$1400,_xlfn.XLOOKUP(A737,CUSTO_INSU!$A$12:$A$201,CUSTO_INSU!$G$12:$G$201))</f>
        <v>21.5</v>
      </c>
      <c r="G737" s="283">
        <f>ROUND(ROUND(E737,8)*F737,2)</f>
        <v>64.5</v>
      </c>
    </row>
    <row r="738" spans="1:7" s="31" customFormat="1" ht="10">
      <c r="A738" s="280">
        <v>88264</v>
      </c>
      <c r="B738" s="281" t="s">
        <v>295</v>
      </c>
      <c r="C738" s="282" t="s">
        <v>26</v>
      </c>
      <c r="D738" s="282" t="s">
        <v>265</v>
      </c>
      <c r="E738" s="298">
        <v>2</v>
      </c>
      <c r="F738" s="283">
        <f>_xlfn.XLOOKUP(A738,COMP_AUX!$F$13:$F$1400,COMP_AUX!$G$13:$G$1400,_xlfn.XLOOKUP(A738,CUSTO_INSU!$A$12:$A$201,CUSTO_INSU!$G$12:$G$201))</f>
        <v>25.55</v>
      </c>
      <c r="G738" s="283">
        <f>ROUND(ROUND(E738,8)*F738,2)</f>
        <v>51.1</v>
      </c>
    </row>
    <row r="739" spans="1:7" s="31" customFormat="1" ht="10.5">
      <c r="A739" s="284"/>
      <c r="B739" s="32"/>
      <c r="C739" s="32"/>
      <c r="D739" s="32"/>
      <c r="E739" s="285" t="s">
        <v>1303</v>
      </c>
      <c r="F739" s="285"/>
      <c r="G739" s="286">
        <f>SUM(G737:G738)</f>
        <v>115.6</v>
      </c>
    </row>
    <row r="740" spans="1:7" s="31" customFormat="1" ht="21">
      <c r="A740" s="403" t="s">
        <v>412</v>
      </c>
      <c r="B740" s="403"/>
      <c r="C740" s="403"/>
      <c r="D740" s="32"/>
      <c r="E740" s="287" t="s">
        <v>255</v>
      </c>
      <c r="F740" s="287" t="str">
        <f>A732</f>
        <v>JFPB-04825421</v>
      </c>
      <c r="G740" s="288">
        <f>SUM(G739,G735)</f>
        <v>46252.56</v>
      </c>
    </row>
    <row r="741" spans="1:7" s="31" customFormat="1" ht="10">
      <c r="A741" s="294"/>
      <c r="B741" s="295"/>
      <c r="C741" s="295"/>
      <c r="D741" s="32"/>
      <c r="E741" s="32"/>
      <c r="F741" s="32"/>
      <c r="G741" s="32"/>
    </row>
    <row r="742" spans="1:7" s="31" customFormat="1" ht="10">
      <c r="A742" s="284"/>
      <c r="B742" s="32"/>
      <c r="C742" s="32"/>
      <c r="D742" s="32"/>
      <c r="E742" s="289"/>
      <c r="F742" s="289"/>
      <c r="G742" s="289"/>
    </row>
    <row r="743" spans="1:7" s="31" customFormat="1" ht="21">
      <c r="A743" s="275">
        <v>104789</v>
      </c>
      <c r="B743" s="276" t="s">
        <v>945</v>
      </c>
      <c r="C743" s="276"/>
      <c r="D743" s="276"/>
      <c r="E743" s="276"/>
      <c r="F743" s="276"/>
      <c r="G743" s="276"/>
    </row>
    <row r="744" spans="1:7" s="31" customFormat="1" ht="21">
      <c r="A744" s="277" t="s">
        <v>242</v>
      </c>
      <c r="B744" s="278"/>
      <c r="C744" s="279" t="s">
        <v>4</v>
      </c>
      <c r="D744" s="279" t="s">
        <v>243</v>
      </c>
      <c r="E744" s="279" t="s">
        <v>244</v>
      </c>
      <c r="F744" s="279" t="s">
        <v>245</v>
      </c>
      <c r="G744" s="279" t="s">
        <v>246</v>
      </c>
    </row>
    <row r="745" spans="1:7" s="31" customFormat="1" ht="10">
      <c r="A745" s="280">
        <v>88309</v>
      </c>
      <c r="B745" s="281" t="s">
        <v>286</v>
      </c>
      <c r="C745" s="282" t="s">
        <v>26</v>
      </c>
      <c r="D745" s="282" t="s">
        <v>265</v>
      </c>
      <c r="E745" s="298">
        <v>1.2462</v>
      </c>
      <c r="F745" s="283">
        <f>_xlfn.XLOOKUP(A745,COMP_AUX!$F$13:$F$1400,COMP_AUX!$G$13:$G$1400,_xlfn.XLOOKUP(A745,CUSTO_INSU!$A$12:$A$201,CUSTO_INSU!$G$12:$G$201))</f>
        <v>25.21</v>
      </c>
      <c r="G745" s="283">
        <f>TRUNC(TRUNC(E745,8)*F745,2)</f>
        <v>31.41</v>
      </c>
    </row>
    <row r="746" spans="1:7" s="31" customFormat="1" ht="10">
      <c r="A746" s="280">
        <v>88316</v>
      </c>
      <c r="B746" s="281" t="s">
        <v>275</v>
      </c>
      <c r="C746" s="282" t="s">
        <v>26</v>
      </c>
      <c r="D746" s="282" t="s">
        <v>265</v>
      </c>
      <c r="E746" s="298">
        <v>7.7264999999999997</v>
      </c>
      <c r="F746" s="283">
        <f>_xlfn.XLOOKUP(A746,COMP_AUX!$F$13:$F$1400,COMP_AUX!$G$13:$G$1400,_xlfn.XLOOKUP(A746,CUSTO_INSU!$A$12:$A$201,CUSTO_INSU!$G$12:$G$201))</f>
        <v>20.27</v>
      </c>
      <c r="G746" s="283">
        <f>TRUNC(TRUNC(E746,8)*F746,2)</f>
        <v>156.61000000000001</v>
      </c>
    </row>
    <row r="747" spans="1:7" s="31" customFormat="1" ht="10.5">
      <c r="A747" s="284"/>
      <c r="B747" s="32"/>
      <c r="C747" s="32"/>
      <c r="D747" s="32"/>
      <c r="E747" s="285" t="s">
        <v>1303</v>
      </c>
      <c r="F747" s="285"/>
      <c r="G747" s="286">
        <f>SUM(G745:G746)</f>
        <v>188.02</v>
      </c>
    </row>
    <row r="748" spans="1:7" s="31" customFormat="1" ht="10.5">
      <c r="A748" s="284"/>
      <c r="B748" s="32"/>
      <c r="C748" s="32"/>
      <c r="D748" s="32"/>
      <c r="E748" s="287" t="s">
        <v>255</v>
      </c>
      <c r="F748" s="287">
        <f>A743</f>
        <v>104789</v>
      </c>
      <c r="G748" s="288">
        <f>SUM(G747)</f>
        <v>188.02</v>
      </c>
    </row>
    <row r="749" spans="1:7" s="31" customFormat="1" ht="10">
      <c r="A749" s="284"/>
      <c r="B749" s="32"/>
      <c r="C749" s="32"/>
      <c r="D749" s="32"/>
      <c r="E749" s="289"/>
      <c r="F749" s="289"/>
      <c r="G749" s="289"/>
    </row>
    <row r="750" spans="1:7" s="31" customFormat="1" ht="21">
      <c r="A750" s="275" t="s">
        <v>213</v>
      </c>
      <c r="B750" s="276" t="s">
        <v>946</v>
      </c>
      <c r="C750" s="276"/>
      <c r="D750" s="276"/>
      <c r="E750" s="276"/>
      <c r="F750" s="276"/>
      <c r="G750" s="276"/>
    </row>
    <row r="751" spans="1:7" s="31" customFormat="1" ht="21">
      <c r="A751" s="277" t="s">
        <v>256</v>
      </c>
      <c r="B751" s="278"/>
      <c r="C751" s="279" t="s">
        <v>4</v>
      </c>
      <c r="D751" s="279" t="s">
        <v>243</v>
      </c>
      <c r="E751" s="279" t="s">
        <v>244</v>
      </c>
      <c r="F751" s="279" t="s">
        <v>245</v>
      </c>
      <c r="G751" s="279" t="s">
        <v>246</v>
      </c>
    </row>
    <row r="752" spans="1:7" s="31" customFormat="1" ht="20">
      <c r="A752" s="280" t="s">
        <v>413</v>
      </c>
      <c r="B752" s="281" t="s">
        <v>414</v>
      </c>
      <c r="C752" s="282" t="s">
        <v>253</v>
      </c>
      <c r="D752" s="282" t="s">
        <v>70</v>
      </c>
      <c r="E752" s="298">
        <v>0.36599999999999999</v>
      </c>
      <c r="F752" s="283">
        <f>_xlfn.XLOOKUP(A752,COMP_AUX!$F$13:$F$1400,COMP_AUX!$G$13:$G$1400,_xlfn.XLOOKUP(A752,CUSTO_INSU!$A$12:$A$201,CUSTO_INSU!$G$12:$G$201))</f>
        <v>162.35</v>
      </c>
      <c r="G752" s="283">
        <f>ROUND(ROUND(E752,8)*F752,2)</f>
        <v>59.42</v>
      </c>
    </row>
    <row r="753" spans="1:7" s="31" customFormat="1" ht="10.5">
      <c r="A753" s="284"/>
      <c r="B753" s="32"/>
      <c r="C753" s="32"/>
      <c r="D753" s="32"/>
      <c r="E753" s="285" t="s">
        <v>1305</v>
      </c>
      <c r="F753" s="285"/>
      <c r="G753" s="286">
        <f>SUM(G752:G752)</f>
        <v>59.42</v>
      </c>
    </row>
    <row r="754" spans="1:7" s="31" customFormat="1" ht="21">
      <c r="A754" s="277" t="s">
        <v>242</v>
      </c>
      <c r="B754" s="278"/>
      <c r="C754" s="279" t="s">
        <v>4</v>
      </c>
      <c r="D754" s="279" t="s">
        <v>243</v>
      </c>
      <c r="E754" s="279" t="s">
        <v>244</v>
      </c>
      <c r="F754" s="279" t="s">
        <v>245</v>
      </c>
      <c r="G754" s="279" t="s">
        <v>246</v>
      </c>
    </row>
    <row r="755" spans="1:7" s="31" customFormat="1" ht="10">
      <c r="A755" s="280">
        <v>88309</v>
      </c>
      <c r="B755" s="281" t="s">
        <v>286</v>
      </c>
      <c r="C755" s="282" t="s">
        <v>26</v>
      </c>
      <c r="D755" s="282" t="s">
        <v>265</v>
      </c>
      <c r="E755" s="298">
        <v>1</v>
      </c>
      <c r="F755" s="283">
        <f>_xlfn.XLOOKUP(A755,COMP_AUX!$F$13:$F$1400,COMP_AUX!$G$13:$G$1400,_xlfn.XLOOKUP(A755,CUSTO_INSU!$A$12:$A$201,CUSTO_INSU!$G$12:$G$201))</f>
        <v>25.21</v>
      </c>
      <c r="G755" s="283">
        <f>ROUND(ROUND(E755,8)*F755,2)</f>
        <v>25.21</v>
      </c>
    </row>
    <row r="756" spans="1:7" s="31" customFormat="1" ht="10">
      <c r="A756" s="280">
        <v>88316</v>
      </c>
      <c r="B756" s="281" t="s">
        <v>275</v>
      </c>
      <c r="C756" s="282" t="s">
        <v>26</v>
      </c>
      <c r="D756" s="282" t="s">
        <v>265</v>
      </c>
      <c r="E756" s="298">
        <v>1.8394999999999999</v>
      </c>
      <c r="F756" s="283">
        <f>_xlfn.XLOOKUP(A756,COMP_AUX!$F$13:$F$1400,COMP_AUX!$G$13:$G$1400,_xlfn.XLOOKUP(A756,CUSTO_INSU!$A$12:$A$201,CUSTO_INSU!$G$12:$G$201))</f>
        <v>20.27</v>
      </c>
      <c r="G756" s="283">
        <f>ROUND(ROUND(E756,8)*F756,2)</f>
        <v>37.29</v>
      </c>
    </row>
    <row r="757" spans="1:7" s="31" customFormat="1" ht="10.5">
      <c r="A757" s="284"/>
      <c r="B757" s="32"/>
      <c r="C757" s="32"/>
      <c r="D757" s="32"/>
      <c r="E757" s="285" t="s">
        <v>1303</v>
      </c>
      <c r="F757" s="285"/>
      <c r="G757" s="286">
        <f>SUM(G755:G756)</f>
        <v>62.5</v>
      </c>
    </row>
    <row r="758" spans="1:7" s="31" customFormat="1" ht="21">
      <c r="A758" s="403" t="s">
        <v>415</v>
      </c>
      <c r="B758" s="403"/>
      <c r="C758" s="403"/>
      <c r="D758" s="32"/>
      <c r="E758" s="287" t="s">
        <v>255</v>
      </c>
      <c r="F758" s="287" t="str">
        <f>A750</f>
        <v>JFPB-54121963</v>
      </c>
      <c r="G758" s="288">
        <f>SUM(G757,G753)</f>
        <v>121.92</v>
      </c>
    </row>
    <row r="759" spans="1:7" s="31" customFormat="1" ht="10">
      <c r="A759" s="294"/>
      <c r="B759" s="295"/>
      <c r="C759" s="295"/>
      <c r="D759" s="32"/>
      <c r="E759" s="32"/>
      <c r="F759" s="32"/>
      <c r="G759" s="32"/>
    </row>
    <row r="760" spans="1:7" s="31" customFormat="1" ht="10">
      <c r="A760" s="284"/>
      <c r="B760" s="32"/>
      <c r="C760" s="32"/>
      <c r="D760" s="32"/>
      <c r="E760" s="289"/>
      <c r="F760" s="289"/>
      <c r="G760" s="289"/>
    </row>
    <row r="761" spans="1:7" s="31" customFormat="1" ht="31.5">
      <c r="A761" s="275" t="s">
        <v>218</v>
      </c>
      <c r="B761" s="276" t="s">
        <v>947</v>
      </c>
      <c r="C761" s="276"/>
      <c r="D761" s="276"/>
      <c r="E761" s="276"/>
      <c r="F761" s="276"/>
      <c r="G761" s="276"/>
    </row>
    <row r="762" spans="1:7" s="31" customFormat="1" ht="21">
      <c r="A762" s="277" t="s">
        <v>256</v>
      </c>
      <c r="B762" s="278"/>
      <c r="C762" s="279" t="s">
        <v>4</v>
      </c>
      <c r="D762" s="279" t="s">
        <v>243</v>
      </c>
      <c r="E762" s="279" t="s">
        <v>244</v>
      </c>
      <c r="F762" s="279" t="s">
        <v>245</v>
      </c>
      <c r="G762" s="279" t="s">
        <v>246</v>
      </c>
    </row>
    <row r="763" spans="1:7" s="31" customFormat="1" ht="20">
      <c r="A763" s="280" t="s">
        <v>416</v>
      </c>
      <c r="B763" s="281" t="s">
        <v>417</v>
      </c>
      <c r="C763" s="282" t="s">
        <v>253</v>
      </c>
      <c r="D763" s="282" t="s">
        <v>14</v>
      </c>
      <c r="E763" s="298">
        <v>1</v>
      </c>
      <c r="F763" s="283">
        <f>_xlfn.XLOOKUP(A763,COMP_AUX!$F$13:$F$1400,COMP_AUX!$G$13:$G$1400,_xlfn.XLOOKUP(A763,CUSTO_INSU!$A$12:$A$201,CUSTO_INSU!$G$12:$G$201))</f>
        <v>557444.75</v>
      </c>
      <c r="G763" s="283">
        <f>ROUND(ROUND(E763,8)*F763,2)</f>
        <v>557444.75</v>
      </c>
    </row>
    <row r="764" spans="1:7" s="31" customFormat="1" ht="10.5">
      <c r="A764" s="284"/>
      <c r="B764" s="32"/>
      <c r="C764" s="32"/>
      <c r="D764" s="32"/>
      <c r="E764" s="285" t="s">
        <v>1305</v>
      </c>
      <c r="F764" s="285"/>
      <c r="G764" s="286">
        <f>SUM(G763:G763)</f>
        <v>557444.75</v>
      </c>
    </row>
    <row r="765" spans="1:7" s="31" customFormat="1" ht="21">
      <c r="A765" s="403" t="s">
        <v>418</v>
      </c>
      <c r="B765" s="403"/>
      <c r="C765" s="403"/>
      <c r="D765" s="32"/>
      <c r="E765" s="287" t="s">
        <v>255</v>
      </c>
      <c r="F765" s="287" t="str">
        <f>A761</f>
        <v>JFPB-07920788</v>
      </c>
      <c r="G765" s="288">
        <f>SUM(G764)</f>
        <v>557444.75</v>
      </c>
    </row>
    <row r="766" spans="1:7" s="31" customFormat="1" ht="10">
      <c r="A766" s="294"/>
      <c r="B766" s="295"/>
      <c r="C766" s="295"/>
      <c r="D766" s="32"/>
      <c r="E766" s="32"/>
      <c r="F766" s="32"/>
      <c r="G766" s="32"/>
    </row>
    <row r="767" spans="1:7" s="31" customFormat="1" ht="10">
      <c r="A767" s="284"/>
      <c r="B767" s="32"/>
      <c r="C767" s="32"/>
      <c r="D767" s="32"/>
      <c r="E767" s="289"/>
      <c r="F767" s="289"/>
      <c r="G767" s="289"/>
    </row>
    <row r="768" spans="1:7" s="31" customFormat="1" ht="21">
      <c r="A768" s="275" t="s">
        <v>221</v>
      </c>
      <c r="B768" s="276" t="s">
        <v>948</v>
      </c>
      <c r="C768" s="276"/>
      <c r="D768" s="276"/>
      <c r="E768" s="276"/>
      <c r="F768" s="276"/>
      <c r="G768" s="276"/>
    </row>
    <row r="769" spans="1:7" s="31" customFormat="1" ht="21">
      <c r="A769" s="277" t="s">
        <v>256</v>
      </c>
      <c r="B769" s="278"/>
      <c r="C769" s="279" t="s">
        <v>4</v>
      </c>
      <c r="D769" s="279" t="s">
        <v>243</v>
      </c>
      <c r="E769" s="279" t="s">
        <v>244</v>
      </c>
      <c r="F769" s="279" t="s">
        <v>245</v>
      </c>
      <c r="G769" s="279" t="s">
        <v>246</v>
      </c>
    </row>
    <row r="770" spans="1:7" s="31" customFormat="1" ht="10">
      <c r="A770" s="280" t="s">
        <v>419</v>
      </c>
      <c r="B770" s="281" t="s">
        <v>420</v>
      </c>
      <c r="C770" s="282" t="s">
        <v>253</v>
      </c>
      <c r="D770" s="282" t="s">
        <v>14</v>
      </c>
      <c r="E770" s="298">
        <v>1</v>
      </c>
      <c r="F770" s="283">
        <f>_xlfn.XLOOKUP(A770,COMP_AUX!$F$13:$F$1400,COMP_AUX!$G$13:$G$1400,_xlfn.XLOOKUP(A770,CUSTO_INSU!$A$12:$A$201,CUSTO_INSU!$G$12:$G$201))</f>
        <v>72646.84</v>
      </c>
      <c r="G770" s="283">
        <f>ROUND(ROUND(E770,8)*F770,2)</f>
        <v>72646.84</v>
      </c>
    </row>
    <row r="771" spans="1:7" s="31" customFormat="1" ht="10.5">
      <c r="A771" s="284"/>
      <c r="B771" s="32"/>
      <c r="C771" s="32"/>
      <c r="D771" s="32"/>
      <c r="E771" s="285" t="s">
        <v>1305</v>
      </c>
      <c r="F771" s="285"/>
      <c r="G771" s="286">
        <f>SUM(G770:G770)</f>
        <v>72646.84</v>
      </c>
    </row>
    <row r="772" spans="1:7" s="31" customFormat="1" ht="21">
      <c r="A772" s="403" t="s">
        <v>418</v>
      </c>
      <c r="B772" s="403"/>
      <c r="C772" s="403"/>
      <c r="D772" s="32"/>
      <c r="E772" s="287" t="s">
        <v>255</v>
      </c>
      <c r="F772" s="287" t="str">
        <f>A768</f>
        <v>JFPB-60332169</v>
      </c>
      <c r="G772" s="288">
        <f>SUM(G771)</f>
        <v>72646.84</v>
      </c>
    </row>
    <row r="773" spans="1:7" s="31" customFormat="1" ht="10">
      <c r="A773" s="294"/>
      <c r="B773" s="295"/>
      <c r="C773" s="295"/>
      <c r="D773" s="32"/>
      <c r="E773" s="32"/>
      <c r="F773" s="32"/>
      <c r="G773" s="32"/>
    </row>
    <row r="774" spans="1:7" s="31" customFormat="1" ht="10">
      <c r="A774" s="284"/>
      <c r="B774" s="32"/>
      <c r="C774" s="32"/>
      <c r="D774" s="32"/>
      <c r="E774" s="289"/>
      <c r="F774" s="289"/>
      <c r="G774" s="289"/>
    </row>
    <row r="775" spans="1:7" s="31" customFormat="1" ht="31.5">
      <c r="A775" s="296">
        <v>39250</v>
      </c>
      <c r="B775" s="276" t="s">
        <v>949</v>
      </c>
      <c r="C775" s="276"/>
      <c r="D775" s="276"/>
      <c r="E775" s="276"/>
      <c r="F775" s="276"/>
      <c r="G775" s="276"/>
    </row>
    <row r="776" spans="1:7" s="31" customFormat="1" ht="21">
      <c r="A776" s="277" t="s">
        <v>256</v>
      </c>
      <c r="B776" s="278"/>
      <c r="C776" s="279" t="s">
        <v>4</v>
      </c>
      <c r="D776" s="279" t="s">
        <v>243</v>
      </c>
      <c r="E776" s="279" t="s">
        <v>244</v>
      </c>
      <c r="F776" s="279" t="s">
        <v>245</v>
      </c>
      <c r="G776" s="279" t="s">
        <v>246</v>
      </c>
    </row>
    <row r="777" spans="1:7" s="31" customFormat="1" ht="30">
      <c r="A777" s="280">
        <v>39250</v>
      </c>
      <c r="B777" s="281" t="s">
        <v>421</v>
      </c>
      <c r="C777" s="282" t="s">
        <v>26</v>
      </c>
      <c r="D777" s="282" t="s">
        <v>70</v>
      </c>
      <c r="E777" s="298">
        <v>1</v>
      </c>
      <c r="F777" s="283">
        <f>_xlfn.XLOOKUP(A777,COMP_AUX!$F$13:$F$1400,COMP_AUX!$G$13:$G$1400,_xlfn.XLOOKUP(A777,CUSTO_INSU!$A$12:$A$201,CUSTO_INSU!$G$12:$G$201))</f>
        <v>576.29999999999995</v>
      </c>
      <c r="G777" s="283">
        <f>TRUNC(TRUNC(E777,8)*F777,2)</f>
        <v>576.29999999999995</v>
      </c>
    </row>
    <row r="778" spans="1:7" s="31" customFormat="1" ht="10.5">
      <c r="A778" s="284"/>
      <c r="B778" s="32"/>
      <c r="C778" s="32"/>
      <c r="D778" s="32"/>
      <c r="E778" s="285" t="s">
        <v>1305</v>
      </c>
      <c r="F778" s="285"/>
      <c r="G778" s="286">
        <f>SUM(G777:G777)</f>
        <v>576.29999999999995</v>
      </c>
    </row>
    <row r="779" spans="1:7" s="31" customFormat="1" ht="10.5">
      <c r="A779" s="284"/>
      <c r="B779" s="32"/>
      <c r="C779" s="32"/>
      <c r="D779" s="32"/>
      <c r="E779" s="287" t="s">
        <v>255</v>
      </c>
      <c r="F779" s="293">
        <f>A775</f>
        <v>39250</v>
      </c>
      <c r="G779" s="288">
        <f>SUM(G778)</f>
        <v>576.29999999999995</v>
      </c>
    </row>
    <row r="780" spans="1:7" s="31" customFormat="1" ht="10">
      <c r="A780" s="284"/>
      <c r="B780" s="32"/>
      <c r="C780" s="32"/>
      <c r="D780" s="32"/>
      <c r="E780" s="289"/>
      <c r="F780" s="289"/>
      <c r="G780" s="289"/>
    </row>
    <row r="781" spans="1:7" s="31" customFormat="1" ht="21">
      <c r="A781" s="275" t="s">
        <v>230</v>
      </c>
      <c r="B781" s="276" t="s">
        <v>950</v>
      </c>
      <c r="C781" s="276"/>
      <c r="D781" s="276"/>
      <c r="E781" s="276"/>
      <c r="F781" s="276"/>
      <c r="G781" s="276"/>
    </row>
    <row r="782" spans="1:7" s="31" customFormat="1" ht="21">
      <c r="A782" s="277" t="s">
        <v>260</v>
      </c>
      <c r="B782" s="278"/>
      <c r="C782" s="279" t="s">
        <v>4</v>
      </c>
      <c r="D782" s="279" t="s">
        <v>243</v>
      </c>
      <c r="E782" s="279" t="s">
        <v>244</v>
      </c>
      <c r="F782" s="279" t="s">
        <v>245</v>
      </c>
      <c r="G782" s="279" t="s">
        <v>246</v>
      </c>
    </row>
    <row r="783" spans="1:7" s="31" customFormat="1" ht="40">
      <c r="A783" s="280">
        <v>93402</v>
      </c>
      <c r="B783" s="281" t="s">
        <v>422</v>
      </c>
      <c r="C783" s="282" t="s">
        <v>26</v>
      </c>
      <c r="D783" s="282" t="s">
        <v>237</v>
      </c>
      <c r="E783" s="298">
        <v>1</v>
      </c>
      <c r="F783" s="283">
        <f>_xlfn.XLOOKUP(A783,COMP_AUX!$F$13:$F$1400,COMP_AUX!$G$13:$G$1400,_xlfn.XLOOKUP(A783,CUSTO_INSU!$A$12:$A$201,CUSTO_INSU!$G$12:$G$201))</f>
        <v>277.29000000000002</v>
      </c>
      <c r="G783" s="283">
        <f>ROUND(ROUND(E783,8)*F783,2)</f>
        <v>277.29000000000002</v>
      </c>
    </row>
    <row r="784" spans="1:7" s="31" customFormat="1" ht="10.5">
      <c r="A784" s="284"/>
      <c r="B784" s="32"/>
      <c r="C784" s="32"/>
      <c r="D784" s="32"/>
      <c r="E784" s="285" t="s">
        <v>1300</v>
      </c>
      <c r="F784" s="285"/>
      <c r="G784" s="286">
        <f>SUM(G783:G783)</f>
        <v>277.29000000000002</v>
      </c>
    </row>
    <row r="785" spans="1:7" s="31" customFormat="1" ht="21">
      <c r="A785" s="277" t="s">
        <v>242</v>
      </c>
      <c r="B785" s="278"/>
      <c r="C785" s="279" t="s">
        <v>4</v>
      </c>
      <c r="D785" s="279" t="s">
        <v>243</v>
      </c>
      <c r="E785" s="279" t="s">
        <v>244</v>
      </c>
      <c r="F785" s="279" t="s">
        <v>245</v>
      </c>
      <c r="G785" s="279" t="s">
        <v>246</v>
      </c>
    </row>
    <row r="786" spans="1:7" s="31" customFormat="1" ht="10">
      <c r="A786" s="280">
        <v>88247</v>
      </c>
      <c r="B786" s="281" t="s">
        <v>293</v>
      </c>
      <c r="C786" s="282" t="s">
        <v>26</v>
      </c>
      <c r="D786" s="282" t="s">
        <v>265</v>
      </c>
      <c r="E786" s="298">
        <v>32</v>
      </c>
      <c r="F786" s="283">
        <f>_xlfn.XLOOKUP(A786,COMP_AUX!$F$13:$F$1400,COMP_AUX!$G$13:$G$1400,_xlfn.XLOOKUP(A786,CUSTO_INSU!$A$12:$A$201,CUSTO_INSU!$G$12:$G$201))</f>
        <v>21.5</v>
      </c>
      <c r="G786" s="283">
        <f>ROUND(ROUND(E786,8)*F786,2)</f>
        <v>688</v>
      </c>
    </row>
    <row r="787" spans="1:7" s="31" customFormat="1" ht="10">
      <c r="A787" s="280">
        <v>88264</v>
      </c>
      <c r="B787" s="281" t="s">
        <v>295</v>
      </c>
      <c r="C787" s="282" t="s">
        <v>26</v>
      </c>
      <c r="D787" s="282" t="s">
        <v>265</v>
      </c>
      <c r="E787" s="298">
        <v>16</v>
      </c>
      <c r="F787" s="283">
        <f>_xlfn.XLOOKUP(A787,COMP_AUX!$F$13:$F$1400,COMP_AUX!$G$13:$G$1400,_xlfn.XLOOKUP(A787,CUSTO_INSU!$A$12:$A$201,CUSTO_INSU!$G$12:$G$201))</f>
        <v>25.55</v>
      </c>
      <c r="G787" s="283">
        <f>ROUND(ROUND(E787,8)*F787,2)</f>
        <v>408.8</v>
      </c>
    </row>
    <row r="788" spans="1:7" s="31" customFormat="1" ht="20">
      <c r="A788" s="280">
        <v>88279</v>
      </c>
      <c r="B788" s="281" t="s">
        <v>297</v>
      </c>
      <c r="C788" s="282" t="s">
        <v>26</v>
      </c>
      <c r="D788" s="282" t="s">
        <v>265</v>
      </c>
      <c r="E788" s="298">
        <v>8</v>
      </c>
      <c r="F788" s="283">
        <f>_xlfn.XLOOKUP(A788,COMP_AUX!$F$13:$F$1400,COMP_AUX!$G$13:$G$1400,_xlfn.XLOOKUP(A788,CUSTO_INSU!$A$12:$A$201,CUSTO_INSU!$G$12:$G$201))</f>
        <v>24.520000000000003</v>
      </c>
      <c r="G788" s="283">
        <f>ROUND(ROUND(E788,8)*F788,2)</f>
        <v>196.16</v>
      </c>
    </row>
    <row r="789" spans="1:7" s="31" customFormat="1" ht="10.5">
      <c r="A789" s="284"/>
      <c r="B789" s="32"/>
      <c r="C789" s="32"/>
      <c r="D789" s="32"/>
      <c r="E789" s="285" t="s">
        <v>1303</v>
      </c>
      <c r="F789" s="285"/>
      <c r="G789" s="286">
        <f>SUM(G786:G788)</f>
        <v>1292.96</v>
      </c>
    </row>
    <row r="790" spans="1:7" s="31" customFormat="1" ht="21">
      <c r="A790" s="403" t="s">
        <v>423</v>
      </c>
      <c r="B790" s="403"/>
      <c r="C790" s="403"/>
      <c r="D790" s="32"/>
      <c r="E790" s="287" t="s">
        <v>255</v>
      </c>
      <c r="F790" s="287" t="str">
        <f>A781</f>
        <v>JFPB-40483864</v>
      </c>
      <c r="G790" s="288">
        <f>SUM(G789,G784)</f>
        <v>1570.25</v>
      </c>
    </row>
    <row r="791" spans="1:7" s="31" customFormat="1" ht="10">
      <c r="A791" s="294"/>
      <c r="B791" s="295"/>
      <c r="C791" s="295"/>
      <c r="D791" s="32"/>
      <c r="E791" s="32"/>
      <c r="F791" s="32"/>
      <c r="G791" s="32"/>
    </row>
    <row r="792" spans="1:7" s="31" customFormat="1" ht="10">
      <c r="A792" s="284"/>
      <c r="B792" s="32"/>
      <c r="C792" s="32"/>
      <c r="D792" s="32"/>
      <c r="E792" s="289"/>
      <c r="F792" s="289"/>
      <c r="G792" s="289"/>
    </row>
    <row r="793" spans="1:7" s="31" customFormat="1" ht="42">
      <c r="A793" s="275">
        <v>91635</v>
      </c>
      <c r="B793" s="276" t="s">
        <v>951</v>
      </c>
      <c r="C793" s="276"/>
      <c r="D793" s="276"/>
      <c r="E793" s="276"/>
      <c r="F793" s="276"/>
      <c r="G793" s="276"/>
    </row>
    <row r="794" spans="1:7" s="31" customFormat="1" ht="21">
      <c r="A794" s="277" t="s">
        <v>242</v>
      </c>
      <c r="B794" s="278"/>
      <c r="C794" s="279" t="s">
        <v>4</v>
      </c>
      <c r="D794" s="279" t="s">
        <v>243</v>
      </c>
      <c r="E794" s="279" t="s">
        <v>244</v>
      </c>
      <c r="F794" s="279" t="s">
        <v>245</v>
      </c>
      <c r="G794" s="279" t="s">
        <v>246</v>
      </c>
    </row>
    <row r="795" spans="1:7" s="31" customFormat="1" ht="20">
      <c r="A795" s="280">
        <v>88286</v>
      </c>
      <c r="B795" s="281" t="s">
        <v>425</v>
      </c>
      <c r="C795" s="282" t="s">
        <v>26</v>
      </c>
      <c r="D795" s="282" t="s">
        <v>265</v>
      </c>
      <c r="E795" s="298">
        <v>1</v>
      </c>
      <c r="F795" s="283">
        <f>_xlfn.XLOOKUP(A795,COMP_AUX!$F$13:$F$1400,COMP_AUX!$G$13:$G$1400,_xlfn.XLOOKUP(A795,CUSTO_INSU!$A$12:$A$201,CUSTO_INSU!$G$12:$G$201))</f>
        <v>27.959999999999997</v>
      </c>
      <c r="G795" s="283">
        <f>TRUNC(TRUNC(E795,8)*F795,2)</f>
        <v>27.96</v>
      </c>
    </row>
    <row r="796" spans="1:7" s="31" customFormat="1" ht="10.5">
      <c r="A796" s="284"/>
      <c r="B796" s="32"/>
      <c r="C796" s="32"/>
      <c r="D796" s="32"/>
      <c r="E796" s="285" t="s">
        <v>1303</v>
      </c>
      <c r="F796" s="285"/>
      <c r="G796" s="286">
        <f>SUM(G795:G795)</f>
        <v>27.96</v>
      </c>
    </row>
    <row r="797" spans="1:7" s="31" customFormat="1" ht="21">
      <c r="A797" s="277" t="s">
        <v>250</v>
      </c>
      <c r="B797" s="278"/>
      <c r="C797" s="279" t="s">
        <v>4</v>
      </c>
      <c r="D797" s="279" t="s">
        <v>243</v>
      </c>
      <c r="E797" s="279" t="s">
        <v>244</v>
      </c>
      <c r="F797" s="279" t="s">
        <v>245</v>
      </c>
      <c r="G797" s="279" t="s">
        <v>246</v>
      </c>
    </row>
    <row r="798" spans="1:7" s="31" customFormat="1" ht="40">
      <c r="A798" s="280">
        <v>91629</v>
      </c>
      <c r="B798" s="281" t="s">
        <v>427</v>
      </c>
      <c r="C798" s="282" t="s">
        <v>26</v>
      </c>
      <c r="D798" s="282" t="s">
        <v>265</v>
      </c>
      <c r="E798" s="298">
        <v>1</v>
      </c>
      <c r="F798" s="283">
        <f>_xlfn.XLOOKUP(A798,COMP_AUX!$F$13:$F$1400,COMP_AUX!$G$13:$G$1400,_xlfn.XLOOKUP(A798,CUSTO_INSU!$A$12:$A$201,CUSTO_INSU!$G$12:$G$201))</f>
        <v>21.97</v>
      </c>
      <c r="G798" s="283">
        <f>TRUNC(TRUNC(E798,8)*F798,2)</f>
        <v>21.97</v>
      </c>
    </row>
    <row r="799" spans="1:7" s="31" customFormat="1" ht="40">
      <c r="A799" s="280">
        <v>91631</v>
      </c>
      <c r="B799" s="281" t="s">
        <v>429</v>
      </c>
      <c r="C799" s="282" t="s">
        <v>26</v>
      </c>
      <c r="D799" s="282" t="s">
        <v>265</v>
      </c>
      <c r="E799" s="298">
        <v>1</v>
      </c>
      <c r="F799" s="283">
        <f>_xlfn.XLOOKUP(A799,COMP_AUX!$F$13:$F$1400,COMP_AUX!$G$13:$G$1400,_xlfn.XLOOKUP(A799,CUSTO_INSU!$A$12:$A$201,CUSTO_INSU!$G$12:$G$201))</f>
        <v>3.3</v>
      </c>
      <c r="G799" s="283">
        <f>TRUNC(TRUNC(E799,8)*F799,2)</f>
        <v>3.3</v>
      </c>
    </row>
    <row r="800" spans="1:7" s="31" customFormat="1" ht="40">
      <c r="A800" s="280">
        <v>91630</v>
      </c>
      <c r="B800" s="281" t="s">
        <v>431</v>
      </c>
      <c r="C800" s="282" t="s">
        <v>26</v>
      </c>
      <c r="D800" s="282" t="s">
        <v>265</v>
      </c>
      <c r="E800" s="298">
        <v>1</v>
      </c>
      <c r="F800" s="283">
        <f>_xlfn.XLOOKUP(A800,COMP_AUX!$F$13:$F$1400,COMP_AUX!$G$13:$G$1400,_xlfn.XLOOKUP(A800,CUSTO_INSU!$A$12:$A$201,CUSTO_INSU!$G$12:$G$201))</f>
        <v>8.18</v>
      </c>
      <c r="G800" s="283">
        <f>TRUNC(TRUNC(E800,8)*F800,2)</f>
        <v>8.18</v>
      </c>
    </row>
    <row r="801" spans="1:7" s="31" customFormat="1" ht="21">
      <c r="A801" s="284"/>
      <c r="B801" s="32"/>
      <c r="C801" s="32"/>
      <c r="D801" s="32"/>
      <c r="E801" s="285" t="s">
        <v>254</v>
      </c>
      <c r="F801" s="285"/>
      <c r="G801" s="286">
        <f>SUM(G798:G800)</f>
        <v>33.450000000000003</v>
      </c>
    </row>
    <row r="802" spans="1:7" s="31" customFormat="1" ht="10.5">
      <c r="A802" s="284"/>
      <c r="B802" s="32"/>
      <c r="C802" s="32"/>
      <c r="D802" s="32"/>
      <c r="E802" s="287" t="s">
        <v>255</v>
      </c>
      <c r="F802" s="287">
        <f>A793</f>
        <v>91635</v>
      </c>
      <c r="G802" s="288">
        <f>SUM(G801,G796)</f>
        <v>61.410000000000004</v>
      </c>
    </row>
    <row r="803" spans="1:7" s="31" customFormat="1" ht="10">
      <c r="A803" s="284"/>
      <c r="B803" s="32"/>
      <c r="C803" s="32"/>
      <c r="D803" s="32"/>
      <c r="E803" s="289"/>
      <c r="F803" s="289"/>
      <c r="G803" s="289"/>
    </row>
    <row r="804" spans="1:7" s="31" customFormat="1" ht="42">
      <c r="A804" s="275">
        <v>91634</v>
      </c>
      <c r="B804" s="276" t="s">
        <v>952</v>
      </c>
      <c r="C804" s="276"/>
      <c r="D804" s="276"/>
      <c r="E804" s="276"/>
      <c r="F804" s="276"/>
      <c r="G804" s="276"/>
    </row>
    <row r="805" spans="1:7" s="31" customFormat="1" ht="21">
      <c r="A805" s="277" t="s">
        <v>242</v>
      </c>
      <c r="B805" s="278"/>
      <c r="C805" s="279" t="s">
        <v>4</v>
      </c>
      <c r="D805" s="279" t="s">
        <v>243</v>
      </c>
      <c r="E805" s="279" t="s">
        <v>244</v>
      </c>
      <c r="F805" s="279" t="s">
        <v>245</v>
      </c>
      <c r="G805" s="279" t="s">
        <v>246</v>
      </c>
    </row>
    <row r="806" spans="1:7" s="31" customFormat="1" ht="20">
      <c r="A806" s="280">
        <v>88286</v>
      </c>
      <c r="B806" s="281" t="s">
        <v>425</v>
      </c>
      <c r="C806" s="282" t="s">
        <v>26</v>
      </c>
      <c r="D806" s="282" t="s">
        <v>265</v>
      </c>
      <c r="E806" s="298">
        <v>1</v>
      </c>
      <c r="F806" s="283">
        <f>_xlfn.XLOOKUP(A806,COMP_AUX!$F$13:$F$1400,COMP_AUX!$G$13:$G$1400,_xlfn.XLOOKUP(A806,CUSTO_INSU!$A$12:$A$201,CUSTO_INSU!$G$12:$G$201))</f>
        <v>27.959999999999997</v>
      </c>
      <c r="G806" s="283">
        <f>TRUNC(TRUNC(E806,8)*F806,2)</f>
        <v>27.96</v>
      </c>
    </row>
    <row r="807" spans="1:7" s="31" customFormat="1" ht="10.5">
      <c r="A807" s="284"/>
      <c r="B807" s="32"/>
      <c r="C807" s="32"/>
      <c r="D807" s="32"/>
      <c r="E807" s="285" t="s">
        <v>1303</v>
      </c>
      <c r="F807" s="285"/>
      <c r="G807" s="286">
        <f>SUM(G806)</f>
        <v>27.96</v>
      </c>
    </row>
    <row r="808" spans="1:7" s="31" customFormat="1" ht="21">
      <c r="A808" s="277" t="s">
        <v>250</v>
      </c>
      <c r="B808" s="278"/>
      <c r="C808" s="279" t="s">
        <v>4</v>
      </c>
      <c r="D808" s="279" t="s">
        <v>243</v>
      </c>
      <c r="E808" s="279" t="s">
        <v>244</v>
      </c>
      <c r="F808" s="279" t="s">
        <v>245</v>
      </c>
      <c r="G808" s="279" t="s">
        <v>246</v>
      </c>
    </row>
    <row r="809" spans="1:7" s="31" customFormat="1" ht="40">
      <c r="A809" s="280">
        <v>91629</v>
      </c>
      <c r="B809" s="281" t="s">
        <v>427</v>
      </c>
      <c r="C809" s="282" t="s">
        <v>26</v>
      </c>
      <c r="D809" s="282" t="s">
        <v>265</v>
      </c>
      <c r="E809" s="298">
        <v>1</v>
      </c>
      <c r="F809" s="283">
        <f>_xlfn.XLOOKUP(A809,COMP_AUX!$F$13:$F$1400,COMP_AUX!$G$13:$G$1400,_xlfn.XLOOKUP(A809,CUSTO_INSU!$A$12:$A$201,CUSTO_INSU!$G$12:$G$201))</f>
        <v>21.97</v>
      </c>
      <c r="G809" s="283">
        <f>TRUNC(TRUNC(E809,8)*F809,2)</f>
        <v>21.97</v>
      </c>
    </row>
    <row r="810" spans="1:7" s="31" customFormat="1" ht="40">
      <c r="A810" s="280">
        <v>91631</v>
      </c>
      <c r="B810" s="281" t="s">
        <v>429</v>
      </c>
      <c r="C810" s="282" t="s">
        <v>26</v>
      </c>
      <c r="D810" s="282" t="s">
        <v>265</v>
      </c>
      <c r="E810" s="298">
        <v>1</v>
      </c>
      <c r="F810" s="283">
        <f>_xlfn.XLOOKUP(A810,COMP_AUX!$F$13:$F$1400,COMP_AUX!$G$13:$G$1400,_xlfn.XLOOKUP(A810,CUSTO_INSU!$A$12:$A$201,CUSTO_INSU!$G$12:$G$201))</f>
        <v>3.3</v>
      </c>
      <c r="G810" s="283">
        <f>TRUNC(TRUNC(E810,8)*F810,2)</f>
        <v>3.3</v>
      </c>
    </row>
    <row r="811" spans="1:7" s="31" customFormat="1" ht="40">
      <c r="A811" s="280">
        <v>91630</v>
      </c>
      <c r="B811" s="281" t="s">
        <v>431</v>
      </c>
      <c r="C811" s="282" t="s">
        <v>26</v>
      </c>
      <c r="D811" s="282" t="s">
        <v>265</v>
      </c>
      <c r="E811" s="298">
        <v>1</v>
      </c>
      <c r="F811" s="283">
        <f>_xlfn.XLOOKUP(A811,COMP_AUX!$F$13:$F$1400,COMP_AUX!$G$13:$G$1400,_xlfn.XLOOKUP(A811,CUSTO_INSU!$A$12:$A$201,CUSTO_INSU!$G$12:$G$201))</f>
        <v>8.18</v>
      </c>
      <c r="G811" s="283">
        <f>TRUNC(TRUNC(E811,8)*F811,2)</f>
        <v>8.18</v>
      </c>
    </row>
    <row r="812" spans="1:7" s="31" customFormat="1" ht="40">
      <c r="A812" s="280">
        <v>91632</v>
      </c>
      <c r="B812" s="281" t="s">
        <v>433</v>
      </c>
      <c r="C812" s="282" t="s">
        <v>26</v>
      </c>
      <c r="D812" s="282" t="s">
        <v>265</v>
      </c>
      <c r="E812" s="298">
        <v>1</v>
      </c>
      <c r="F812" s="283">
        <f>_xlfn.XLOOKUP(A812,COMP_AUX!$F$13:$F$1400,COMP_AUX!$G$13:$G$1400,_xlfn.XLOOKUP(A812,CUSTO_INSU!$A$12:$A$201,CUSTO_INSU!$G$12:$G$201))</f>
        <v>37.69</v>
      </c>
      <c r="G812" s="283">
        <f>TRUNC(TRUNC(E812,8)*F812,2)</f>
        <v>37.69</v>
      </c>
    </row>
    <row r="813" spans="1:7" s="31" customFormat="1" ht="40">
      <c r="A813" s="280">
        <v>91633</v>
      </c>
      <c r="B813" s="281" t="s">
        <v>435</v>
      </c>
      <c r="C813" s="282" t="s">
        <v>26</v>
      </c>
      <c r="D813" s="282" t="s">
        <v>265</v>
      </c>
      <c r="E813" s="298">
        <v>1</v>
      </c>
      <c r="F813" s="283">
        <f>_xlfn.XLOOKUP(A813,COMP_AUX!$F$13:$F$1400,COMP_AUX!$G$13:$G$1400,_xlfn.XLOOKUP(A813,CUSTO_INSU!$A$12:$A$201,CUSTO_INSU!$G$12:$G$201))</f>
        <v>140.69999999999999</v>
      </c>
      <c r="G813" s="283">
        <f>TRUNC(TRUNC(E813,8)*F813,2)</f>
        <v>140.69999999999999</v>
      </c>
    </row>
    <row r="814" spans="1:7" s="31" customFormat="1" ht="21">
      <c r="A814" s="284"/>
      <c r="B814" s="32"/>
      <c r="C814" s="32"/>
      <c r="D814" s="32"/>
      <c r="E814" s="285" t="s">
        <v>254</v>
      </c>
      <c r="F814" s="285"/>
      <c r="G814" s="286">
        <f>SUM(G809:G813)</f>
        <v>211.83999999999997</v>
      </c>
    </row>
    <row r="815" spans="1:7" s="31" customFormat="1" ht="10.5">
      <c r="A815" s="284"/>
      <c r="B815" s="32"/>
      <c r="C815" s="32"/>
      <c r="D815" s="32"/>
      <c r="E815" s="287" t="s">
        <v>255</v>
      </c>
      <c r="F815" s="287">
        <f>A804</f>
        <v>91634</v>
      </c>
      <c r="G815" s="288">
        <f>SUM(G814,G807)</f>
        <v>239.79999999999998</v>
      </c>
    </row>
    <row r="816" spans="1:7" s="31" customFormat="1" ht="10">
      <c r="A816" s="284"/>
      <c r="B816" s="32"/>
      <c r="C816" s="32"/>
      <c r="D816" s="32"/>
      <c r="E816" s="289"/>
      <c r="F816" s="289"/>
      <c r="G816" s="289"/>
    </row>
    <row r="817" spans="1:7" s="31" customFormat="1" ht="21">
      <c r="A817" s="275">
        <v>97637</v>
      </c>
      <c r="B817" s="276" t="s">
        <v>953</v>
      </c>
      <c r="C817" s="276"/>
      <c r="D817" s="276"/>
      <c r="E817" s="276"/>
      <c r="F817" s="276"/>
      <c r="G817" s="276"/>
    </row>
    <row r="818" spans="1:7" s="31" customFormat="1" ht="21">
      <c r="A818" s="277" t="s">
        <v>242</v>
      </c>
      <c r="B818" s="278"/>
      <c r="C818" s="279" t="s">
        <v>4</v>
      </c>
      <c r="D818" s="279" t="s">
        <v>243</v>
      </c>
      <c r="E818" s="279" t="s">
        <v>244</v>
      </c>
      <c r="F818" s="279" t="s">
        <v>245</v>
      </c>
      <c r="G818" s="279" t="s">
        <v>246</v>
      </c>
    </row>
    <row r="819" spans="1:7" s="31" customFormat="1" ht="20">
      <c r="A819" s="280">
        <v>88278</v>
      </c>
      <c r="B819" s="281" t="s">
        <v>319</v>
      </c>
      <c r="C819" s="282" t="s">
        <v>26</v>
      </c>
      <c r="D819" s="282" t="s">
        <v>265</v>
      </c>
      <c r="E819" s="298">
        <v>3.3700000000000001E-2</v>
      </c>
      <c r="F819" s="283">
        <f>_xlfn.XLOOKUP(A819,COMP_AUX!$F$13:$F$1400,COMP_AUX!$G$13:$G$1400,_xlfn.XLOOKUP(A819,CUSTO_INSU!$A$12:$A$201,CUSTO_INSU!$G$12:$G$201))</f>
        <v>19.080000000000002</v>
      </c>
      <c r="G819" s="283">
        <f>TRUNC(TRUNC(E819,8)*F819,2)</f>
        <v>0.64</v>
      </c>
    </row>
    <row r="820" spans="1:7" s="31" customFormat="1" ht="10">
      <c r="A820" s="280">
        <v>88316</v>
      </c>
      <c r="B820" s="281" t="s">
        <v>275</v>
      </c>
      <c r="C820" s="282" t="s">
        <v>26</v>
      </c>
      <c r="D820" s="282" t="s">
        <v>265</v>
      </c>
      <c r="E820" s="298">
        <v>9.5200000000000007E-2</v>
      </c>
      <c r="F820" s="283">
        <f>_xlfn.XLOOKUP(A820,COMP_AUX!$F$13:$F$1400,COMP_AUX!$G$13:$G$1400,_xlfn.XLOOKUP(A820,CUSTO_INSU!$A$12:$A$201,CUSTO_INSU!$G$12:$G$201))</f>
        <v>20.27</v>
      </c>
      <c r="G820" s="283">
        <f>TRUNC(TRUNC(E820,8)*F820,2)</f>
        <v>1.92</v>
      </c>
    </row>
    <row r="821" spans="1:7" s="31" customFormat="1" ht="10.5">
      <c r="A821" s="284"/>
      <c r="B821" s="32"/>
      <c r="C821" s="32"/>
      <c r="D821" s="32"/>
      <c r="E821" s="285" t="s">
        <v>1303</v>
      </c>
      <c r="F821" s="285"/>
      <c r="G821" s="286">
        <f>SUM(G819:G820)</f>
        <v>2.56</v>
      </c>
    </row>
    <row r="822" spans="1:7" s="31" customFormat="1" ht="10.5">
      <c r="A822" s="284"/>
      <c r="B822" s="32"/>
      <c r="C822" s="32"/>
      <c r="D822" s="32"/>
      <c r="E822" s="287" t="s">
        <v>255</v>
      </c>
      <c r="F822" s="287">
        <f>A817</f>
        <v>97637</v>
      </c>
      <c r="G822" s="288">
        <f>SUM(G821)</f>
        <v>2.56</v>
      </c>
    </row>
  </sheetData>
  <mergeCells count="30">
    <mergeCell ref="A790:C790"/>
    <mergeCell ref="A772:C772"/>
    <mergeCell ref="A765:C765"/>
    <mergeCell ref="A758:C758"/>
    <mergeCell ref="A740:C740"/>
    <mergeCell ref="A719:C719"/>
    <mergeCell ref="A697:C697"/>
    <mergeCell ref="A686:C686"/>
    <mergeCell ref="A634:C634"/>
    <mergeCell ref="A623:C623"/>
    <mergeCell ref="A612:C612"/>
    <mergeCell ref="A601:C601"/>
    <mergeCell ref="A536:C536"/>
    <mergeCell ref="A514:C514"/>
    <mergeCell ref="A196:C196"/>
    <mergeCell ref="A237:C237"/>
    <mergeCell ref="A319:C319"/>
    <mergeCell ref="A426:C426"/>
    <mergeCell ref="A437:C437"/>
    <mergeCell ref="A503:C503"/>
    <mergeCell ref="A492:C492"/>
    <mergeCell ref="A481:C481"/>
    <mergeCell ref="A470:C470"/>
    <mergeCell ref="A448:C448"/>
    <mergeCell ref="A459:C459"/>
    <mergeCell ref="A146:C146"/>
    <mergeCell ref="A157:C157"/>
    <mergeCell ref="A166:C166"/>
    <mergeCell ref="A177:C177"/>
    <mergeCell ref="A184:C184"/>
  </mergeCells>
  <conditionalFormatting sqref="E5:E9">
    <cfRule type="cellIs" dxfId="22" priority="2" operator="equal">
      <formula>0</formula>
    </cfRule>
  </conditionalFormatting>
  <conditionalFormatting sqref="F5:F9">
    <cfRule type="cellIs" dxfId="21" priority="1" operator="equal">
      <formula>0</formula>
    </cfRule>
  </conditionalFormatting>
  <pageMargins left="0.51181102362204722" right="0.51181102362204722" top="0.51181102362204722" bottom="0.70866141732283472" header="0" footer="0.19685039370078741"/>
  <pageSetup paperSize="9" scale="83" orientation="portrait" r:id="rId1"/>
  <headerFooter>
    <oddFooter>&amp;L&amp;9&amp;A&amp;R&amp;9Página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outlinePr summaryBelow="0"/>
  </sheetPr>
  <dimension ref="A1:G1392"/>
  <sheetViews>
    <sheetView view="pageBreakPreview" topLeftCell="A19" zoomScale="85" zoomScaleNormal="160" zoomScaleSheetLayoutView="85" workbookViewId="0">
      <selection activeCell="F1390" sqref="F1390"/>
    </sheetView>
  </sheetViews>
  <sheetFormatPr defaultColWidth="9.1640625" defaultRowHeight="14"/>
  <cols>
    <col min="1" max="1" width="10.83203125" style="248" customWidth="1"/>
    <col min="2" max="2" width="46.75" style="248" customWidth="1"/>
    <col min="3" max="3" width="9.4140625" style="248" customWidth="1"/>
    <col min="4" max="4" width="6.75" style="248" customWidth="1"/>
    <col min="5" max="5" width="10.75" style="248" customWidth="1"/>
    <col min="6" max="6" width="9" style="248" customWidth="1"/>
    <col min="7" max="7" width="10" style="248" customWidth="1"/>
    <col min="8" max="16384" width="9.1640625" style="248"/>
  </cols>
  <sheetData>
    <row r="1" spans="1:7" ht="50.15" customHeight="1">
      <c r="A1" s="7"/>
      <c r="B1" s="7"/>
      <c r="C1" s="7"/>
      <c r="D1" s="7"/>
      <c r="E1" s="7"/>
      <c r="F1" s="7"/>
      <c r="G1" s="7"/>
    </row>
    <row r="2" spans="1:7" ht="25" customHeight="1">
      <c r="A2" s="8" t="s">
        <v>1150</v>
      </c>
      <c r="B2" s="8"/>
      <c r="C2" s="8"/>
      <c r="D2" s="8"/>
      <c r="E2" s="8"/>
      <c r="F2" s="9"/>
      <c r="G2" s="9"/>
    </row>
    <row r="3" spans="1:7" ht="5.15" customHeight="1">
      <c r="A3" s="11"/>
      <c r="B3" s="11"/>
      <c r="C3" s="11"/>
      <c r="D3" s="11"/>
      <c r="E3" s="11"/>
      <c r="F3" s="12"/>
      <c r="G3" s="12"/>
    </row>
    <row r="4" spans="1:7">
      <c r="A4" s="14" t="s">
        <v>858</v>
      </c>
      <c r="B4" s="15" t="str">
        <f>RESUMO!B4</f>
        <v>MODERNIZAÇÃO DA SUBESTAÇÃO DE ENERGIA ELÉTRICA DA SEDE DA JUSTIÇA FEDERAL NA PARAIBA</v>
      </c>
      <c r="C4" s="15"/>
      <c r="D4" s="15"/>
      <c r="E4" s="15"/>
      <c r="F4" s="15"/>
      <c r="G4" s="249"/>
    </row>
    <row r="5" spans="1:7">
      <c r="A5" s="21" t="s">
        <v>863</v>
      </c>
      <c r="B5" s="44" t="str">
        <f>RESUMO!B5</f>
        <v>R3 - 15/04/2025</v>
      </c>
      <c r="C5" s="44"/>
      <c r="D5" s="17" t="s">
        <v>874</v>
      </c>
      <c r="E5" s="19"/>
      <c r="F5" s="17" t="s">
        <v>869</v>
      </c>
      <c r="G5" s="20">
        <f>RESUMO!$F$5</f>
        <v>45762</v>
      </c>
    </row>
    <row r="6" spans="1:7">
      <c r="A6" s="21" t="s">
        <v>859</v>
      </c>
      <c r="B6" s="44" t="str">
        <f>RESUMO!B6</f>
        <v>RUA JOÃO TEIXEIRA DE CARVALHO, 480, PEDRO GONDIM, JOÃO PESSOA/PB</v>
      </c>
      <c r="C6" s="44"/>
      <c r="D6" s="23" t="str">
        <f>RESUMO!$C$6</f>
        <v>SINAPI</v>
      </c>
      <c r="E6" s="24" t="str">
        <f>RESUMO!$D$6</f>
        <v>2025/02</v>
      </c>
      <c r="F6" s="21" t="s">
        <v>1308</v>
      </c>
      <c r="G6" s="24">
        <f>RESUMO!$F$6</f>
        <v>0.23530000000000001</v>
      </c>
    </row>
    <row r="7" spans="1:7">
      <c r="A7" s="21" t="s">
        <v>860</v>
      </c>
      <c r="B7" s="44" t="str">
        <f>RESUMO!B7</f>
        <v>JUSTIÇA FEDERAL NA PARAÍBA</v>
      </c>
      <c r="C7" s="44"/>
      <c r="D7" s="23" t="str">
        <f>RESUMO!$C$7</f>
        <v>SICRO</v>
      </c>
      <c r="E7" s="24" t="str">
        <f>RESUMO!$D$7</f>
        <v>2025/01</v>
      </c>
      <c r="F7" s="21" t="s">
        <v>870</v>
      </c>
      <c r="G7" s="24">
        <f>RESUMO!$F$7</f>
        <v>0.1527</v>
      </c>
    </row>
    <row r="8" spans="1:7">
      <c r="A8" s="21" t="s">
        <v>868</v>
      </c>
      <c r="B8" s="44" t="str">
        <f>RESUMO!B8</f>
        <v>MAYRTHON PAULO COSTA JUNIOR</v>
      </c>
      <c r="C8" s="44"/>
      <c r="D8" s="23" t="str">
        <f>RESUMO!$C$8</f>
        <v>-</v>
      </c>
      <c r="E8" s="24">
        <f>RESUMO!$D$8</f>
        <v>0</v>
      </c>
      <c r="F8" s="21" t="s">
        <v>871</v>
      </c>
      <c r="G8" s="24">
        <f>RESUMO!$F$8</f>
        <v>1.1359999999999999</v>
      </c>
    </row>
    <row r="9" spans="1:7">
      <c r="A9" s="25" t="s">
        <v>861</v>
      </c>
      <c r="B9" s="47" t="str">
        <f>RESUMO!B9</f>
        <v>ENGENHEIRO ELETRICISTA - CREA 060191712-0</v>
      </c>
      <c r="C9" s="47"/>
      <c r="D9" s="25" t="s">
        <v>863</v>
      </c>
      <c r="E9" s="27" t="str">
        <f>RESUMO!$D$9</f>
        <v>R3</v>
      </c>
      <c r="F9" s="25" t="s">
        <v>872</v>
      </c>
      <c r="G9" s="27">
        <f>RESUMO!$F$9</f>
        <v>0.6984999999999999</v>
      </c>
    </row>
    <row r="10" spans="1:7" ht="5.15" customHeight="1">
      <c r="A10" s="250"/>
      <c r="B10" s="251"/>
      <c r="C10" s="251"/>
      <c r="D10" s="251"/>
      <c r="E10" s="252"/>
      <c r="F10" s="252"/>
      <c r="G10" s="252"/>
    </row>
    <row r="11" spans="1:7" ht="21">
      <c r="A11" s="253">
        <v>97097</v>
      </c>
      <c r="B11" s="254" t="s">
        <v>1151</v>
      </c>
      <c r="C11" s="254"/>
      <c r="D11" s="254"/>
      <c r="E11" s="254"/>
      <c r="F11" s="254"/>
      <c r="G11" s="254"/>
    </row>
    <row r="12" spans="1:7" ht="21">
      <c r="A12" s="255" t="s">
        <v>260</v>
      </c>
      <c r="B12" s="256"/>
      <c r="C12" s="257" t="s">
        <v>4</v>
      </c>
      <c r="D12" s="257" t="s">
        <v>243</v>
      </c>
      <c r="E12" s="257" t="s">
        <v>244</v>
      </c>
      <c r="F12" s="257" t="s">
        <v>245</v>
      </c>
      <c r="G12" s="257" t="s">
        <v>246</v>
      </c>
    </row>
    <row r="13" spans="1:7" ht="20">
      <c r="A13" s="258" t="s">
        <v>958</v>
      </c>
      <c r="B13" s="259" t="s">
        <v>959</v>
      </c>
      <c r="C13" s="260" t="s">
        <v>26</v>
      </c>
      <c r="D13" s="260" t="s">
        <v>237</v>
      </c>
      <c r="E13" s="271">
        <v>7.0000000000000001E-3</v>
      </c>
      <c r="F13" s="301">
        <v>10.47</v>
      </c>
      <c r="G13" s="262">
        <f>TRUNC(TRUNC(E13,8)*F13,2)</f>
        <v>7.0000000000000007E-2</v>
      </c>
    </row>
    <row r="14" spans="1:7">
      <c r="A14" s="263"/>
      <c r="B14" s="264"/>
      <c r="C14" s="264"/>
      <c r="D14" s="264"/>
      <c r="E14" s="265" t="s">
        <v>1298</v>
      </c>
      <c r="F14" s="265"/>
      <c r="G14" s="266">
        <f>SUM(G13:G13)</f>
        <v>7.0000000000000007E-2</v>
      </c>
    </row>
    <row r="15" spans="1:7" ht="21">
      <c r="A15" s="255" t="s">
        <v>256</v>
      </c>
      <c r="B15" s="256"/>
      <c r="C15" s="257" t="s">
        <v>4</v>
      </c>
      <c r="D15" s="257" t="s">
        <v>243</v>
      </c>
      <c r="E15" s="257" t="s">
        <v>244</v>
      </c>
      <c r="F15" s="257" t="s">
        <v>245</v>
      </c>
      <c r="G15" s="257" t="s">
        <v>246</v>
      </c>
    </row>
    <row r="16" spans="1:7" ht="20">
      <c r="A16" s="258" t="s">
        <v>487</v>
      </c>
      <c r="B16" s="259" t="s">
        <v>488</v>
      </c>
      <c r="C16" s="260" t="s">
        <v>26</v>
      </c>
      <c r="D16" s="260" t="s">
        <v>83</v>
      </c>
      <c r="E16" s="271">
        <v>4</v>
      </c>
      <c r="F16" s="301">
        <v>12.5</v>
      </c>
      <c r="G16" s="262">
        <f>TRUNC(TRUNC(E16,8)*F16,2)</f>
        <v>50</v>
      </c>
    </row>
    <row r="17" spans="1:7" ht="21">
      <c r="A17" s="263"/>
      <c r="B17" s="264"/>
      <c r="C17" s="264"/>
      <c r="D17" s="264"/>
      <c r="E17" s="265" t="s">
        <v>259</v>
      </c>
      <c r="F17" s="265"/>
      <c r="G17" s="266">
        <f>SUM(G16:G16)</f>
        <v>50</v>
      </c>
    </row>
    <row r="18" spans="1:7" ht="21">
      <c r="A18" s="255" t="s">
        <v>242</v>
      </c>
      <c r="B18" s="256"/>
      <c r="C18" s="257" t="s">
        <v>4</v>
      </c>
      <c r="D18" s="257" t="s">
        <v>243</v>
      </c>
      <c r="E18" s="257" t="s">
        <v>244</v>
      </c>
      <c r="F18" s="257" t="s">
        <v>245</v>
      </c>
      <c r="G18" s="257" t="s">
        <v>246</v>
      </c>
    </row>
    <row r="19" spans="1:7">
      <c r="A19" s="258" t="s">
        <v>285</v>
      </c>
      <c r="B19" s="259" t="s">
        <v>286</v>
      </c>
      <c r="C19" s="260" t="s">
        <v>26</v>
      </c>
      <c r="D19" s="260" t="s">
        <v>265</v>
      </c>
      <c r="E19" s="271">
        <v>8.7999999999999995E-2</v>
      </c>
      <c r="F19" s="301">
        <v>25.21</v>
      </c>
      <c r="G19" s="262">
        <f>TRUNC(TRUNC(E19,8)*F19,2)</f>
        <v>2.21</v>
      </c>
    </row>
    <row r="20" spans="1:7">
      <c r="A20" s="263"/>
      <c r="B20" s="264"/>
      <c r="C20" s="264"/>
      <c r="D20" s="264"/>
      <c r="E20" s="265" t="s">
        <v>1299</v>
      </c>
      <c r="F20" s="265"/>
      <c r="G20" s="266">
        <f>SUM(G19:G19)</f>
        <v>2.21</v>
      </c>
    </row>
    <row r="21" spans="1:7">
      <c r="A21" s="263"/>
      <c r="B21" s="264"/>
      <c r="C21" s="264"/>
      <c r="D21" s="264"/>
      <c r="E21" s="267" t="s">
        <v>255</v>
      </c>
      <c r="F21" s="267">
        <f>A11</f>
        <v>97097</v>
      </c>
      <c r="G21" s="268">
        <f>SUM(G14,G17,G20)</f>
        <v>52.28</v>
      </c>
    </row>
    <row r="22" spans="1:7">
      <c r="A22" s="263"/>
      <c r="B22" s="264"/>
      <c r="C22" s="264"/>
      <c r="D22" s="264"/>
      <c r="E22" s="269"/>
      <c r="F22" s="269"/>
      <c r="G22" s="269"/>
    </row>
    <row r="23" spans="1:7">
      <c r="A23" s="253">
        <v>88238</v>
      </c>
      <c r="B23" s="254" t="s">
        <v>1152</v>
      </c>
      <c r="C23" s="254"/>
      <c r="D23" s="254"/>
      <c r="E23" s="254"/>
      <c r="F23" s="254"/>
      <c r="G23" s="254"/>
    </row>
    <row r="24" spans="1:7" ht="21">
      <c r="A24" s="255" t="s">
        <v>462</v>
      </c>
      <c r="B24" s="256"/>
      <c r="C24" s="257" t="s">
        <v>4</v>
      </c>
      <c r="D24" s="257" t="s">
        <v>243</v>
      </c>
      <c r="E24" s="257" t="s">
        <v>244</v>
      </c>
      <c r="F24" s="257" t="s">
        <v>245</v>
      </c>
      <c r="G24" s="257" t="s">
        <v>246</v>
      </c>
    </row>
    <row r="25" spans="1:7" ht="20">
      <c r="A25" s="258" t="s">
        <v>467</v>
      </c>
      <c r="B25" s="259" t="s">
        <v>468</v>
      </c>
      <c r="C25" s="260" t="s">
        <v>26</v>
      </c>
      <c r="D25" s="260" t="s">
        <v>265</v>
      </c>
      <c r="E25" s="271">
        <v>1</v>
      </c>
      <c r="F25" s="301">
        <v>0.92</v>
      </c>
      <c r="G25" s="262">
        <f t="shared" ref="G25:G30" si="0">TRUNC(TRUNC(E25,8)*F25,2)</f>
        <v>0.92</v>
      </c>
    </row>
    <row r="26" spans="1:7" ht="20">
      <c r="A26" s="258" t="s">
        <v>530</v>
      </c>
      <c r="B26" s="259" t="s">
        <v>531</v>
      </c>
      <c r="C26" s="260" t="s">
        <v>26</v>
      </c>
      <c r="D26" s="260" t="s">
        <v>265</v>
      </c>
      <c r="E26" s="271">
        <v>1</v>
      </c>
      <c r="F26" s="301">
        <v>1.31</v>
      </c>
      <c r="G26" s="262">
        <f t="shared" si="0"/>
        <v>1.31</v>
      </c>
    </row>
    <row r="27" spans="1:7" ht="20">
      <c r="A27" s="258" t="s">
        <v>460</v>
      </c>
      <c r="B27" s="259" t="s">
        <v>461</v>
      </c>
      <c r="C27" s="260" t="s">
        <v>26</v>
      </c>
      <c r="D27" s="260" t="s">
        <v>265</v>
      </c>
      <c r="E27" s="271">
        <v>1</v>
      </c>
      <c r="F27" s="301">
        <v>1.43</v>
      </c>
      <c r="G27" s="262">
        <f t="shared" si="0"/>
        <v>1.43</v>
      </c>
    </row>
    <row r="28" spans="1:7" ht="20">
      <c r="A28" s="258" t="s">
        <v>538</v>
      </c>
      <c r="B28" s="259" t="s">
        <v>539</v>
      </c>
      <c r="C28" s="260" t="s">
        <v>26</v>
      </c>
      <c r="D28" s="260" t="s">
        <v>265</v>
      </c>
      <c r="E28" s="271">
        <v>1</v>
      </c>
      <c r="F28" s="301">
        <v>0.78</v>
      </c>
      <c r="G28" s="262">
        <f t="shared" si="0"/>
        <v>0.78</v>
      </c>
    </row>
    <row r="29" spans="1:7" ht="20">
      <c r="A29" s="258" t="s">
        <v>570</v>
      </c>
      <c r="B29" s="259" t="s">
        <v>571</v>
      </c>
      <c r="C29" s="260" t="s">
        <v>26</v>
      </c>
      <c r="D29" s="260" t="s">
        <v>265</v>
      </c>
      <c r="E29" s="271">
        <v>1</v>
      </c>
      <c r="F29" s="301">
        <v>0.08</v>
      </c>
      <c r="G29" s="262">
        <f t="shared" si="0"/>
        <v>0.08</v>
      </c>
    </row>
    <row r="30" spans="1:7" ht="20">
      <c r="A30" s="258" t="s">
        <v>473</v>
      </c>
      <c r="B30" s="259" t="s">
        <v>474</v>
      </c>
      <c r="C30" s="260" t="s">
        <v>26</v>
      </c>
      <c r="D30" s="260" t="s">
        <v>265</v>
      </c>
      <c r="E30" s="271">
        <v>1</v>
      </c>
      <c r="F30" s="301">
        <v>0.8</v>
      </c>
      <c r="G30" s="262">
        <f t="shared" si="0"/>
        <v>0.8</v>
      </c>
    </row>
    <row r="31" spans="1:7" ht="21">
      <c r="A31" s="263"/>
      <c r="B31" s="264"/>
      <c r="C31" s="264"/>
      <c r="D31" s="264"/>
      <c r="E31" s="265" t="s">
        <v>1302</v>
      </c>
      <c r="F31" s="265"/>
      <c r="G31" s="266">
        <f>SUM(G25:G30)</f>
        <v>5.32</v>
      </c>
    </row>
    <row r="32" spans="1:7" ht="21">
      <c r="A32" s="255" t="s">
        <v>447</v>
      </c>
      <c r="B32" s="256"/>
      <c r="C32" s="257" t="s">
        <v>4</v>
      </c>
      <c r="D32" s="257" t="s">
        <v>243</v>
      </c>
      <c r="E32" s="257" t="s">
        <v>244</v>
      </c>
      <c r="F32" s="257" t="s">
        <v>245</v>
      </c>
      <c r="G32" s="257" t="s">
        <v>246</v>
      </c>
    </row>
    <row r="33" spans="1:7">
      <c r="A33" s="258" t="s">
        <v>594</v>
      </c>
      <c r="B33" s="259" t="s">
        <v>595</v>
      </c>
      <c r="C33" s="260" t="s">
        <v>26</v>
      </c>
      <c r="D33" s="260" t="s">
        <v>265</v>
      </c>
      <c r="E33" s="271">
        <v>1</v>
      </c>
      <c r="F33" s="301">
        <v>15.57</v>
      </c>
      <c r="G33" s="262">
        <f>TRUNC(TRUNC(E33,8)*F33,2)</f>
        <v>15.57</v>
      </c>
    </row>
    <row r="34" spans="1:7">
      <c r="A34" s="263"/>
      <c r="B34" s="264"/>
      <c r="C34" s="264"/>
      <c r="D34" s="264"/>
      <c r="E34" s="265" t="s">
        <v>1303</v>
      </c>
      <c r="F34" s="265"/>
      <c r="G34" s="266">
        <f>SUM(G33:G33)</f>
        <v>15.57</v>
      </c>
    </row>
    <row r="35" spans="1:7" ht="21">
      <c r="A35" s="255" t="s">
        <v>250</v>
      </c>
      <c r="B35" s="256"/>
      <c r="C35" s="257" t="s">
        <v>4</v>
      </c>
      <c r="D35" s="257" t="s">
        <v>243</v>
      </c>
      <c r="E35" s="257" t="s">
        <v>244</v>
      </c>
      <c r="F35" s="257" t="s">
        <v>245</v>
      </c>
      <c r="G35" s="257" t="s">
        <v>246</v>
      </c>
    </row>
    <row r="36" spans="1:7" ht="20">
      <c r="A36" s="258" t="s">
        <v>960</v>
      </c>
      <c r="B36" s="259" t="s">
        <v>961</v>
      </c>
      <c r="C36" s="260" t="s">
        <v>26</v>
      </c>
      <c r="D36" s="260" t="s">
        <v>265</v>
      </c>
      <c r="E36" s="271">
        <v>1</v>
      </c>
      <c r="F36" s="301">
        <v>0.17</v>
      </c>
      <c r="G36" s="262">
        <f>TRUNC(TRUNC(E36,8)*F36,2)</f>
        <v>0.17</v>
      </c>
    </row>
    <row r="37" spans="1:7">
      <c r="A37" s="263"/>
      <c r="B37" s="264"/>
      <c r="C37" s="264"/>
      <c r="D37" s="264"/>
      <c r="E37" s="265" t="s">
        <v>1301</v>
      </c>
      <c r="F37" s="265"/>
      <c r="G37" s="266">
        <f>SUM(G36:G36)</f>
        <v>0.17</v>
      </c>
    </row>
    <row r="38" spans="1:7">
      <c r="A38" s="263"/>
      <c r="B38" s="264"/>
      <c r="C38" s="264"/>
      <c r="D38" s="264"/>
      <c r="E38" s="267" t="s">
        <v>255</v>
      </c>
      <c r="F38" s="267">
        <f>A23</f>
        <v>88238</v>
      </c>
      <c r="G38" s="268">
        <f>SUM(G31,G34,G37)</f>
        <v>21.060000000000002</v>
      </c>
    </row>
    <row r="39" spans="1:7">
      <c r="A39" s="263"/>
      <c r="B39" s="264"/>
      <c r="C39" s="264"/>
      <c r="D39" s="264"/>
      <c r="E39" s="269"/>
      <c r="F39" s="269"/>
      <c r="G39" s="269"/>
    </row>
    <row r="40" spans="1:7" ht="21">
      <c r="A40" s="253">
        <v>88239</v>
      </c>
      <c r="B40" s="254" t="s">
        <v>1153</v>
      </c>
      <c r="C40" s="254"/>
      <c r="D40" s="254"/>
      <c r="E40" s="254"/>
      <c r="F40" s="254"/>
      <c r="G40" s="254"/>
    </row>
    <row r="41" spans="1:7" ht="21">
      <c r="A41" s="255" t="s">
        <v>462</v>
      </c>
      <c r="B41" s="256"/>
      <c r="C41" s="257" t="s">
        <v>4</v>
      </c>
      <c r="D41" s="257" t="s">
        <v>243</v>
      </c>
      <c r="E41" s="257" t="s">
        <v>244</v>
      </c>
      <c r="F41" s="257" t="s">
        <v>245</v>
      </c>
      <c r="G41" s="257" t="s">
        <v>246</v>
      </c>
    </row>
    <row r="42" spans="1:7" ht="20">
      <c r="A42" s="258" t="s">
        <v>467</v>
      </c>
      <c r="B42" s="259" t="s">
        <v>468</v>
      </c>
      <c r="C42" s="260" t="s">
        <v>26</v>
      </c>
      <c r="D42" s="260" t="s">
        <v>265</v>
      </c>
      <c r="E42" s="271">
        <v>1</v>
      </c>
      <c r="F42" s="301">
        <v>0.92</v>
      </c>
      <c r="G42" s="262">
        <f t="shared" ref="G42:G47" si="1">TRUNC(TRUNC(E42,8)*F42,2)</f>
        <v>0.92</v>
      </c>
    </row>
    <row r="43" spans="1:7" ht="20">
      <c r="A43" s="258" t="s">
        <v>534</v>
      </c>
      <c r="B43" s="259" t="s">
        <v>535</v>
      </c>
      <c r="C43" s="260" t="s">
        <v>26</v>
      </c>
      <c r="D43" s="260" t="s">
        <v>265</v>
      </c>
      <c r="E43" s="271">
        <v>1</v>
      </c>
      <c r="F43" s="301">
        <v>1.43</v>
      </c>
      <c r="G43" s="262">
        <f t="shared" si="1"/>
        <v>1.43</v>
      </c>
    </row>
    <row r="44" spans="1:7" ht="20">
      <c r="A44" s="258" t="s">
        <v>460</v>
      </c>
      <c r="B44" s="259" t="s">
        <v>461</v>
      </c>
      <c r="C44" s="260" t="s">
        <v>26</v>
      </c>
      <c r="D44" s="260" t="s">
        <v>265</v>
      </c>
      <c r="E44" s="271">
        <v>1</v>
      </c>
      <c r="F44" s="301">
        <v>1.43</v>
      </c>
      <c r="G44" s="262">
        <f t="shared" si="1"/>
        <v>1.43</v>
      </c>
    </row>
    <row r="45" spans="1:7" ht="20">
      <c r="A45" s="258" t="s">
        <v>556</v>
      </c>
      <c r="B45" s="259" t="s">
        <v>557</v>
      </c>
      <c r="C45" s="260" t="s">
        <v>26</v>
      </c>
      <c r="D45" s="260" t="s">
        <v>265</v>
      </c>
      <c r="E45" s="271">
        <v>1</v>
      </c>
      <c r="F45" s="301">
        <v>0.44</v>
      </c>
      <c r="G45" s="262">
        <f t="shared" si="1"/>
        <v>0.44</v>
      </c>
    </row>
    <row r="46" spans="1:7" ht="20">
      <c r="A46" s="258" t="s">
        <v>570</v>
      </c>
      <c r="B46" s="259" t="s">
        <v>571</v>
      </c>
      <c r="C46" s="260" t="s">
        <v>26</v>
      </c>
      <c r="D46" s="260" t="s">
        <v>265</v>
      </c>
      <c r="E46" s="271">
        <v>1</v>
      </c>
      <c r="F46" s="301">
        <v>0.08</v>
      </c>
      <c r="G46" s="262">
        <f t="shared" si="1"/>
        <v>0.08</v>
      </c>
    </row>
    <row r="47" spans="1:7" ht="20">
      <c r="A47" s="258" t="s">
        <v>473</v>
      </c>
      <c r="B47" s="259" t="s">
        <v>474</v>
      </c>
      <c r="C47" s="260" t="s">
        <v>26</v>
      </c>
      <c r="D47" s="260" t="s">
        <v>265</v>
      </c>
      <c r="E47" s="271">
        <v>1</v>
      </c>
      <c r="F47" s="301">
        <v>0.8</v>
      </c>
      <c r="G47" s="262">
        <f t="shared" si="1"/>
        <v>0.8</v>
      </c>
    </row>
    <row r="48" spans="1:7" ht="21">
      <c r="A48" s="263"/>
      <c r="B48" s="264"/>
      <c r="C48" s="264"/>
      <c r="D48" s="264"/>
      <c r="E48" s="265" t="s">
        <v>1302</v>
      </c>
      <c r="F48" s="265"/>
      <c r="G48" s="266">
        <f>SUM(G42:G47)</f>
        <v>5.1000000000000005</v>
      </c>
    </row>
    <row r="49" spans="1:7" ht="21">
      <c r="A49" s="255" t="s">
        <v>447</v>
      </c>
      <c r="B49" s="256"/>
      <c r="C49" s="257" t="s">
        <v>4</v>
      </c>
      <c r="D49" s="257" t="s">
        <v>243</v>
      </c>
      <c r="E49" s="257" t="s">
        <v>244</v>
      </c>
      <c r="F49" s="257" t="s">
        <v>245</v>
      </c>
      <c r="G49" s="257" t="s">
        <v>246</v>
      </c>
    </row>
    <row r="50" spans="1:7">
      <c r="A50" s="258" t="s">
        <v>501</v>
      </c>
      <c r="B50" s="259" t="s">
        <v>502</v>
      </c>
      <c r="C50" s="260" t="s">
        <v>26</v>
      </c>
      <c r="D50" s="260" t="s">
        <v>265</v>
      </c>
      <c r="E50" s="271">
        <v>1</v>
      </c>
      <c r="F50" s="301">
        <v>15.57</v>
      </c>
      <c r="G50" s="262">
        <f>TRUNC(TRUNC(E50,8)*F50,2)</f>
        <v>15.57</v>
      </c>
    </row>
    <row r="51" spans="1:7">
      <c r="A51" s="263"/>
      <c r="B51" s="264"/>
      <c r="C51" s="264"/>
      <c r="D51" s="264"/>
      <c r="E51" s="265" t="s">
        <v>1303</v>
      </c>
      <c r="F51" s="265"/>
      <c r="G51" s="266">
        <f>SUM(G50:G50)</f>
        <v>15.57</v>
      </c>
    </row>
    <row r="52" spans="1:7" ht="21">
      <c r="A52" s="255" t="s">
        <v>250</v>
      </c>
      <c r="B52" s="256"/>
      <c r="C52" s="257" t="s">
        <v>4</v>
      </c>
      <c r="D52" s="257" t="s">
        <v>243</v>
      </c>
      <c r="E52" s="257" t="s">
        <v>244</v>
      </c>
      <c r="F52" s="257" t="s">
        <v>245</v>
      </c>
      <c r="G52" s="257" t="s">
        <v>246</v>
      </c>
    </row>
    <row r="53" spans="1:7" ht="20">
      <c r="A53" s="258" t="s">
        <v>962</v>
      </c>
      <c r="B53" s="259" t="s">
        <v>963</v>
      </c>
      <c r="C53" s="260" t="s">
        <v>26</v>
      </c>
      <c r="D53" s="260" t="s">
        <v>265</v>
      </c>
      <c r="E53" s="271">
        <v>1</v>
      </c>
      <c r="F53" s="301">
        <v>0.22</v>
      </c>
      <c r="G53" s="262">
        <f>TRUNC(TRUNC(E53,8)*F53,2)</f>
        <v>0.22</v>
      </c>
    </row>
    <row r="54" spans="1:7">
      <c r="A54" s="263"/>
      <c r="B54" s="264"/>
      <c r="C54" s="264"/>
      <c r="D54" s="264"/>
      <c r="E54" s="265" t="s">
        <v>1301</v>
      </c>
      <c r="F54" s="265"/>
      <c r="G54" s="266">
        <f>SUM(G53:G53)</f>
        <v>0.22</v>
      </c>
    </row>
    <row r="55" spans="1:7">
      <c r="A55" s="263"/>
      <c r="B55" s="264"/>
      <c r="C55" s="264"/>
      <c r="D55" s="264"/>
      <c r="E55" s="267" t="s">
        <v>255</v>
      </c>
      <c r="F55" s="267">
        <f>A40</f>
        <v>88239</v>
      </c>
      <c r="G55" s="268">
        <f>SUM(G48,G51,G54)</f>
        <v>20.89</v>
      </c>
    </row>
    <row r="56" spans="1:7">
      <c r="A56" s="263"/>
      <c r="B56" s="264"/>
      <c r="C56" s="264"/>
      <c r="D56" s="264"/>
      <c r="E56" s="269"/>
      <c r="F56" s="269"/>
      <c r="G56" s="269"/>
    </row>
    <row r="57" spans="1:7" ht="21">
      <c r="A57" s="253">
        <v>88240</v>
      </c>
      <c r="B57" s="254" t="s">
        <v>1154</v>
      </c>
      <c r="C57" s="254"/>
      <c r="D57" s="254"/>
      <c r="E57" s="254"/>
      <c r="F57" s="254"/>
      <c r="G57" s="254"/>
    </row>
    <row r="58" spans="1:7" ht="21">
      <c r="A58" s="255" t="s">
        <v>462</v>
      </c>
      <c r="B58" s="256"/>
      <c r="C58" s="257" t="s">
        <v>4</v>
      </c>
      <c r="D58" s="257" t="s">
        <v>243</v>
      </c>
      <c r="E58" s="257" t="s">
        <v>244</v>
      </c>
      <c r="F58" s="257" t="s">
        <v>245</v>
      </c>
      <c r="G58" s="257" t="s">
        <v>246</v>
      </c>
    </row>
    <row r="59" spans="1:7" ht="20">
      <c r="A59" s="258" t="s">
        <v>467</v>
      </c>
      <c r="B59" s="259" t="s">
        <v>468</v>
      </c>
      <c r="C59" s="260" t="s">
        <v>26</v>
      </c>
      <c r="D59" s="260" t="s">
        <v>265</v>
      </c>
      <c r="E59" s="271">
        <v>1</v>
      </c>
      <c r="F59" s="301">
        <v>0.92</v>
      </c>
      <c r="G59" s="262">
        <f t="shared" ref="G59:G64" si="2">TRUNC(TRUNC(E59,8)*F59,2)</f>
        <v>0.92</v>
      </c>
    </row>
    <row r="60" spans="1:7" ht="20">
      <c r="A60" s="258" t="s">
        <v>546</v>
      </c>
      <c r="B60" s="259" t="s">
        <v>547</v>
      </c>
      <c r="C60" s="260" t="s">
        <v>26</v>
      </c>
      <c r="D60" s="260" t="s">
        <v>265</v>
      </c>
      <c r="E60" s="271">
        <v>1</v>
      </c>
      <c r="F60" s="301">
        <v>0.89</v>
      </c>
      <c r="G60" s="262">
        <f t="shared" si="2"/>
        <v>0.89</v>
      </c>
    </row>
    <row r="61" spans="1:7" ht="20">
      <c r="A61" s="258" t="s">
        <v>460</v>
      </c>
      <c r="B61" s="259" t="s">
        <v>461</v>
      </c>
      <c r="C61" s="260" t="s">
        <v>26</v>
      </c>
      <c r="D61" s="260" t="s">
        <v>265</v>
      </c>
      <c r="E61" s="271">
        <v>1</v>
      </c>
      <c r="F61" s="301">
        <v>1.43</v>
      </c>
      <c r="G61" s="262">
        <f t="shared" si="2"/>
        <v>1.43</v>
      </c>
    </row>
    <row r="62" spans="1:7" ht="20">
      <c r="A62" s="258" t="s">
        <v>618</v>
      </c>
      <c r="B62" s="259" t="s">
        <v>619</v>
      </c>
      <c r="C62" s="260" t="s">
        <v>26</v>
      </c>
      <c r="D62" s="260" t="s">
        <v>265</v>
      </c>
      <c r="E62" s="271">
        <v>1</v>
      </c>
      <c r="F62" s="301">
        <v>0.01</v>
      </c>
      <c r="G62" s="262">
        <f t="shared" si="2"/>
        <v>0.01</v>
      </c>
    </row>
    <row r="63" spans="1:7" ht="20">
      <c r="A63" s="258" t="s">
        <v>570</v>
      </c>
      <c r="B63" s="259" t="s">
        <v>571</v>
      </c>
      <c r="C63" s="260" t="s">
        <v>26</v>
      </c>
      <c r="D63" s="260" t="s">
        <v>265</v>
      </c>
      <c r="E63" s="271">
        <v>1</v>
      </c>
      <c r="F63" s="301">
        <v>0.08</v>
      </c>
      <c r="G63" s="262">
        <f t="shared" si="2"/>
        <v>0.08</v>
      </c>
    </row>
    <row r="64" spans="1:7" ht="20">
      <c r="A64" s="258" t="s">
        <v>473</v>
      </c>
      <c r="B64" s="259" t="s">
        <v>474</v>
      </c>
      <c r="C64" s="260" t="s">
        <v>26</v>
      </c>
      <c r="D64" s="260" t="s">
        <v>265</v>
      </c>
      <c r="E64" s="271">
        <v>1</v>
      </c>
      <c r="F64" s="301">
        <v>0.8</v>
      </c>
      <c r="G64" s="262">
        <f t="shared" si="2"/>
        <v>0.8</v>
      </c>
    </row>
    <row r="65" spans="1:7" ht="21">
      <c r="A65" s="263"/>
      <c r="B65" s="264"/>
      <c r="C65" s="264"/>
      <c r="D65" s="264"/>
      <c r="E65" s="265" t="s">
        <v>1302</v>
      </c>
      <c r="F65" s="265"/>
      <c r="G65" s="266">
        <f>SUM(G59:G64)</f>
        <v>4.13</v>
      </c>
    </row>
    <row r="66" spans="1:7" ht="21">
      <c r="A66" s="255" t="s">
        <v>447</v>
      </c>
      <c r="B66" s="256"/>
      <c r="C66" s="257" t="s">
        <v>4</v>
      </c>
      <c r="D66" s="257" t="s">
        <v>243</v>
      </c>
      <c r="E66" s="257" t="s">
        <v>244</v>
      </c>
      <c r="F66" s="257" t="s">
        <v>245</v>
      </c>
      <c r="G66" s="257" t="s">
        <v>246</v>
      </c>
    </row>
    <row r="67" spans="1:7">
      <c r="A67" s="258" t="s">
        <v>568</v>
      </c>
      <c r="B67" s="259" t="s">
        <v>569</v>
      </c>
      <c r="C67" s="260" t="s">
        <v>26</v>
      </c>
      <c r="D67" s="260" t="s">
        <v>265</v>
      </c>
      <c r="E67" s="271">
        <v>1</v>
      </c>
      <c r="F67" s="301">
        <v>15.57</v>
      </c>
      <c r="G67" s="262">
        <f>TRUNC(TRUNC(E67,8)*F67,2)</f>
        <v>15.57</v>
      </c>
    </row>
    <row r="68" spans="1:7">
      <c r="A68" s="263"/>
      <c r="B68" s="264"/>
      <c r="C68" s="264"/>
      <c r="D68" s="264"/>
      <c r="E68" s="265" t="s">
        <v>1303</v>
      </c>
      <c r="F68" s="265"/>
      <c r="G68" s="266">
        <f>SUM(G67:G67)</f>
        <v>15.57</v>
      </c>
    </row>
    <row r="69" spans="1:7" ht="21">
      <c r="A69" s="255" t="s">
        <v>250</v>
      </c>
      <c r="B69" s="256"/>
      <c r="C69" s="257" t="s">
        <v>4</v>
      </c>
      <c r="D69" s="257" t="s">
        <v>243</v>
      </c>
      <c r="E69" s="257" t="s">
        <v>244</v>
      </c>
      <c r="F69" s="257" t="s">
        <v>245</v>
      </c>
      <c r="G69" s="257" t="s">
        <v>246</v>
      </c>
    </row>
    <row r="70" spans="1:7" ht="20">
      <c r="A70" s="258" t="s">
        <v>964</v>
      </c>
      <c r="B70" s="259" t="s">
        <v>965</v>
      </c>
      <c r="C70" s="260" t="s">
        <v>26</v>
      </c>
      <c r="D70" s="260" t="s">
        <v>265</v>
      </c>
      <c r="E70" s="271">
        <v>1</v>
      </c>
      <c r="F70" s="301">
        <v>0.17</v>
      </c>
      <c r="G70" s="262">
        <f>TRUNC(TRUNC(E70,8)*F70,2)</f>
        <v>0.17</v>
      </c>
    </row>
    <row r="71" spans="1:7">
      <c r="A71" s="263"/>
      <c r="B71" s="264"/>
      <c r="C71" s="264"/>
      <c r="D71" s="264"/>
      <c r="E71" s="265" t="s">
        <v>1301</v>
      </c>
      <c r="F71" s="265"/>
      <c r="G71" s="266">
        <f>SUM(G70:G70)</f>
        <v>0.17</v>
      </c>
    </row>
    <row r="72" spans="1:7">
      <c r="A72" s="263"/>
      <c r="B72" s="264"/>
      <c r="C72" s="264"/>
      <c r="D72" s="264"/>
      <c r="E72" s="267" t="s">
        <v>255</v>
      </c>
      <c r="F72" s="267">
        <f>A57</f>
        <v>88240</v>
      </c>
      <c r="G72" s="268">
        <f>SUM(G65,G68,G71)</f>
        <v>19.87</v>
      </c>
    </row>
    <row r="73" spans="1:7">
      <c r="A73" s="263"/>
      <c r="B73" s="264"/>
      <c r="C73" s="264"/>
      <c r="D73" s="264"/>
      <c r="E73" s="269"/>
      <c r="F73" s="269"/>
      <c r="G73" s="269"/>
    </row>
    <row r="74" spans="1:7">
      <c r="A74" s="253">
        <v>88245</v>
      </c>
      <c r="B74" s="254" t="s">
        <v>1155</v>
      </c>
      <c r="C74" s="254"/>
      <c r="D74" s="254"/>
      <c r="E74" s="254"/>
      <c r="F74" s="254"/>
      <c r="G74" s="254"/>
    </row>
    <row r="75" spans="1:7" ht="21">
      <c r="A75" s="255" t="s">
        <v>462</v>
      </c>
      <c r="B75" s="256"/>
      <c r="C75" s="257" t="s">
        <v>4</v>
      </c>
      <c r="D75" s="257" t="s">
        <v>243</v>
      </c>
      <c r="E75" s="257" t="s">
        <v>244</v>
      </c>
      <c r="F75" s="257" t="s">
        <v>245</v>
      </c>
      <c r="G75" s="257" t="s">
        <v>246</v>
      </c>
    </row>
    <row r="76" spans="1:7" ht="20">
      <c r="A76" s="258" t="s">
        <v>467</v>
      </c>
      <c r="B76" s="259" t="s">
        <v>468</v>
      </c>
      <c r="C76" s="260" t="s">
        <v>26</v>
      </c>
      <c r="D76" s="260" t="s">
        <v>265</v>
      </c>
      <c r="E76" s="271">
        <v>1</v>
      </c>
      <c r="F76" s="301">
        <v>0.92</v>
      </c>
      <c r="G76" s="262">
        <f t="shared" ref="G76:G81" si="3">TRUNC(TRUNC(E76,8)*F76,2)</f>
        <v>0.92</v>
      </c>
    </row>
    <row r="77" spans="1:7" ht="20">
      <c r="A77" s="258" t="s">
        <v>530</v>
      </c>
      <c r="B77" s="259" t="s">
        <v>531</v>
      </c>
      <c r="C77" s="260" t="s">
        <v>26</v>
      </c>
      <c r="D77" s="260" t="s">
        <v>265</v>
      </c>
      <c r="E77" s="271">
        <v>1</v>
      </c>
      <c r="F77" s="301">
        <v>1.31</v>
      </c>
      <c r="G77" s="262">
        <f t="shared" si="3"/>
        <v>1.31</v>
      </c>
    </row>
    <row r="78" spans="1:7" ht="20">
      <c r="A78" s="258" t="s">
        <v>460</v>
      </c>
      <c r="B78" s="259" t="s">
        <v>461</v>
      </c>
      <c r="C78" s="260" t="s">
        <v>26</v>
      </c>
      <c r="D78" s="260" t="s">
        <v>265</v>
      </c>
      <c r="E78" s="271">
        <v>1</v>
      </c>
      <c r="F78" s="301">
        <v>1.43</v>
      </c>
      <c r="G78" s="262">
        <f t="shared" si="3"/>
        <v>1.43</v>
      </c>
    </row>
    <row r="79" spans="1:7" ht="20">
      <c r="A79" s="258" t="s">
        <v>538</v>
      </c>
      <c r="B79" s="259" t="s">
        <v>539</v>
      </c>
      <c r="C79" s="260" t="s">
        <v>26</v>
      </c>
      <c r="D79" s="260" t="s">
        <v>265</v>
      </c>
      <c r="E79" s="271">
        <v>1</v>
      </c>
      <c r="F79" s="301">
        <v>0.78</v>
      </c>
      <c r="G79" s="262">
        <f t="shared" si="3"/>
        <v>0.78</v>
      </c>
    </row>
    <row r="80" spans="1:7" ht="20">
      <c r="A80" s="258" t="s">
        <v>570</v>
      </c>
      <c r="B80" s="259" t="s">
        <v>571</v>
      </c>
      <c r="C80" s="260" t="s">
        <v>26</v>
      </c>
      <c r="D80" s="260" t="s">
        <v>265</v>
      </c>
      <c r="E80" s="271">
        <v>1</v>
      </c>
      <c r="F80" s="301">
        <v>0.08</v>
      </c>
      <c r="G80" s="262">
        <f t="shared" si="3"/>
        <v>0.08</v>
      </c>
    </row>
    <row r="81" spans="1:7" ht="20">
      <c r="A81" s="258" t="s">
        <v>473</v>
      </c>
      <c r="B81" s="259" t="s">
        <v>474</v>
      </c>
      <c r="C81" s="260" t="s">
        <v>26</v>
      </c>
      <c r="D81" s="260" t="s">
        <v>265</v>
      </c>
      <c r="E81" s="271">
        <v>1</v>
      </c>
      <c r="F81" s="301">
        <v>0.8</v>
      </c>
      <c r="G81" s="262">
        <f t="shared" si="3"/>
        <v>0.8</v>
      </c>
    </row>
    <row r="82" spans="1:7" ht="21">
      <c r="A82" s="263"/>
      <c r="B82" s="264"/>
      <c r="C82" s="264"/>
      <c r="D82" s="264"/>
      <c r="E82" s="265" t="s">
        <v>1302</v>
      </c>
      <c r="F82" s="265"/>
      <c r="G82" s="266">
        <f>SUM(G76:G81)</f>
        <v>5.32</v>
      </c>
    </row>
    <row r="83" spans="1:7" ht="21">
      <c r="A83" s="255" t="s">
        <v>447</v>
      </c>
      <c r="B83" s="256"/>
      <c r="C83" s="257" t="s">
        <v>4</v>
      </c>
      <c r="D83" s="257" t="s">
        <v>243</v>
      </c>
      <c r="E83" s="257" t="s">
        <v>244</v>
      </c>
      <c r="F83" s="257" t="s">
        <v>245</v>
      </c>
      <c r="G83" s="257" t="s">
        <v>246</v>
      </c>
    </row>
    <row r="84" spans="1:7">
      <c r="A84" s="258" t="s">
        <v>558</v>
      </c>
      <c r="B84" s="259" t="s">
        <v>559</v>
      </c>
      <c r="C84" s="260" t="s">
        <v>26</v>
      </c>
      <c r="D84" s="260" t="s">
        <v>265</v>
      </c>
      <c r="E84" s="271">
        <v>1</v>
      </c>
      <c r="F84" s="301">
        <v>19.48</v>
      </c>
      <c r="G84" s="262">
        <f>TRUNC(TRUNC(E84,8)*F84,2)</f>
        <v>19.48</v>
      </c>
    </row>
    <row r="85" spans="1:7">
      <c r="A85" s="263"/>
      <c r="B85" s="264"/>
      <c r="C85" s="264"/>
      <c r="D85" s="264"/>
      <c r="E85" s="265" t="s">
        <v>1303</v>
      </c>
      <c r="F85" s="265"/>
      <c r="G85" s="266">
        <f>SUM(G84:G84)</f>
        <v>19.48</v>
      </c>
    </row>
    <row r="86" spans="1:7" ht="21">
      <c r="A86" s="255" t="s">
        <v>250</v>
      </c>
      <c r="B86" s="256"/>
      <c r="C86" s="257" t="s">
        <v>4</v>
      </c>
      <c r="D86" s="257" t="s">
        <v>243</v>
      </c>
      <c r="E86" s="257" t="s">
        <v>244</v>
      </c>
      <c r="F86" s="257" t="s">
        <v>245</v>
      </c>
      <c r="G86" s="257" t="s">
        <v>246</v>
      </c>
    </row>
    <row r="87" spans="1:7" ht="20">
      <c r="A87" s="258" t="s">
        <v>966</v>
      </c>
      <c r="B87" s="259" t="s">
        <v>967</v>
      </c>
      <c r="C87" s="260" t="s">
        <v>26</v>
      </c>
      <c r="D87" s="260" t="s">
        <v>265</v>
      </c>
      <c r="E87" s="271">
        <v>1</v>
      </c>
      <c r="F87" s="301">
        <v>0.22</v>
      </c>
      <c r="G87" s="262">
        <f>TRUNC(TRUNC(E87,8)*F87,2)</f>
        <v>0.22</v>
      </c>
    </row>
    <row r="88" spans="1:7">
      <c r="A88" s="263"/>
      <c r="B88" s="264"/>
      <c r="C88" s="264"/>
      <c r="D88" s="264"/>
      <c r="E88" s="265" t="s">
        <v>1301</v>
      </c>
      <c r="F88" s="265"/>
      <c r="G88" s="266">
        <f>SUM(G87:G87)</f>
        <v>0.22</v>
      </c>
    </row>
    <row r="89" spans="1:7">
      <c r="A89" s="263"/>
      <c r="B89" s="264"/>
      <c r="C89" s="264"/>
      <c r="D89" s="264"/>
      <c r="E89" s="267" t="s">
        <v>255</v>
      </c>
      <c r="F89" s="267">
        <f>A74</f>
        <v>88245</v>
      </c>
      <c r="G89" s="268">
        <f>SUM(G82,G85,G88)</f>
        <v>25.02</v>
      </c>
    </row>
    <row r="90" spans="1:7">
      <c r="A90" s="263"/>
      <c r="B90" s="264"/>
      <c r="C90" s="264"/>
      <c r="D90" s="264"/>
      <c r="E90" s="269"/>
      <c r="F90" s="269"/>
      <c r="G90" s="269"/>
    </row>
    <row r="91" spans="1:7" ht="21">
      <c r="A91" s="253">
        <v>97092</v>
      </c>
      <c r="B91" s="254" t="s">
        <v>1156</v>
      </c>
      <c r="C91" s="254"/>
      <c r="D91" s="254"/>
      <c r="E91" s="254"/>
      <c r="F91" s="254"/>
      <c r="G91" s="254"/>
    </row>
    <row r="92" spans="1:7" ht="21">
      <c r="A92" s="255" t="s">
        <v>256</v>
      </c>
      <c r="B92" s="256"/>
      <c r="C92" s="257" t="s">
        <v>4</v>
      </c>
      <c r="D92" s="257" t="s">
        <v>243</v>
      </c>
      <c r="E92" s="257" t="s">
        <v>244</v>
      </c>
      <c r="F92" s="257" t="s">
        <v>245</v>
      </c>
      <c r="G92" s="257" t="s">
        <v>246</v>
      </c>
    </row>
    <row r="93" spans="1:7" ht="20">
      <c r="A93" s="258" t="s">
        <v>574</v>
      </c>
      <c r="B93" s="259" t="s">
        <v>575</v>
      </c>
      <c r="C93" s="260" t="s">
        <v>26</v>
      </c>
      <c r="D93" s="260" t="s">
        <v>83</v>
      </c>
      <c r="E93" s="271">
        <v>1.0999999999999999E-2</v>
      </c>
      <c r="F93" s="301">
        <v>25</v>
      </c>
      <c r="G93" s="262">
        <f>TRUNC(TRUNC(E93,8)*F93,2)</f>
        <v>0.27</v>
      </c>
    </row>
    <row r="94" spans="1:7" ht="30">
      <c r="A94" s="258" t="s">
        <v>493</v>
      </c>
      <c r="B94" s="259" t="s">
        <v>494</v>
      </c>
      <c r="C94" s="260" t="s">
        <v>26</v>
      </c>
      <c r="D94" s="260" t="s">
        <v>34</v>
      </c>
      <c r="E94" s="271">
        <v>0.39200000000000002</v>
      </c>
      <c r="F94" s="301">
        <v>25.97</v>
      </c>
      <c r="G94" s="262">
        <f>TRUNC(TRUNC(E94,8)*F94,2)</f>
        <v>10.18</v>
      </c>
    </row>
    <row r="95" spans="1:7" ht="30">
      <c r="A95" s="258" t="s">
        <v>526</v>
      </c>
      <c r="B95" s="259" t="s">
        <v>527</v>
      </c>
      <c r="C95" s="260" t="s">
        <v>26</v>
      </c>
      <c r="D95" s="260" t="s">
        <v>70</v>
      </c>
      <c r="E95" s="271">
        <v>0.32200000000000001</v>
      </c>
      <c r="F95" s="301">
        <v>5.92</v>
      </c>
      <c r="G95" s="262">
        <f>TRUNC(TRUNC(E95,8)*F95,2)</f>
        <v>1.9</v>
      </c>
    </row>
    <row r="96" spans="1:7" ht="21">
      <c r="A96" s="263"/>
      <c r="B96" s="264"/>
      <c r="C96" s="264"/>
      <c r="D96" s="264"/>
      <c r="E96" s="265" t="s">
        <v>259</v>
      </c>
      <c r="F96" s="265"/>
      <c r="G96" s="266">
        <f>SUM(G93:G95)</f>
        <v>12.35</v>
      </c>
    </row>
    <row r="97" spans="1:7" ht="21">
      <c r="A97" s="255" t="s">
        <v>242</v>
      </c>
      <c r="B97" s="256"/>
      <c r="C97" s="257" t="s">
        <v>4</v>
      </c>
      <c r="D97" s="257" t="s">
        <v>243</v>
      </c>
      <c r="E97" s="257" t="s">
        <v>244</v>
      </c>
      <c r="F97" s="257" t="s">
        <v>245</v>
      </c>
      <c r="G97" s="257" t="s">
        <v>246</v>
      </c>
    </row>
    <row r="98" spans="1:7">
      <c r="A98" s="258" t="s">
        <v>968</v>
      </c>
      <c r="B98" s="259" t="s">
        <v>969</v>
      </c>
      <c r="C98" s="260" t="s">
        <v>26</v>
      </c>
      <c r="D98" s="260" t="s">
        <v>265</v>
      </c>
      <c r="E98" s="271">
        <v>8.0000000000000002E-3</v>
      </c>
      <c r="F98" s="301">
        <v>21.06</v>
      </c>
      <c r="G98" s="262">
        <f>TRUNC(TRUNC(E98,8)*F98,2)</f>
        <v>0.16</v>
      </c>
    </row>
    <row r="99" spans="1:7">
      <c r="A99" s="258" t="s">
        <v>970</v>
      </c>
      <c r="B99" s="259" t="s">
        <v>971</v>
      </c>
      <c r="C99" s="260" t="s">
        <v>26</v>
      </c>
      <c r="D99" s="260" t="s">
        <v>265</v>
      </c>
      <c r="E99" s="271">
        <v>2.4E-2</v>
      </c>
      <c r="F99" s="301">
        <v>25.02</v>
      </c>
      <c r="G99" s="262">
        <f>TRUNC(TRUNC(E99,8)*F99,2)</f>
        <v>0.6</v>
      </c>
    </row>
    <row r="100" spans="1:7">
      <c r="A100" s="263"/>
      <c r="B100" s="264"/>
      <c r="C100" s="264"/>
      <c r="D100" s="264"/>
      <c r="E100" s="265" t="s">
        <v>1299</v>
      </c>
      <c r="F100" s="265"/>
      <c r="G100" s="266">
        <f>SUM(G98:G99)</f>
        <v>0.76</v>
      </c>
    </row>
    <row r="101" spans="1:7">
      <c r="A101" s="263"/>
      <c r="B101" s="264"/>
      <c r="C101" s="264"/>
      <c r="D101" s="264"/>
      <c r="E101" s="267" t="s">
        <v>255</v>
      </c>
      <c r="F101" s="267">
        <f>A91</f>
        <v>97092</v>
      </c>
      <c r="G101" s="268">
        <f>SUM(G96,G100)</f>
        <v>13.11</v>
      </c>
    </row>
    <row r="102" spans="1:7">
      <c r="A102" s="263"/>
      <c r="B102" s="264"/>
      <c r="C102" s="264"/>
      <c r="D102" s="264"/>
      <c r="E102" s="269"/>
      <c r="F102" s="269"/>
      <c r="G102" s="269"/>
    </row>
    <row r="103" spans="1:7">
      <c r="A103" s="253">
        <v>88247</v>
      </c>
      <c r="B103" s="254" t="s">
        <v>1157</v>
      </c>
      <c r="C103" s="254"/>
      <c r="D103" s="254"/>
      <c r="E103" s="254"/>
      <c r="F103" s="254"/>
      <c r="G103" s="254"/>
    </row>
    <row r="104" spans="1:7" ht="21">
      <c r="A104" s="255" t="s">
        <v>462</v>
      </c>
      <c r="B104" s="256"/>
      <c r="C104" s="257" t="s">
        <v>4</v>
      </c>
      <c r="D104" s="257" t="s">
        <v>243</v>
      </c>
      <c r="E104" s="257" t="s">
        <v>244</v>
      </c>
      <c r="F104" s="257" t="s">
        <v>245</v>
      </c>
      <c r="G104" s="257" t="s">
        <v>246</v>
      </c>
    </row>
    <row r="105" spans="1:7" ht="20">
      <c r="A105" s="258" t="s">
        <v>467</v>
      </c>
      <c r="B105" s="259" t="s">
        <v>468</v>
      </c>
      <c r="C105" s="260" t="s">
        <v>26</v>
      </c>
      <c r="D105" s="260" t="s">
        <v>265</v>
      </c>
      <c r="E105" s="270">
        <v>1</v>
      </c>
      <c r="F105" s="301">
        <v>0.92</v>
      </c>
      <c r="G105" s="262">
        <f t="shared" ref="G105:G110" si="4">TRUNC(TRUNC(E105,8)*F105,2)</f>
        <v>0.92</v>
      </c>
    </row>
    <row r="106" spans="1:7" ht="20">
      <c r="A106" s="258" t="s">
        <v>475</v>
      </c>
      <c r="B106" s="259" t="s">
        <v>476</v>
      </c>
      <c r="C106" s="260" t="s">
        <v>26</v>
      </c>
      <c r="D106" s="260" t="s">
        <v>265</v>
      </c>
      <c r="E106" s="270">
        <v>1</v>
      </c>
      <c r="F106" s="301">
        <v>1.26</v>
      </c>
      <c r="G106" s="262">
        <f t="shared" si="4"/>
        <v>1.26</v>
      </c>
    </row>
    <row r="107" spans="1:7" ht="20">
      <c r="A107" s="258" t="s">
        <v>460</v>
      </c>
      <c r="B107" s="259" t="s">
        <v>461</v>
      </c>
      <c r="C107" s="260" t="s">
        <v>26</v>
      </c>
      <c r="D107" s="260" t="s">
        <v>265</v>
      </c>
      <c r="E107" s="270">
        <v>1</v>
      </c>
      <c r="F107" s="301">
        <v>1.43</v>
      </c>
      <c r="G107" s="262">
        <f t="shared" si="4"/>
        <v>1.43</v>
      </c>
    </row>
    <row r="108" spans="1:7" ht="20">
      <c r="A108" s="258" t="s">
        <v>483</v>
      </c>
      <c r="B108" s="259" t="s">
        <v>484</v>
      </c>
      <c r="C108" s="260" t="s">
        <v>26</v>
      </c>
      <c r="D108" s="260" t="s">
        <v>265</v>
      </c>
      <c r="E108" s="270">
        <v>1</v>
      </c>
      <c r="F108" s="301">
        <v>0.86</v>
      </c>
      <c r="G108" s="262">
        <f t="shared" si="4"/>
        <v>0.86</v>
      </c>
    </row>
    <row r="109" spans="1:7" ht="20">
      <c r="A109" s="258" t="s">
        <v>570</v>
      </c>
      <c r="B109" s="259" t="s">
        <v>571</v>
      </c>
      <c r="C109" s="260" t="s">
        <v>26</v>
      </c>
      <c r="D109" s="260" t="s">
        <v>265</v>
      </c>
      <c r="E109" s="270">
        <v>1</v>
      </c>
      <c r="F109" s="301">
        <v>0.08</v>
      </c>
      <c r="G109" s="262">
        <f t="shared" si="4"/>
        <v>0.08</v>
      </c>
    </row>
    <row r="110" spans="1:7" ht="20">
      <c r="A110" s="258" t="s">
        <v>473</v>
      </c>
      <c r="B110" s="259" t="s">
        <v>474</v>
      </c>
      <c r="C110" s="260" t="s">
        <v>26</v>
      </c>
      <c r="D110" s="260" t="s">
        <v>265</v>
      </c>
      <c r="E110" s="270">
        <v>1</v>
      </c>
      <c r="F110" s="301">
        <v>0.8</v>
      </c>
      <c r="G110" s="262">
        <f t="shared" si="4"/>
        <v>0.8</v>
      </c>
    </row>
    <row r="111" spans="1:7" ht="21">
      <c r="A111" s="263"/>
      <c r="B111" s="264"/>
      <c r="C111" s="264"/>
      <c r="D111" s="264"/>
      <c r="E111" s="265" t="s">
        <v>1302</v>
      </c>
      <c r="F111" s="265"/>
      <c r="G111" s="266">
        <f>SUM(G105:G110)</f>
        <v>5.3500000000000005</v>
      </c>
    </row>
    <row r="112" spans="1:7" ht="21">
      <c r="A112" s="255" t="s">
        <v>447</v>
      </c>
      <c r="B112" s="256"/>
      <c r="C112" s="257" t="s">
        <v>4</v>
      </c>
      <c r="D112" s="257" t="s">
        <v>243</v>
      </c>
      <c r="E112" s="257" t="s">
        <v>244</v>
      </c>
      <c r="F112" s="257" t="s">
        <v>245</v>
      </c>
      <c r="G112" s="257" t="s">
        <v>246</v>
      </c>
    </row>
    <row r="113" spans="1:7">
      <c r="A113" s="258" t="s">
        <v>452</v>
      </c>
      <c r="B113" s="259" t="s">
        <v>453</v>
      </c>
      <c r="C113" s="260" t="s">
        <v>26</v>
      </c>
      <c r="D113" s="260" t="s">
        <v>265</v>
      </c>
      <c r="E113" s="270">
        <v>1</v>
      </c>
      <c r="F113" s="301">
        <v>15.57</v>
      </c>
      <c r="G113" s="262">
        <f>TRUNC(TRUNC(E113,8)*F113,2)</f>
        <v>15.57</v>
      </c>
    </row>
    <row r="114" spans="1:7">
      <c r="A114" s="263"/>
      <c r="B114" s="264"/>
      <c r="C114" s="264"/>
      <c r="D114" s="264"/>
      <c r="E114" s="265" t="s">
        <v>1303</v>
      </c>
      <c r="F114" s="265"/>
      <c r="G114" s="266">
        <f>SUM(G113:G113)</f>
        <v>15.57</v>
      </c>
    </row>
    <row r="115" spans="1:7" ht="21">
      <c r="A115" s="255" t="s">
        <v>250</v>
      </c>
      <c r="B115" s="256"/>
      <c r="C115" s="257" t="s">
        <v>4</v>
      </c>
      <c r="D115" s="257" t="s">
        <v>243</v>
      </c>
      <c r="E115" s="257" t="s">
        <v>244</v>
      </c>
      <c r="F115" s="257" t="s">
        <v>245</v>
      </c>
      <c r="G115" s="257" t="s">
        <v>246</v>
      </c>
    </row>
    <row r="116" spans="1:7" ht="20">
      <c r="A116" s="258" t="s">
        <v>972</v>
      </c>
      <c r="B116" s="259" t="s">
        <v>973</v>
      </c>
      <c r="C116" s="260" t="s">
        <v>26</v>
      </c>
      <c r="D116" s="260" t="s">
        <v>265</v>
      </c>
      <c r="E116" s="270">
        <v>1</v>
      </c>
      <c r="F116" s="301">
        <v>0.57999999999999996</v>
      </c>
      <c r="G116" s="262">
        <f>TRUNC(TRUNC(E116,8)*F116,2)</f>
        <v>0.57999999999999996</v>
      </c>
    </row>
    <row r="117" spans="1:7">
      <c r="A117" s="263"/>
      <c r="B117" s="264"/>
      <c r="C117" s="264"/>
      <c r="D117" s="264"/>
      <c r="E117" s="265" t="s">
        <v>1301</v>
      </c>
      <c r="F117" s="265"/>
      <c r="G117" s="266">
        <f>SUM(G116:G116)</f>
        <v>0.57999999999999996</v>
      </c>
    </row>
    <row r="118" spans="1:7">
      <c r="A118" s="263"/>
      <c r="B118" s="264"/>
      <c r="C118" s="264"/>
      <c r="D118" s="264"/>
      <c r="E118" s="267" t="s">
        <v>255</v>
      </c>
      <c r="F118" s="267">
        <f>A103</f>
        <v>88247</v>
      </c>
      <c r="G118" s="268">
        <f>SUM(G111,G114,G117)</f>
        <v>21.5</v>
      </c>
    </row>
    <row r="119" spans="1:7">
      <c r="A119" s="263"/>
      <c r="B119" s="264"/>
      <c r="C119" s="264"/>
      <c r="D119" s="264"/>
      <c r="E119" s="269"/>
      <c r="F119" s="269"/>
      <c r="G119" s="269"/>
    </row>
    <row r="120" spans="1:7" ht="21">
      <c r="A120" s="253">
        <v>88248</v>
      </c>
      <c r="B120" s="254" t="s">
        <v>1158</v>
      </c>
      <c r="C120" s="254"/>
      <c r="D120" s="254"/>
      <c r="E120" s="254"/>
      <c r="F120" s="254"/>
      <c r="G120" s="254"/>
    </row>
    <row r="121" spans="1:7" ht="21">
      <c r="A121" s="255" t="s">
        <v>462</v>
      </c>
      <c r="B121" s="256"/>
      <c r="C121" s="257" t="s">
        <v>4</v>
      </c>
      <c r="D121" s="257" t="s">
        <v>243</v>
      </c>
      <c r="E121" s="257" t="s">
        <v>244</v>
      </c>
      <c r="F121" s="257" t="s">
        <v>245</v>
      </c>
      <c r="G121" s="257" t="s">
        <v>246</v>
      </c>
    </row>
    <row r="122" spans="1:7" ht="20">
      <c r="A122" s="258" t="s">
        <v>467</v>
      </c>
      <c r="B122" s="259" t="s">
        <v>468</v>
      </c>
      <c r="C122" s="260" t="s">
        <v>26</v>
      </c>
      <c r="D122" s="260" t="s">
        <v>265</v>
      </c>
      <c r="E122" s="271">
        <v>1</v>
      </c>
      <c r="F122" s="301">
        <v>0.92</v>
      </c>
      <c r="G122" s="262">
        <f t="shared" ref="G122:G127" si="5">TRUNC(TRUNC(E122,8)*F122,2)</f>
        <v>0.92</v>
      </c>
    </row>
    <row r="123" spans="1:7" ht="20">
      <c r="A123" s="258" t="s">
        <v>616</v>
      </c>
      <c r="B123" s="259" t="s">
        <v>617</v>
      </c>
      <c r="C123" s="260" t="s">
        <v>26</v>
      </c>
      <c r="D123" s="260" t="s">
        <v>265</v>
      </c>
      <c r="E123" s="271">
        <v>1</v>
      </c>
      <c r="F123" s="301">
        <v>1.1299999999999999</v>
      </c>
      <c r="G123" s="262">
        <f t="shared" si="5"/>
        <v>1.1299999999999999</v>
      </c>
    </row>
    <row r="124" spans="1:7" ht="20">
      <c r="A124" s="258" t="s">
        <v>460</v>
      </c>
      <c r="B124" s="259" t="s">
        <v>461</v>
      </c>
      <c r="C124" s="260" t="s">
        <v>26</v>
      </c>
      <c r="D124" s="260" t="s">
        <v>265</v>
      </c>
      <c r="E124" s="271">
        <v>1</v>
      </c>
      <c r="F124" s="301">
        <v>1.43</v>
      </c>
      <c r="G124" s="262">
        <f t="shared" si="5"/>
        <v>1.43</v>
      </c>
    </row>
    <row r="125" spans="1:7" ht="20">
      <c r="A125" s="258" t="s">
        <v>620</v>
      </c>
      <c r="B125" s="259" t="s">
        <v>621</v>
      </c>
      <c r="C125" s="260" t="s">
        <v>26</v>
      </c>
      <c r="D125" s="260" t="s">
        <v>265</v>
      </c>
      <c r="E125" s="271">
        <v>1</v>
      </c>
      <c r="F125" s="301">
        <v>0.31</v>
      </c>
      <c r="G125" s="262">
        <f t="shared" si="5"/>
        <v>0.31</v>
      </c>
    </row>
    <row r="126" spans="1:7" ht="20">
      <c r="A126" s="258" t="s">
        <v>570</v>
      </c>
      <c r="B126" s="259" t="s">
        <v>571</v>
      </c>
      <c r="C126" s="260" t="s">
        <v>26</v>
      </c>
      <c r="D126" s="260" t="s">
        <v>265</v>
      </c>
      <c r="E126" s="271">
        <v>1</v>
      </c>
      <c r="F126" s="301">
        <v>0.08</v>
      </c>
      <c r="G126" s="262">
        <f t="shared" si="5"/>
        <v>0.08</v>
      </c>
    </row>
    <row r="127" spans="1:7" ht="20">
      <c r="A127" s="258" t="s">
        <v>473</v>
      </c>
      <c r="B127" s="259" t="s">
        <v>474</v>
      </c>
      <c r="C127" s="260" t="s">
        <v>26</v>
      </c>
      <c r="D127" s="260" t="s">
        <v>265</v>
      </c>
      <c r="E127" s="271">
        <v>1</v>
      </c>
      <c r="F127" s="301">
        <v>0.8</v>
      </c>
      <c r="G127" s="262">
        <f t="shared" si="5"/>
        <v>0.8</v>
      </c>
    </row>
    <row r="128" spans="1:7" ht="21">
      <c r="A128" s="263"/>
      <c r="B128" s="264"/>
      <c r="C128" s="264"/>
      <c r="D128" s="264"/>
      <c r="E128" s="265" t="s">
        <v>1302</v>
      </c>
      <c r="F128" s="265"/>
      <c r="G128" s="266">
        <f>SUM(G122:G127)</f>
        <v>4.67</v>
      </c>
    </row>
    <row r="129" spans="1:7" ht="21">
      <c r="A129" s="255" t="s">
        <v>447</v>
      </c>
      <c r="B129" s="256"/>
      <c r="C129" s="257" t="s">
        <v>4</v>
      </c>
      <c r="D129" s="257" t="s">
        <v>243</v>
      </c>
      <c r="E129" s="257" t="s">
        <v>244</v>
      </c>
      <c r="F129" s="257" t="s">
        <v>245</v>
      </c>
      <c r="G129" s="257" t="s">
        <v>246</v>
      </c>
    </row>
    <row r="130" spans="1:7">
      <c r="A130" s="258" t="s">
        <v>596</v>
      </c>
      <c r="B130" s="259" t="s">
        <v>597</v>
      </c>
      <c r="C130" s="260" t="s">
        <v>26</v>
      </c>
      <c r="D130" s="260" t="s">
        <v>265</v>
      </c>
      <c r="E130" s="271">
        <v>1</v>
      </c>
      <c r="F130" s="301">
        <v>15.57</v>
      </c>
      <c r="G130" s="262">
        <f>TRUNC(TRUNC(E130,8)*F130,2)</f>
        <v>15.57</v>
      </c>
    </row>
    <row r="131" spans="1:7">
      <c r="A131" s="263"/>
      <c r="B131" s="264"/>
      <c r="C131" s="264"/>
      <c r="D131" s="264"/>
      <c r="E131" s="265" t="s">
        <v>1303</v>
      </c>
      <c r="F131" s="265"/>
      <c r="G131" s="266">
        <f>SUM(G130:G130)</f>
        <v>15.57</v>
      </c>
    </row>
    <row r="132" spans="1:7" ht="21">
      <c r="A132" s="255" t="s">
        <v>250</v>
      </c>
      <c r="B132" s="256"/>
      <c r="C132" s="257" t="s">
        <v>4</v>
      </c>
      <c r="D132" s="257" t="s">
        <v>243</v>
      </c>
      <c r="E132" s="257" t="s">
        <v>244</v>
      </c>
      <c r="F132" s="257" t="s">
        <v>245</v>
      </c>
      <c r="G132" s="257" t="s">
        <v>246</v>
      </c>
    </row>
    <row r="133" spans="1:7" ht="20">
      <c r="A133" s="258" t="s">
        <v>974</v>
      </c>
      <c r="B133" s="259" t="s">
        <v>975</v>
      </c>
      <c r="C133" s="260" t="s">
        <v>26</v>
      </c>
      <c r="D133" s="260" t="s">
        <v>265</v>
      </c>
      <c r="E133" s="271">
        <v>1</v>
      </c>
      <c r="F133" s="301">
        <v>0.27</v>
      </c>
      <c r="G133" s="262">
        <f>TRUNC(TRUNC(E133,8)*F133,2)</f>
        <v>0.27</v>
      </c>
    </row>
    <row r="134" spans="1:7">
      <c r="A134" s="263"/>
      <c r="B134" s="264"/>
      <c r="C134" s="264"/>
      <c r="D134" s="264"/>
      <c r="E134" s="265" t="s">
        <v>1301</v>
      </c>
      <c r="F134" s="265"/>
      <c r="G134" s="266">
        <f>SUM(G133:G133)</f>
        <v>0.27</v>
      </c>
    </row>
    <row r="135" spans="1:7">
      <c r="A135" s="263"/>
      <c r="B135" s="264"/>
      <c r="C135" s="264"/>
      <c r="D135" s="264"/>
      <c r="E135" s="267" t="s">
        <v>255</v>
      </c>
      <c r="F135" s="267">
        <f>A120</f>
        <v>88248</v>
      </c>
      <c r="G135" s="268">
        <f>SUM(G128,G131,G134)</f>
        <v>20.51</v>
      </c>
    </row>
    <row r="136" spans="1:7">
      <c r="A136" s="263"/>
      <c r="B136" s="264"/>
      <c r="C136" s="264"/>
      <c r="D136" s="264"/>
      <c r="E136" s="269"/>
      <c r="F136" s="269"/>
      <c r="G136" s="269"/>
    </row>
    <row r="137" spans="1:7" ht="31.5">
      <c r="A137" s="253">
        <v>97087</v>
      </c>
      <c r="B137" s="254" t="s">
        <v>1160</v>
      </c>
      <c r="C137" s="254"/>
      <c r="D137" s="254"/>
      <c r="E137" s="254"/>
      <c r="F137" s="254"/>
      <c r="G137" s="254"/>
    </row>
    <row r="138" spans="1:7" ht="21">
      <c r="A138" s="255" t="s">
        <v>256</v>
      </c>
      <c r="B138" s="256"/>
      <c r="C138" s="257" t="s">
        <v>4</v>
      </c>
      <c r="D138" s="257" t="s">
        <v>243</v>
      </c>
      <c r="E138" s="257" t="s">
        <v>244</v>
      </c>
      <c r="F138" s="257" t="s">
        <v>245</v>
      </c>
      <c r="G138" s="257" t="s">
        <v>246</v>
      </c>
    </row>
    <row r="139" spans="1:7">
      <c r="A139" s="258" t="s">
        <v>548</v>
      </c>
      <c r="B139" s="259" t="s">
        <v>549</v>
      </c>
      <c r="C139" s="260" t="s">
        <v>26</v>
      </c>
      <c r="D139" s="260" t="s">
        <v>34</v>
      </c>
      <c r="E139" s="271">
        <v>1.04</v>
      </c>
      <c r="F139" s="301">
        <v>2.42</v>
      </c>
      <c r="G139" s="262">
        <f>TRUNC(TRUNC(E139,8)*F139,2)</f>
        <v>2.5099999999999998</v>
      </c>
    </row>
    <row r="140" spans="1:7" ht="21">
      <c r="A140" s="263"/>
      <c r="B140" s="264"/>
      <c r="C140" s="264"/>
      <c r="D140" s="264"/>
      <c r="E140" s="265" t="s">
        <v>259</v>
      </c>
      <c r="F140" s="265"/>
      <c r="G140" s="266">
        <f>SUM(G139:G139)</f>
        <v>2.5099999999999998</v>
      </c>
    </row>
    <row r="141" spans="1:7" ht="21">
      <c r="A141" s="255" t="s">
        <v>242</v>
      </c>
      <c r="B141" s="256"/>
      <c r="C141" s="300" t="s">
        <v>4</v>
      </c>
      <c r="D141" s="257" t="s">
        <v>243</v>
      </c>
      <c r="E141" s="257" t="s">
        <v>244</v>
      </c>
      <c r="F141" s="257" t="s">
        <v>245</v>
      </c>
      <c r="G141" s="257" t="s">
        <v>246</v>
      </c>
    </row>
    <row r="142" spans="1:7">
      <c r="A142" s="258" t="s">
        <v>285</v>
      </c>
      <c r="B142" s="259" t="s">
        <v>286</v>
      </c>
      <c r="C142" s="260" t="s">
        <v>26</v>
      </c>
      <c r="D142" s="260" t="s">
        <v>265</v>
      </c>
      <c r="E142" s="271">
        <v>1.4E-2</v>
      </c>
      <c r="F142" s="301">
        <v>25.21</v>
      </c>
      <c r="G142" s="262">
        <f>TRUNC(TRUNC(E142,8)*F142,2)</f>
        <v>0.35</v>
      </c>
    </row>
    <row r="143" spans="1:7">
      <c r="A143" s="258" t="s">
        <v>274</v>
      </c>
      <c r="B143" s="259" t="s">
        <v>275</v>
      </c>
      <c r="C143" s="260" t="s">
        <v>26</v>
      </c>
      <c r="D143" s="260" t="s">
        <v>265</v>
      </c>
      <c r="E143" s="271">
        <v>5.0000000000000001E-3</v>
      </c>
      <c r="F143" s="301">
        <v>20.27</v>
      </c>
      <c r="G143" s="262">
        <f>TRUNC(TRUNC(E143,8)*F143,2)</f>
        <v>0.1</v>
      </c>
    </row>
    <row r="144" spans="1:7">
      <c r="A144" s="263"/>
      <c r="B144" s="264"/>
      <c r="C144" s="264"/>
      <c r="D144" s="264"/>
      <c r="E144" s="265" t="s">
        <v>1299</v>
      </c>
      <c r="F144" s="265"/>
      <c r="G144" s="266">
        <f>SUM(G142:G143)</f>
        <v>0.44999999999999996</v>
      </c>
    </row>
    <row r="145" spans="1:7">
      <c r="A145" s="263"/>
      <c r="B145" s="264"/>
      <c r="C145" s="264"/>
      <c r="D145" s="264"/>
      <c r="E145" s="267" t="s">
        <v>255</v>
      </c>
      <c r="F145" s="267">
        <f>A137</f>
        <v>97087</v>
      </c>
      <c r="G145" s="268">
        <f>SUM(G140,G144)</f>
        <v>2.96</v>
      </c>
    </row>
    <row r="146" spans="1:7">
      <c r="A146" s="263"/>
      <c r="B146" s="264"/>
      <c r="C146" s="264"/>
      <c r="D146" s="264"/>
      <c r="E146" s="269"/>
      <c r="F146" s="269"/>
      <c r="G146" s="269"/>
    </row>
    <row r="147" spans="1:7" ht="42">
      <c r="A147" s="253">
        <v>91387</v>
      </c>
      <c r="B147" s="254" t="s">
        <v>1161</v>
      </c>
      <c r="C147" s="254"/>
      <c r="D147" s="254"/>
      <c r="E147" s="254"/>
      <c r="F147" s="254"/>
      <c r="G147" s="254"/>
    </row>
    <row r="148" spans="1:7" ht="21">
      <c r="A148" s="255" t="s">
        <v>242</v>
      </c>
      <c r="B148" s="256"/>
      <c r="C148" s="257" t="s">
        <v>4</v>
      </c>
      <c r="D148" s="257" t="s">
        <v>243</v>
      </c>
      <c r="E148" s="257" t="s">
        <v>244</v>
      </c>
      <c r="F148" s="257" t="s">
        <v>245</v>
      </c>
      <c r="G148" s="257" t="s">
        <v>246</v>
      </c>
    </row>
    <row r="149" spans="1:7">
      <c r="A149" s="258" t="s">
        <v>976</v>
      </c>
      <c r="B149" s="259" t="s">
        <v>977</v>
      </c>
      <c r="C149" s="260" t="s">
        <v>26</v>
      </c>
      <c r="D149" s="260" t="s">
        <v>265</v>
      </c>
      <c r="E149" s="271">
        <v>1</v>
      </c>
      <c r="F149" s="262">
        <v>25.98</v>
      </c>
      <c r="G149" s="262">
        <f>TRUNC(TRUNC(E149,8)*F149,2)</f>
        <v>25.98</v>
      </c>
    </row>
    <row r="150" spans="1:7">
      <c r="A150" s="263"/>
      <c r="B150" s="264"/>
      <c r="C150" s="264"/>
      <c r="D150" s="264"/>
      <c r="E150" s="265" t="s">
        <v>1299</v>
      </c>
      <c r="F150" s="265"/>
      <c r="G150" s="266">
        <f>SUM(G149:G149)</f>
        <v>25.98</v>
      </c>
    </row>
    <row r="151" spans="1:7" ht="21">
      <c r="A151" s="255" t="s">
        <v>250</v>
      </c>
      <c r="B151" s="256"/>
      <c r="C151" s="257" t="s">
        <v>4</v>
      </c>
      <c r="D151" s="257" t="s">
        <v>243</v>
      </c>
      <c r="E151" s="257" t="s">
        <v>244</v>
      </c>
      <c r="F151" s="257" t="s">
        <v>245</v>
      </c>
      <c r="G151" s="257" t="s">
        <v>246</v>
      </c>
    </row>
    <row r="152" spans="1:7" ht="40">
      <c r="A152" s="258" t="s">
        <v>978</v>
      </c>
      <c r="B152" s="259" t="s">
        <v>979</v>
      </c>
      <c r="C152" s="260" t="s">
        <v>26</v>
      </c>
      <c r="D152" s="260" t="s">
        <v>265</v>
      </c>
      <c r="E152" s="271">
        <v>1</v>
      </c>
      <c r="F152" s="301">
        <v>29.83</v>
      </c>
      <c r="G152" s="262">
        <f>TRUNC(TRUNC(E152,8)*F152,2)</f>
        <v>29.83</v>
      </c>
    </row>
    <row r="153" spans="1:7" ht="40">
      <c r="A153" s="258" t="s">
        <v>980</v>
      </c>
      <c r="B153" s="259" t="s">
        <v>981</v>
      </c>
      <c r="C153" s="260" t="s">
        <v>26</v>
      </c>
      <c r="D153" s="260" t="s">
        <v>265</v>
      </c>
      <c r="E153" s="271">
        <v>1</v>
      </c>
      <c r="F153" s="301">
        <v>4.63</v>
      </c>
      <c r="G153" s="262">
        <f>TRUNC(TRUNC(E153,8)*F153,2)</f>
        <v>4.63</v>
      </c>
    </row>
    <row r="154" spans="1:7" ht="40">
      <c r="A154" s="258" t="s">
        <v>982</v>
      </c>
      <c r="B154" s="259" t="s">
        <v>983</v>
      </c>
      <c r="C154" s="260" t="s">
        <v>26</v>
      </c>
      <c r="D154" s="260" t="s">
        <v>265</v>
      </c>
      <c r="E154" s="271">
        <v>1</v>
      </c>
      <c r="F154" s="301">
        <v>11.46</v>
      </c>
      <c r="G154" s="262">
        <f>TRUNC(TRUNC(E154,8)*F154,2)</f>
        <v>11.46</v>
      </c>
    </row>
    <row r="155" spans="1:7">
      <c r="A155" s="263"/>
      <c r="B155" s="264"/>
      <c r="C155" s="264"/>
      <c r="D155" s="264"/>
      <c r="E155" s="265" t="s">
        <v>1301</v>
      </c>
      <c r="F155" s="265"/>
      <c r="G155" s="266">
        <f>SUM(G152:G154)</f>
        <v>45.92</v>
      </c>
    </row>
    <row r="156" spans="1:7">
      <c r="A156" s="263"/>
      <c r="B156" s="264"/>
      <c r="C156" s="264"/>
      <c r="D156" s="264"/>
      <c r="E156" s="267" t="s">
        <v>255</v>
      </c>
      <c r="F156" s="267">
        <f>A147</f>
        <v>91387</v>
      </c>
      <c r="G156" s="268">
        <f>SUM(G150,G155)</f>
        <v>71.900000000000006</v>
      </c>
    </row>
    <row r="157" spans="1:7">
      <c r="A157" s="263"/>
      <c r="B157" s="264"/>
      <c r="C157" s="264"/>
      <c r="D157" s="264"/>
      <c r="E157" s="269"/>
      <c r="F157" s="269"/>
      <c r="G157" s="269"/>
    </row>
    <row r="158" spans="1:7" ht="42">
      <c r="A158" s="253">
        <v>91386</v>
      </c>
      <c r="B158" s="254" t="s">
        <v>1162</v>
      </c>
      <c r="C158" s="254"/>
      <c r="D158" s="254"/>
      <c r="E158" s="254"/>
      <c r="F158" s="254"/>
      <c r="G158" s="254"/>
    </row>
    <row r="159" spans="1:7" ht="21">
      <c r="A159" s="255" t="s">
        <v>242</v>
      </c>
      <c r="B159" s="256"/>
      <c r="C159" s="257" t="s">
        <v>4</v>
      </c>
      <c r="D159" s="257" t="s">
        <v>243</v>
      </c>
      <c r="E159" s="257" t="s">
        <v>244</v>
      </c>
      <c r="F159" s="257" t="s">
        <v>245</v>
      </c>
      <c r="G159" s="257" t="s">
        <v>246</v>
      </c>
    </row>
    <row r="160" spans="1:7">
      <c r="A160" s="258" t="s">
        <v>976</v>
      </c>
      <c r="B160" s="259" t="s">
        <v>977</v>
      </c>
      <c r="C160" s="260" t="s">
        <v>26</v>
      </c>
      <c r="D160" s="260" t="s">
        <v>265</v>
      </c>
      <c r="E160" s="271">
        <v>1</v>
      </c>
      <c r="F160" s="301">
        <v>25.98</v>
      </c>
      <c r="G160" s="262">
        <f>TRUNC(TRUNC(E160,8)*F160,2)</f>
        <v>25.98</v>
      </c>
    </row>
    <row r="161" spans="1:7">
      <c r="A161" s="263"/>
      <c r="B161" s="264"/>
      <c r="C161" s="264"/>
      <c r="D161" s="264"/>
      <c r="E161" s="265" t="s">
        <v>1299</v>
      </c>
      <c r="F161" s="265"/>
      <c r="G161" s="266">
        <f>SUM(G160:G160)</f>
        <v>25.98</v>
      </c>
    </row>
    <row r="162" spans="1:7" ht="21">
      <c r="A162" s="255" t="s">
        <v>250</v>
      </c>
      <c r="B162" s="256"/>
      <c r="C162" s="257" t="s">
        <v>4</v>
      </c>
      <c r="D162" s="257" t="s">
        <v>243</v>
      </c>
      <c r="E162" s="257" t="s">
        <v>244</v>
      </c>
      <c r="F162" s="257" t="s">
        <v>245</v>
      </c>
      <c r="G162" s="257" t="s">
        <v>246</v>
      </c>
    </row>
    <row r="163" spans="1:7" ht="40">
      <c r="A163" s="258" t="s">
        <v>978</v>
      </c>
      <c r="B163" s="259" t="s">
        <v>979</v>
      </c>
      <c r="C163" s="260" t="s">
        <v>26</v>
      </c>
      <c r="D163" s="260" t="s">
        <v>265</v>
      </c>
      <c r="E163" s="271">
        <v>1</v>
      </c>
      <c r="F163" s="301">
        <v>29.83</v>
      </c>
      <c r="G163" s="262">
        <f>TRUNC(TRUNC(E163,8)*F163,2)</f>
        <v>29.83</v>
      </c>
    </row>
    <row r="164" spans="1:7" ht="40">
      <c r="A164" s="258" t="s">
        <v>980</v>
      </c>
      <c r="B164" s="259" t="s">
        <v>981</v>
      </c>
      <c r="C164" s="260" t="s">
        <v>26</v>
      </c>
      <c r="D164" s="260" t="s">
        <v>265</v>
      </c>
      <c r="E164" s="271">
        <v>1</v>
      </c>
      <c r="F164" s="301">
        <v>4.63</v>
      </c>
      <c r="G164" s="262">
        <f>TRUNC(TRUNC(E164,8)*F164,2)</f>
        <v>4.63</v>
      </c>
    </row>
    <row r="165" spans="1:7" ht="40">
      <c r="A165" s="258" t="s">
        <v>982</v>
      </c>
      <c r="B165" s="259" t="s">
        <v>983</v>
      </c>
      <c r="C165" s="260" t="s">
        <v>26</v>
      </c>
      <c r="D165" s="260" t="s">
        <v>265</v>
      </c>
      <c r="E165" s="271">
        <v>1</v>
      </c>
      <c r="F165" s="301">
        <v>11.46</v>
      </c>
      <c r="G165" s="262">
        <f>TRUNC(TRUNC(E165,8)*F165,2)</f>
        <v>11.46</v>
      </c>
    </row>
    <row r="166" spans="1:7" ht="40">
      <c r="A166" s="258" t="s">
        <v>984</v>
      </c>
      <c r="B166" s="259" t="s">
        <v>985</v>
      </c>
      <c r="C166" s="260" t="s">
        <v>26</v>
      </c>
      <c r="D166" s="260" t="s">
        <v>265</v>
      </c>
      <c r="E166" s="271">
        <v>1</v>
      </c>
      <c r="F166" s="301">
        <v>53.69</v>
      </c>
      <c r="G166" s="262">
        <f>TRUNC(TRUNC(E166,8)*F166,2)</f>
        <v>53.69</v>
      </c>
    </row>
    <row r="167" spans="1:7" ht="40">
      <c r="A167" s="258" t="s">
        <v>986</v>
      </c>
      <c r="B167" s="259" t="s">
        <v>987</v>
      </c>
      <c r="C167" s="260" t="s">
        <v>26</v>
      </c>
      <c r="D167" s="260" t="s">
        <v>265</v>
      </c>
      <c r="E167" s="271">
        <v>1</v>
      </c>
      <c r="F167" s="301">
        <v>149.07</v>
      </c>
      <c r="G167" s="262">
        <f>TRUNC(TRUNC(E167,8)*F167,2)</f>
        <v>149.07</v>
      </c>
    </row>
    <row r="168" spans="1:7">
      <c r="A168" s="263"/>
      <c r="B168" s="264"/>
      <c r="C168" s="264"/>
      <c r="D168" s="264"/>
      <c r="E168" s="265" t="s">
        <v>1301</v>
      </c>
      <c r="F168" s="265"/>
      <c r="G168" s="266">
        <f>SUM(G163:G167)</f>
        <v>248.68</v>
      </c>
    </row>
    <row r="169" spans="1:7">
      <c r="A169" s="263"/>
      <c r="B169" s="264"/>
      <c r="C169" s="264"/>
      <c r="D169" s="264"/>
      <c r="E169" s="267" t="s">
        <v>255</v>
      </c>
      <c r="F169" s="267">
        <f>A158</f>
        <v>91386</v>
      </c>
      <c r="G169" s="268">
        <f>SUM(G161,G168)</f>
        <v>274.66000000000003</v>
      </c>
    </row>
    <row r="170" spans="1:7">
      <c r="A170" s="263"/>
      <c r="B170" s="264"/>
      <c r="C170" s="264"/>
      <c r="D170" s="264"/>
      <c r="E170" s="269"/>
      <c r="F170" s="269"/>
      <c r="G170" s="269"/>
    </row>
    <row r="171" spans="1:7" ht="42">
      <c r="A171" s="253">
        <v>91380</v>
      </c>
      <c r="B171" s="254" t="s">
        <v>1163</v>
      </c>
      <c r="C171" s="254"/>
      <c r="D171" s="254"/>
      <c r="E171" s="254"/>
      <c r="F171" s="254"/>
      <c r="G171" s="254"/>
    </row>
    <row r="172" spans="1:7" ht="21">
      <c r="A172" s="255" t="s">
        <v>268</v>
      </c>
      <c r="B172" s="256"/>
      <c r="C172" s="257" t="s">
        <v>4</v>
      </c>
      <c r="D172" s="257" t="s">
        <v>243</v>
      </c>
      <c r="E172" s="257" t="s">
        <v>244</v>
      </c>
      <c r="F172" s="257" t="s">
        <v>245</v>
      </c>
      <c r="G172" s="257" t="s">
        <v>246</v>
      </c>
    </row>
    <row r="173" spans="1:7" ht="20">
      <c r="A173" s="258" t="s">
        <v>516</v>
      </c>
      <c r="B173" s="259" t="s">
        <v>517</v>
      </c>
      <c r="C173" s="260" t="s">
        <v>26</v>
      </c>
      <c r="D173" s="260" t="s">
        <v>14</v>
      </c>
      <c r="E173" s="261">
        <v>6.0300000000000002E-5</v>
      </c>
      <c r="F173" s="301">
        <v>81699.7</v>
      </c>
      <c r="G173" s="262">
        <f>TRUNC(TRUNC(E173,8)*F173,2)</f>
        <v>4.92</v>
      </c>
    </row>
    <row r="174" spans="1:7" ht="30">
      <c r="A174" s="258" t="s">
        <v>481</v>
      </c>
      <c r="B174" s="259" t="s">
        <v>482</v>
      </c>
      <c r="C174" s="260" t="s">
        <v>26</v>
      </c>
      <c r="D174" s="260" t="s">
        <v>14</v>
      </c>
      <c r="E174" s="261">
        <v>3.4199999999999998E-5</v>
      </c>
      <c r="F174" s="301">
        <v>728477.1</v>
      </c>
      <c r="G174" s="262">
        <f>TRUNC(TRUNC(E174,8)*F174,2)</f>
        <v>24.91</v>
      </c>
    </row>
    <row r="175" spans="1:7">
      <c r="A175" s="263"/>
      <c r="B175" s="264"/>
      <c r="C175" s="264"/>
      <c r="D175" s="264"/>
      <c r="E175" s="265" t="s">
        <v>1300</v>
      </c>
      <c r="F175" s="265"/>
      <c r="G175" s="266">
        <f>SUM(G173:G174)</f>
        <v>29.83</v>
      </c>
    </row>
    <row r="176" spans="1:7">
      <c r="A176" s="263"/>
      <c r="B176" s="264"/>
      <c r="C176" s="264"/>
      <c r="D176" s="264"/>
      <c r="E176" s="267" t="s">
        <v>255</v>
      </c>
      <c r="F176" s="267">
        <f>A171</f>
        <v>91380</v>
      </c>
      <c r="G176" s="268">
        <f>SUM(G175)</f>
        <v>29.83</v>
      </c>
    </row>
    <row r="177" spans="1:7">
      <c r="A177" s="263"/>
      <c r="B177" s="264"/>
      <c r="C177" s="264"/>
      <c r="D177" s="264"/>
      <c r="E177" s="269"/>
      <c r="F177" s="269"/>
      <c r="G177" s="269"/>
    </row>
    <row r="178" spans="1:7" ht="42">
      <c r="A178" s="253">
        <v>91382</v>
      </c>
      <c r="B178" s="254" t="s">
        <v>1164</v>
      </c>
      <c r="C178" s="254"/>
      <c r="D178" s="254"/>
      <c r="E178" s="254"/>
      <c r="F178" s="254"/>
      <c r="G178" s="254"/>
    </row>
    <row r="179" spans="1:7" ht="21">
      <c r="A179" s="255" t="s">
        <v>268</v>
      </c>
      <c r="B179" s="256"/>
      <c r="C179" s="257" t="s">
        <v>4</v>
      </c>
      <c r="D179" s="257" t="s">
        <v>243</v>
      </c>
      <c r="E179" s="257" t="s">
        <v>244</v>
      </c>
      <c r="F179" s="257" t="s">
        <v>245</v>
      </c>
      <c r="G179" s="257" t="s">
        <v>246</v>
      </c>
    </row>
    <row r="180" spans="1:7" ht="20">
      <c r="A180" s="258" t="s">
        <v>516</v>
      </c>
      <c r="B180" s="259" t="s">
        <v>517</v>
      </c>
      <c r="C180" s="260" t="s">
        <v>26</v>
      </c>
      <c r="D180" s="260" t="s">
        <v>14</v>
      </c>
      <c r="E180" s="261">
        <v>5.9000000000000003E-6</v>
      </c>
      <c r="F180" s="301">
        <v>81699.7</v>
      </c>
      <c r="G180" s="262">
        <f>TRUNC(TRUNC(E180,8)*F180,2)</f>
        <v>0.48</v>
      </c>
    </row>
    <row r="181" spans="1:7" ht="30">
      <c r="A181" s="258" t="s">
        <v>481</v>
      </c>
      <c r="B181" s="259" t="s">
        <v>482</v>
      </c>
      <c r="C181" s="260" t="s">
        <v>26</v>
      </c>
      <c r="D181" s="260" t="s">
        <v>14</v>
      </c>
      <c r="E181" s="261">
        <v>5.6999999999999996E-6</v>
      </c>
      <c r="F181" s="301">
        <v>728477.1</v>
      </c>
      <c r="G181" s="262">
        <f>TRUNC(TRUNC(E181,8)*F181,2)</f>
        <v>4.1500000000000004</v>
      </c>
    </row>
    <row r="182" spans="1:7">
      <c r="A182" s="263"/>
      <c r="B182" s="264"/>
      <c r="C182" s="264"/>
      <c r="D182" s="264"/>
      <c r="E182" s="265" t="s">
        <v>1300</v>
      </c>
      <c r="F182" s="265"/>
      <c r="G182" s="266">
        <f>SUM(G180:G181)</f>
        <v>4.6300000000000008</v>
      </c>
    </row>
    <row r="183" spans="1:7">
      <c r="A183" s="263"/>
      <c r="B183" s="264"/>
      <c r="C183" s="264"/>
      <c r="D183" s="264"/>
      <c r="E183" s="267" t="s">
        <v>255</v>
      </c>
      <c r="F183" s="267">
        <f>A178</f>
        <v>91382</v>
      </c>
      <c r="G183" s="268">
        <f>SUM(G182)</f>
        <v>4.6300000000000008</v>
      </c>
    </row>
    <row r="184" spans="1:7">
      <c r="A184" s="263"/>
      <c r="B184" s="264"/>
      <c r="C184" s="264"/>
      <c r="D184" s="264"/>
      <c r="E184" s="269"/>
      <c r="F184" s="269"/>
      <c r="G184" s="269"/>
    </row>
    <row r="185" spans="1:7" ht="42">
      <c r="A185" s="253">
        <v>91381</v>
      </c>
      <c r="B185" s="254" t="s">
        <v>1165</v>
      </c>
      <c r="C185" s="254"/>
      <c r="D185" s="254"/>
      <c r="E185" s="254"/>
      <c r="F185" s="254"/>
      <c r="G185" s="254"/>
    </row>
    <row r="186" spans="1:7" ht="21">
      <c r="A186" s="255" t="s">
        <v>268</v>
      </c>
      <c r="B186" s="256"/>
      <c r="C186" s="257" t="s">
        <v>4</v>
      </c>
      <c r="D186" s="257" t="s">
        <v>243</v>
      </c>
      <c r="E186" s="257" t="s">
        <v>244</v>
      </c>
      <c r="F186" s="257" t="s">
        <v>245</v>
      </c>
      <c r="G186" s="257" t="s">
        <v>246</v>
      </c>
    </row>
    <row r="187" spans="1:7" ht="20">
      <c r="A187" s="258" t="s">
        <v>516</v>
      </c>
      <c r="B187" s="259" t="s">
        <v>517</v>
      </c>
      <c r="C187" s="260" t="s">
        <v>26</v>
      </c>
      <c r="D187" s="260" t="s">
        <v>14</v>
      </c>
      <c r="E187" s="261">
        <v>1.4600000000000001E-5</v>
      </c>
      <c r="F187" s="301">
        <v>81699.7</v>
      </c>
      <c r="G187" s="262">
        <f>TRUNC(TRUNC(E187,8)*F187,2)</f>
        <v>1.19</v>
      </c>
    </row>
    <row r="188" spans="1:7" ht="30">
      <c r="A188" s="258" t="s">
        <v>481</v>
      </c>
      <c r="B188" s="259" t="s">
        <v>482</v>
      </c>
      <c r="C188" s="260" t="s">
        <v>26</v>
      </c>
      <c r="D188" s="260" t="s">
        <v>14</v>
      </c>
      <c r="E188" s="261">
        <v>1.4100000000000001E-5</v>
      </c>
      <c r="F188" s="301">
        <v>728477.1</v>
      </c>
      <c r="G188" s="262">
        <f>TRUNC(TRUNC(E188,8)*F188,2)</f>
        <v>10.27</v>
      </c>
    </row>
    <row r="189" spans="1:7">
      <c r="A189" s="263"/>
      <c r="B189" s="264"/>
      <c r="C189" s="264"/>
      <c r="D189" s="264"/>
      <c r="E189" s="265" t="s">
        <v>1300</v>
      </c>
      <c r="F189" s="265"/>
      <c r="G189" s="266">
        <f>SUM(G187:G188)</f>
        <v>11.459999999999999</v>
      </c>
    </row>
    <row r="190" spans="1:7">
      <c r="A190" s="263"/>
      <c r="B190" s="264"/>
      <c r="C190" s="264"/>
      <c r="D190" s="264"/>
      <c r="E190" s="267" t="s">
        <v>255</v>
      </c>
      <c r="F190" s="267">
        <f>A185</f>
        <v>91381</v>
      </c>
      <c r="G190" s="268">
        <f>SUM(G189)</f>
        <v>11.459999999999999</v>
      </c>
    </row>
    <row r="191" spans="1:7">
      <c r="A191" s="263"/>
      <c r="B191" s="264"/>
      <c r="C191" s="264"/>
      <c r="D191" s="264"/>
      <c r="E191" s="269"/>
      <c r="F191" s="269"/>
      <c r="G191" s="269"/>
    </row>
    <row r="192" spans="1:7" ht="42">
      <c r="A192" s="253">
        <v>91383</v>
      </c>
      <c r="B192" s="254" t="s">
        <v>1166</v>
      </c>
      <c r="C192" s="254"/>
      <c r="D192" s="254"/>
      <c r="E192" s="254"/>
      <c r="F192" s="254"/>
      <c r="G192" s="254"/>
    </row>
    <row r="193" spans="1:7" ht="21">
      <c r="A193" s="255" t="s">
        <v>268</v>
      </c>
      <c r="B193" s="256"/>
      <c r="C193" s="257" t="s">
        <v>4</v>
      </c>
      <c r="D193" s="257" t="s">
        <v>243</v>
      </c>
      <c r="E193" s="257" t="s">
        <v>244</v>
      </c>
      <c r="F193" s="257" t="s">
        <v>245</v>
      </c>
      <c r="G193" s="257" t="s">
        <v>246</v>
      </c>
    </row>
    <row r="194" spans="1:7" ht="20">
      <c r="A194" s="258" t="s">
        <v>516</v>
      </c>
      <c r="B194" s="259" t="s">
        <v>517</v>
      </c>
      <c r="C194" s="260" t="s">
        <v>26</v>
      </c>
      <c r="D194" s="260" t="s">
        <v>14</v>
      </c>
      <c r="E194" s="261">
        <v>8.4900000000000004E-5</v>
      </c>
      <c r="F194" s="301">
        <v>81699.7</v>
      </c>
      <c r="G194" s="262">
        <f>TRUNC(TRUNC(E194,8)*F194,2)</f>
        <v>6.93</v>
      </c>
    </row>
    <row r="195" spans="1:7" ht="30">
      <c r="A195" s="258" t="s">
        <v>481</v>
      </c>
      <c r="B195" s="259" t="s">
        <v>482</v>
      </c>
      <c r="C195" s="260" t="s">
        <v>26</v>
      </c>
      <c r="D195" s="260" t="s">
        <v>14</v>
      </c>
      <c r="E195" s="261">
        <v>6.4200000000000002E-5</v>
      </c>
      <c r="F195" s="301">
        <v>728477.1</v>
      </c>
      <c r="G195" s="262">
        <f>TRUNC(TRUNC(E195,8)*F195,2)</f>
        <v>46.76</v>
      </c>
    </row>
    <row r="196" spans="1:7">
      <c r="A196" s="263"/>
      <c r="B196" s="264"/>
      <c r="C196" s="264"/>
      <c r="D196" s="264"/>
      <c r="E196" s="265" t="s">
        <v>1300</v>
      </c>
      <c r="F196" s="265"/>
      <c r="G196" s="266">
        <f>SUM(G194:G195)</f>
        <v>53.69</v>
      </c>
    </row>
    <row r="197" spans="1:7">
      <c r="A197" s="263"/>
      <c r="B197" s="264"/>
      <c r="C197" s="264"/>
      <c r="D197" s="264"/>
      <c r="E197" s="267" t="s">
        <v>255</v>
      </c>
      <c r="F197" s="267">
        <f>A192</f>
        <v>91383</v>
      </c>
      <c r="G197" s="268">
        <f>SUM(G196)</f>
        <v>53.69</v>
      </c>
    </row>
    <row r="198" spans="1:7">
      <c r="A198" s="263"/>
      <c r="B198" s="264"/>
      <c r="C198" s="264"/>
      <c r="D198" s="264"/>
      <c r="E198" s="269"/>
      <c r="F198" s="269"/>
      <c r="G198" s="269"/>
    </row>
    <row r="199" spans="1:7" ht="42">
      <c r="A199" s="253">
        <v>91384</v>
      </c>
      <c r="B199" s="254" t="s">
        <v>1167</v>
      </c>
      <c r="C199" s="254"/>
      <c r="D199" s="254"/>
      <c r="E199" s="254"/>
      <c r="F199" s="254"/>
      <c r="G199" s="254"/>
    </row>
    <row r="200" spans="1:7" ht="21">
      <c r="A200" s="255" t="s">
        <v>256</v>
      </c>
      <c r="B200" s="256"/>
      <c r="C200" s="257" t="s">
        <v>4</v>
      </c>
      <c r="D200" s="257" t="s">
        <v>243</v>
      </c>
      <c r="E200" s="257" t="s">
        <v>244</v>
      </c>
      <c r="F200" s="257" t="s">
        <v>245</v>
      </c>
      <c r="G200" s="257" t="s">
        <v>246</v>
      </c>
    </row>
    <row r="201" spans="1:7">
      <c r="A201" s="258" t="s">
        <v>458</v>
      </c>
      <c r="B201" s="259" t="s">
        <v>459</v>
      </c>
      <c r="C201" s="260" t="s">
        <v>26</v>
      </c>
      <c r="D201" s="260" t="s">
        <v>335</v>
      </c>
      <c r="E201" s="262">
        <v>23.7</v>
      </c>
      <c r="F201" s="301">
        <v>6.29</v>
      </c>
      <c r="G201" s="262">
        <f>TRUNC(TRUNC(E201,8)*F201,2)</f>
        <v>149.07</v>
      </c>
    </row>
    <row r="202" spans="1:7" ht="21">
      <c r="A202" s="263"/>
      <c r="B202" s="264"/>
      <c r="C202" s="264"/>
      <c r="D202" s="264"/>
      <c r="E202" s="265" t="s">
        <v>259</v>
      </c>
      <c r="F202" s="265"/>
      <c r="G202" s="266">
        <f>SUM(G201:G201)</f>
        <v>149.07</v>
      </c>
    </row>
    <row r="203" spans="1:7">
      <c r="A203" s="263"/>
      <c r="B203" s="264"/>
      <c r="C203" s="264"/>
      <c r="D203" s="264"/>
      <c r="E203" s="267" t="s">
        <v>255</v>
      </c>
      <c r="F203" s="267">
        <f>A199</f>
        <v>91384</v>
      </c>
      <c r="G203" s="268">
        <f>SUM(G202)</f>
        <v>149.07</v>
      </c>
    </row>
    <row r="204" spans="1:7">
      <c r="A204" s="263"/>
      <c r="B204" s="264"/>
      <c r="C204" s="264"/>
      <c r="D204" s="264"/>
      <c r="E204" s="269"/>
      <c r="F204" s="269"/>
      <c r="G204" s="269"/>
    </row>
    <row r="205" spans="1:7">
      <c r="A205" s="253">
        <v>88262</v>
      </c>
      <c r="B205" s="254" t="s">
        <v>1168</v>
      </c>
      <c r="C205" s="254"/>
      <c r="D205" s="254"/>
      <c r="E205" s="254"/>
      <c r="F205" s="254"/>
      <c r="G205" s="254"/>
    </row>
    <row r="206" spans="1:7" ht="21">
      <c r="A206" s="255" t="s">
        <v>462</v>
      </c>
      <c r="B206" s="256"/>
      <c r="C206" s="257" t="s">
        <v>4</v>
      </c>
      <c r="D206" s="257" t="s">
        <v>243</v>
      </c>
      <c r="E206" s="257" t="s">
        <v>244</v>
      </c>
      <c r="F206" s="257" t="s">
        <v>245</v>
      </c>
      <c r="G206" s="257" t="s">
        <v>246</v>
      </c>
    </row>
    <row r="207" spans="1:7" ht="20">
      <c r="A207" s="258" t="s">
        <v>467</v>
      </c>
      <c r="B207" s="259" t="s">
        <v>468</v>
      </c>
      <c r="C207" s="260" t="s">
        <v>26</v>
      </c>
      <c r="D207" s="260" t="s">
        <v>265</v>
      </c>
      <c r="E207" s="271">
        <v>1</v>
      </c>
      <c r="F207" s="301">
        <v>0.92</v>
      </c>
      <c r="G207" s="262">
        <f t="shared" ref="G207:G212" si="6">TRUNC(TRUNC(E207,8)*F207,2)</f>
        <v>0.92</v>
      </c>
    </row>
    <row r="208" spans="1:7" ht="20">
      <c r="A208" s="258" t="s">
        <v>534</v>
      </c>
      <c r="B208" s="259" t="s">
        <v>535</v>
      </c>
      <c r="C208" s="260" t="s">
        <v>26</v>
      </c>
      <c r="D208" s="260" t="s">
        <v>265</v>
      </c>
      <c r="E208" s="271">
        <v>1</v>
      </c>
      <c r="F208" s="301">
        <v>1.43</v>
      </c>
      <c r="G208" s="262">
        <f t="shared" si="6"/>
        <v>1.43</v>
      </c>
    </row>
    <row r="209" spans="1:7" ht="20">
      <c r="A209" s="258" t="s">
        <v>460</v>
      </c>
      <c r="B209" s="259" t="s">
        <v>461</v>
      </c>
      <c r="C209" s="260" t="s">
        <v>26</v>
      </c>
      <c r="D209" s="260" t="s">
        <v>265</v>
      </c>
      <c r="E209" s="271">
        <v>1</v>
      </c>
      <c r="F209" s="301">
        <v>1.43</v>
      </c>
      <c r="G209" s="262">
        <f t="shared" si="6"/>
        <v>1.43</v>
      </c>
    </row>
    <row r="210" spans="1:7" ht="20">
      <c r="A210" s="258" t="s">
        <v>556</v>
      </c>
      <c r="B210" s="259" t="s">
        <v>557</v>
      </c>
      <c r="C210" s="260" t="s">
        <v>26</v>
      </c>
      <c r="D210" s="260" t="s">
        <v>265</v>
      </c>
      <c r="E210" s="271">
        <v>1</v>
      </c>
      <c r="F210" s="301">
        <v>0.44</v>
      </c>
      <c r="G210" s="262">
        <f t="shared" si="6"/>
        <v>0.44</v>
      </c>
    </row>
    <row r="211" spans="1:7" ht="20">
      <c r="A211" s="258" t="s">
        <v>570</v>
      </c>
      <c r="B211" s="259" t="s">
        <v>571</v>
      </c>
      <c r="C211" s="260" t="s">
        <v>26</v>
      </c>
      <c r="D211" s="260" t="s">
        <v>265</v>
      </c>
      <c r="E211" s="271">
        <v>1</v>
      </c>
      <c r="F211" s="301">
        <v>0.08</v>
      </c>
      <c r="G211" s="262">
        <f t="shared" si="6"/>
        <v>0.08</v>
      </c>
    </row>
    <row r="212" spans="1:7" ht="20">
      <c r="A212" s="258" t="s">
        <v>473</v>
      </c>
      <c r="B212" s="259" t="s">
        <v>474</v>
      </c>
      <c r="C212" s="260" t="s">
        <v>26</v>
      </c>
      <c r="D212" s="260" t="s">
        <v>265</v>
      </c>
      <c r="E212" s="271">
        <v>1</v>
      </c>
      <c r="F212" s="301">
        <v>0.8</v>
      </c>
      <c r="G212" s="262">
        <f t="shared" si="6"/>
        <v>0.8</v>
      </c>
    </row>
    <row r="213" spans="1:7" ht="21">
      <c r="A213" s="263"/>
      <c r="B213" s="264"/>
      <c r="C213" s="264"/>
      <c r="D213" s="264"/>
      <c r="E213" s="265" t="s">
        <v>1302</v>
      </c>
      <c r="F213" s="265"/>
      <c r="G213" s="266">
        <f>SUM(G207:G212)</f>
        <v>5.1000000000000005</v>
      </c>
    </row>
    <row r="214" spans="1:7" ht="21">
      <c r="A214" s="255" t="s">
        <v>447</v>
      </c>
      <c r="B214" s="256"/>
      <c r="C214" s="257" t="s">
        <v>4</v>
      </c>
      <c r="D214" s="257" t="s">
        <v>243</v>
      </c>
      <c r="E214" s="257" t="s">
        <v>244</v>
      </c>
      <c r="F214" s="257" t="s">
        <v>245</v>
      </c>
      <c r="G214" s="257" t="s">
        <v>246</v>
      </c>
    </row>
    <row r="215" spans="1:7">
      <c r="A215" s="258" t="s">
        <v>489</v>
      </c>
      <c r="B215" s="259" t="s">
        <v>490</v>
      </c>
      <c r="C215" s="260" t="s">
        <v>26</v>
      </c>
      <c r="D215" s="260" t="s">
        <v>265</v>
      </c>
      <c r="E215" s="271">
        <v>1</v>
      </c>
      <c r="F215" s="301">
        <v>19.260000000000002</v>
      </c>
      <c r="G215" s="262">
        <f>TRUNC(TRUNC(E215,8)*F215,2)</f>
        <v>19.260000000000002</v>
      </c>
    </row>
    <row r="216" spans="1:7">
      <c r="A216" s="263"/>
      <c r="B216" s="264"/>
      <c r="C216" s="264"/>
      <c r="D216" s="264"/>
      <c r="E216" s="265" t="s">
        <v>1303</v>
      </c>
      <c r="F216" s="265"/>
      <c r="G216" s="266">
        <f>SUM(G215:G215)</f>
        <v>19.260000000000002</v>
      </c>
    </row>
    <row r="217" spans="1:7" ht="21">
      <c r="A217" s="255" t="s">
        <v>250</v>
      </c>
      <c r="B217" s="256"/>
      <c r="C217" s="257" t="s">
        <v>4</v>
      </c>
      <c r="D217" s="257" t="s">
        <v>243</v>
      </c>
      <c r="E217" s="257" t="s">
        <v>244</v>
      </c>
      <c r="F217" s="257" t="s">
        <v>245</v>
      </c>
      <c r="G217" s="257" t="s">
        <v>246</v>
      </c>
    </row>
    <row r="218" spans="1:7" ht="20">
      <c r="A218" s="258" t="s">
        <v>988</v>
      </c>
      <c r="B218" s="259" t="s">
        <v>989</v>
      </c>
      <c r="C218" s="260" t="s">
        <v>26</v>
      </c>
      <c r="D218" s="260" t="s">
        <v>265</v>
      </c>
      <c r="E218" s="271">
        <v>1</v>
      </c>
      <c r="F218" s="301">
        <v>0.22</v>
      </c>
      <c r="G218" s="262">
        <f>TRUNC(TRUNC(E218,8)*F218,2)</f>
        <v>0.22</v>
      </c>
    </row>
    <row r="219" spans="1:7">
      <c r="A219" s="263"/>
      <c r="B219" s="264"/>
      <c r="C219" s="264"/>
      <c r="D219" s="264"/>
      <c r="E219" s="265" t="s">
        <v>1301</v>
      </c>
      <c r="F219" s="265"/>
      <c r="G219" s="266">
        <f>SUM(G218:G218)</f>
        <v>0.22</v>
      </c>
    </row>
    <row r="220" spans="1:7">
      <c r="A220" s="263"/>
      <c r="B220" s="264"/>
      <c r="C220" s="264"/>
      <c r="D220" s="264"/>
      <c r="E220" s="267" t="s">
        <v>255</v>
      </c>
      <c r="F220" s="267">
        <f>A205</f>
        <v>88262</v>
      </c>
      <c r="G220" s="268">
        <f>SUM(G213,G216,G219)</f>
        <v>24.580000000000002</v>
      </c>
    </row>
    <row r="221" spans="1:7">
      <c r="A221" s="263"/>
      <c r="B221" s="264"/>
      <c r="C221" s="264"/>
      <c r="D221" s="264"/>
      <c r="E221" s="269"/>
      <c r="F221" s="269"/>
      <c r="G221" s="269"/>
    </row>
    <row r="222" spans="1:7" ht="21">
      <c r="A222" s="253">
        <v>95265</v>
      </c>
      <c r="B222" s="254" t="s">
        <v>1169</v>
      </c>
      <c r="C222" s="254"/>
      <c r="D222" s="254"/>
      <c r="E222" s="254"/>
      <c r="F222" s="254"/>
      <c r="G222" s="254"/>
    </row>
    <row r="223" spans="1:7" ht="21">
      <c r="A223" s="255" t="s">
        <v>250</v>
      </c>
      <c r="B223" s="256"/>
      <c r="C223" s="257" t="s">
        <v>4</v>
      </c>
      <c r="D223" s="257" t="s">
        <v>243</v>
      </c>
      <c r="E223" s="257" t="s">
        <v>244</v>
      </c>
      <c r="F223" s="257" t="s">
        <v>245</v>
      </c>
      <c r="G223" s="257" t="s">
        <v>246</v>
      </c>
    </row>
    <row r="224" spans="1:7" ht="20">
      <c r="A224" s="258" t="s">
        <v>990</v>
      </c>
      <c r="B224" s="259" t="s">
        <v>991</v>
      </c>
      <c r="C224" s="260" t="s">
        <v>26</v>
      </c>
      <c r="D224" s="260" t="s">
        <v>265</v>
      </c>
      <c r="E224" s="271">
        <v>1</v>
      </c>
      <c r="F224" s="301">
        <v>0.68</v>
      </c>
      <c r="G224" s="262">
        <f>TRUNC(TRUNC(E224,8)*F224,2)</f>
        <v>0.68</v>
      </c>
    </row>
    <row r="225" spans="1:7" ht="20">
      <c r="A225" s="258" t="s">
        <v>992</v>
      </c>
      <c r="B225" s="259" t="s">
        <v>993</v>
      </c>
      <c r="C225" s="260" t="s">
        <v>26</v>
      </c>
      <c r="D225" s="260" t="s">
        <v>265</v>
      </c>
      <c r="E225" s="271">
        <v>1</v>
      </c>
      <c r="F225" s="301">
        <v>0.18</v>
      </c>
      <c r="G225" s="262">
        <f>TRUNC(TRUNC(E225,8)*F225,2)</f>
        <v>0.18</v>
      </c>
    </row>
    <row r="226" spans="1:7">
      <c r="A226" s="263"/>
      <c r="B226" s="264"/>
      <c r="C226" s="264"/>
      <c r="D226" s="264"/>
      <c r="E226" s="265" t="s">
        <v>1301</v>
      </c>
      <c r="F226" s="265"/>
      <c r="G226" s="266">
        <f>SUM(G224:G225)</f>
        <v>0.8600000000000001</v>
      </c>
    </row>
    <row r="227" spans="1:7">
      <c r="A227" s="263"/>
      <c r="B227" s="264"/>
      <c r="C227" s="264"/>
      <c r="D227" s="264"/>
      <c r="E227" s="267" t="s">
        <v>255</v>
      </c>
      <c r="F227" s="267">
        <f>A222</f>
        <v>95265</v>
      </c>
      <c r="G227" s="268">
        <f>SUM(G226)</f>
        <v>0.8600000000000001</v>
      </c>
    </row>
    <row r="228" spans="1:7">
      <c r="A228" s="263"/>
      <c r="B228" s="264"/>
      <c r="C228" s="264"/>
      <c r="D228" s="264"/>
      <c r="E228" s="269"/>
      <c r="F228" s="269"/>
      <c r="G228" s="269"/>
    </row>
    <row r="229" spans="1:7" ht="21">
      <c r="A229" s="253">
        <v>95264</v>
      </c>
      <c r="B229" s="254" t="s">
        <v>1170</v>
      </c>
      <c r="C229" s="254"/>
      <c r="D229" s="254"/>
      <c r="E229" s="254"/>
      <c r="F229" s="254"/>
      <c r="G229" s="254"/>
    </row>
    <row r="230" spans="1:7" ht="21">
      <c r="A230" s="255" t="s">
        <v>250</v>
      </c>
      <c r="B230" s="256"/>
      <c r="C230" s="257" t="s">
        <v>4</v>
      </c>
      <c r="D230" s="257" t="s">
        <v>243</v>
      </c>
      <c r="E230" s="257" t="s">
        <v>244</v>
      </c>
      <c r="F230" s="257" t="s">
        <v>245</v>
      </c>
      <c r="G230" s="257" t="s">
        <v>246</v>
      </c>
    </row>
    <row r="231" spans="1:7" ht="20">
      <c r="A231" s="258" t="s">
        <v>990</v>
      </c>
      <c r="B231" s="259" t="s">
        <v>991</v>
      </c>
      <c r="C231" s="260" t="s">
        <v>26</v>
      </c>
      <c r="D231" s="260" t="s">
        <v>265</v>
      </c>
      <c r="E231" s="271">
        <v>1</v>
      </c>
      <c r="F231" s="301">
        <v>0.68</v>
      </c>
      <c r="G231" s="262">
        <f>TRUNC(TRUNC(E231,8)*F231,2)</f>
        <v>0.68</v>
      </c>
    </row>
    <row r="232" spans="1:7" ht="20">
      <c r="A232" s="258" t="s">
        <v>992</v>
      </c>
      <c r="B232" s="259" t="s">
        <v>993</v>
      </c>
      <c r="C232" s="260" t="s">
        <v>26</v>
      </c>
      <c r="D232" s="260" t="s">
        <v>265</v>
      </c>
      <c r="E232" s="271">
        <v>1</v>
      </c>
      <c r="F232" s="301">
        <v>0.18</v>
      </c>
      <c r="G232" s="262">
        <f>TRUNC(TRUNC(E232,8)*F232,2)</f>
        <v>0.18</v>
      </c>
    </row>
    <row r="233" spans="1:7" ht="20">
      <c r="A233" s="258" t="s">
        <v>994</v>
      </c>
      <c r="B233" s="259" t="s">
        <v>995</v>
      </c>
      <c r="C233" s="260" t="s">
        <v>26</v>
      </c>
      <c r="D233" s="260" t="s">
        <v>265</v>
      </c>
      <c r="E233" s="271">
        <v>1</v>
      </c>
      <c r="F233" s="301">
        <v>0.85</v>
      </c>
      <c r="G233" s="262">
        <f>TRUNC(TRUNC(E233,8)*F233,2)</f>
        <v>0.85</v>
      </c>
    </row>
    <row r="234" spans="1:7" ht="20">
      <c r="A234" s="258" t="s">
        <v>996</v>
      </c>
      <c r="B234" s="259" t="s">
        <v>997</v>
      </c>
      <c r="C234" s="260" t="s">
        <v>26</v>
      </c>
      <c r="D234" s="260" t="s">
        <v>265</v>
      </c>
      <c r="E234" s="271">
        <v>1</v>
      </c>
      <c r="F234" s="301">
        <v>4.8899999999999997</v>
      </c>
      <c r="G234" s="262">
        <f>TRUNC(TRUNC(E234,8)*F234,2)</f>
        <v>4.8899999999999997</v>
      </c>
    </row>
    <row r="235" spans="1:7">
      <c r="A235" s="263"/>
      <c r="B235" s="264"/>
      <c r="C235" s="264"/>
      <c r="D235" s="264"/>
      <c r="E235" s="265" t="s">
        <v>1301</v>
      </c>
      <c r="F235" s="265"/>
      <c r="G235" s="266">
        <f>SUM(G231:G234)</f>
        <v>6.6</v>
      </c>
    </row>
    <row r="236" spans="1:7">
      <c r="A236" s="263"/>
      <c r="B236" s="264"/>
      <c r="C236" s="264"/>
      <c r="D236" s="264"/>
      <c r="E236" s="267" t="s">
        <v>255</v>
      </c>
      <c r="F236" s="267">
        <f>A229</f>
        <v>95264</v>
      </c>
      <c r="G236" s="268">
        <f>SUM(G235)</f>
        <v>6.6</v>
      </c>
    </row>
    <row r="237" spans="1:7">
      <c r="A237" s="263"/>
      <c r="B237" s="264"/>
      <c r="C237" s="264"/>
      <c r="D237" s="264"/>
      <c r="E237" s="269"/>
      <c r="F237" s="269"/>
      <c r="G237" s="269"/>
    </row>
    <row r="238" spans="1:7" ht="21">
      <c r="A238" s="253">
        <v>95260</v>
      </c>
      <c r="B238" s="254" t="s">
        <v>1171</v>
      </c>
      <c r="C238" s="254"/>
      <c r="D238" s="254"/>
      <c r="E238" s="254"/>
      <c r="F238" s="254"/>
      <c r="G238" s="254"/>
    </row>
    <row r="239" spans="1:7" ht="21">
      <c r="A239" s="255" t="s">
        <v>268</v>
      </c>
      <c r="B239" s="256"/>
      <c r="C239" s="257" t="s">
        <v>4</v>
      </c>
      <c r="D239" s="257" t="s">
        <v>243</v>
      </c>
      <c r="E239" s="257" t="s">
        <v>244</v>
      </c>
      <c r="F239" s="257" t="s">
        <v>245</v>
      </c>
      <c r="G239" s="257" t="s">
        <v>246</v>
      </c>
    </row>
    <row r="240" spans="1:7" ht="40">
      <c r="A240" s="258" t="s">
        <v>614</v>
      </c>
      <c r="B240" s="259" t="s">
        <v>615</v>
      </c>
      <c r="C240" s="260" t="s">
        <v>26</v>
      </c>
      <c r="D240" s="260" t="s">
        <v>14</v>
      </c>
      <c r="E240" s="261">
        <v>5.3300000000000001E-5</v>
      </c>
      <c r="F240" s="301">
        <v>12782.95</v>
      </c>
      <c r="G240" s="262">
        <f>TRUNC(TRUNC(E240,8)*F240,2)</f>
        <v>0.68</v>
      </c>
    </row>
    <row r="241" spans="1:7">
      <c r="A241" s="263"/>
      <c r="B241" s="264"/>
      <c r="C241" s="264"/>
      <c r="D241" s="264"/>
      <c r="E241" s="265" t="s">
        <v>1300</v>
      </c>
      <c r="F241" s="265"/>
      <c r="G241" s="266">
        <f>SUM(G240:G240)</f>
        <v>0.68</v>
      </c>
    </row>
    <row r="242" spans="1:7">
      <c r="A242" s="263"/>
      <c r="B242" s="264"/>
      <c r="C242" s="264"/>
      <c r="D242" s="264"/>
      <c r="E242" s="267" t="s">
        <v>255</v>
      </c>
      <c r="F242" s="267">
        <f>A238</f>
        <v>95260</v>
      </c>
      <c r="G242" s="268">
        <f>SUM(G241)</f>
        <v>0.68</v>
      </c>
    </row>
    <row r="243" spans="1:7">
      <c r="A243" s="263"/>
      <c r="B243" s="264"/>
      <c r="C243" s="264"/>
      <c r="D243" s="264"/>
      <c r="E243" s="269"/>
      <c r="F243" s="269"/>
      <c r="G243" s="269"/>
    </row>
    <row r="244" spans="1:7" ht="21">
      <c r="A244" s="253">
        <v>95261</v>
      </c>
      <c r="B244" s="254" t="s">
        <v>1172</v>
      </c>
      <c r="C244" s="254"/>
      <c r="D244" s="254"/>
      <c r="E244" s="254"/>
      <c r="F244" s="254"/>
      <c r="G244" s="254"/>
    </row>
    <row r="245" spans="1:7" ht="21">
      <c r="A245" s="255" t="s">
        <v>268</v>
      </c>
      <c r="B245" s="256"/>
      <c r="C245" s="257" t="s">
        <v>4</v>
      </c>
      <c r="D245" s="257" t="s">
        <v>243</v>
      </c>
      <c r="E245" s="257" t="s">
        <v>244</v>
      </c>
      <c r="F245" s="257" t="s">
        <v>245</v>
      </c>
      <c r="G245" s="257" t="s">
        <v>246</v>
      </c>
    </row>
    <row r="246" spans="1:7" ht="40">
      <c r="A246" s="258" t="s">
        <v>614</v>
      </c>
      <c r="B246" s="259" t="s">
        <v>615</v>
      </c>
      <c r="C246" s="260" t="s">
        <v>26</v>
      </c>
      <c r="D246" s="260" t="s">
        <v>14</v>
      </c>
      <c r="E246" s="261">
        <v>1.43E-5</v>
      </c>
      <c r="F246" s="301">
        <v>12782.95</v>
      </c>
      <c r="G246" s="262">
        <f>TRUNC(TRUNC(E246,8)*F246,2)</f>
        <v>0.18</v>
      </c>
    </row>
    <row r="247" spans="1:7">
      <c r="A247" s="263"/>
      <c r="B247" s="264"/>
      <c r="C247" s="264"/>
      <c r="D247" s="264"/>
      <c r="E247" s="265" t="s">
        <v>1300</v>
      </c>
      <c r="F247" s="265"/>
      <c r="G247" s="266">
        <f>SUM(G246:G246)</f>
        <v>0.18</v>
      </c>
    </row>
    <row r="248" spans="1:7">
      <c r="A248" s="263"/>
      <c r="B248" s="264"/>
      <c r="C248" s="264"/>
      <c r="D248" s="264"/>
      <c r="E248" s="267" t="s">
        <v>255</v>
      </c>
      <c r="F248" s="267">
        <f>A244</f>
        <v>95261</v>
      </c>
      <c r="G248" s="268">
        <f>SUM(G247)</f>
        <v>0.18</v>
      </c>
    </row>
    <row r="249" spans="1:7">
      <c r="A249" s="263"/>
      <c r="B249" s="264"/>
      <c r="C249" s="264"/>
      <c r="D249" s="264"/>
      <c r="E249" s="269"/>
      <c r="F249" s="269"/>
      <c r="G249" s="269"/>
    </row>
    <row r="250" spans="1:7" ht="21">
      <c r="A250" s="253">
        <v>95262</v>
      </c>
      <c r="B250" s="254" t="s">
        <v>1173</v>
      </c>
      <c r="C250" s="254"/>
      <c r="D250" s="254"/>
      <c r="E250" s="254"/>
      <c r="F250" s="254"/>
      <c r="G250" s="254"/>
    </row>
    <row r="251" spans="1:7" ht="21">
      <c r="A251" s="255" t="s">
        <v>268</v>
      </c>
      <c r="B251" s="256"/>
      <c r="C251" s="257" t="s">
        <v>4</v>
      </c>
      <c r="D251" s="257" t="s">
        <v>243</v>
      </c>
      <c r="E251" s="257" t="s">
        <v>244</v>
      </c>
      <c r="F251" s="257" t="s">
        <v>245</v>
      </c>
      <c r="G251" s="257" t="s">
        <v>246</v>
      </c>
    </row>
    <row r="252" spans="1:7" ht="40">
      <c r="A252" s="258" t="s">
        <v>614</v>
      </c>
      <c r="B252" s="259" t="s">
        <v>615</v>
      </c>
      <c r="C252" s="260" t="s">
        <v>26</v>
      </c>
      <c r="D252" s="260" t="s">
        <v>14</v>
      </c>
      <c r="E252" s="261">
        <v>6.6699999999999995E-5</v>
      </c>
      <c r="F252" s="301">
        <v>12782.95</v>
      </c>
      <c r="G252" s="262">
        <f>TRUNC(TRUNC(E252,8)*F252,2)</f>
        <v>0.85</v>
      </c>
    </row>
    <row r="253" spans="1:7">
      <c r="A253" s="263"/>
      <c r="B253" s="264"/>
      <c r="C253" s="264"/>
      <c r="D253" s="264"/>
      <c r="E253" s="265" t="s">
        <v>1300</v>
      </c>
      <c r="F253" s="265"/>
      <c r="G253" s="266">
        <f>SUM(G252:G252)</f>
        <v>0.85</v>
      </c>
    </row>
    <row r="254" spans="1:7">
      <c r="A254" s="263"/>
      <c r="B254" s="264"/>
      <c r="C254" s="264"/>
      <c r="D254" s="264"/>
      <c r="E254" s="267" t="s">
        <v>255</v>
      </c>
      <c r="F254" s="267">
        <f>A250</f>
        <v>95262</v>
      </c>
      <c r="G254" s="268">
        <f>SUM(G253)</f>
        <v>0.85</v>
      </c>
    </row>
    <row r="255" spans="1:7">
      <c r="A255" s="263"/>
      <c r="B255" s="264"/>
      <c r="C255" s="264"/>
      <c r="D255" s="264"/>
      <c r="E255" s="269"/>
      <c r="F255" s="269"/>
      <c r="G255" s="269"/>
    </row>
    <row r="256" spans="1:7" ht="31.5">
      <c r="A256" s="253">
        <v>95263</v>
      </c>
      <c r="B256" s="254" t="s">
        <v>1174</v>
      </c>
      <c r="C256" s="254"/>
      <c r="D256" s="254"/>
      <c r="E256" s="254"/>
      <c r="F256" s="254"/>
      <c r="G256" s="254"/>
    </row>
    <row r="257" spans="1:7" ht="21">
      <c r="A257" s="255" t="s">
        <v>256</v>
      </c>
      <c r="B257" s="256"/>
      <c r="C257" s="257" t="s">
        <v>4</v>
      </c>
      <c r="D257" s="257" t="s">
        <v>243</v>
      </c>
      <c r="E257" s="257" t="s">
        <v>244</v>
      </c>
      <c r="F257" s="257" t="s">
        <v>245</v>
      </c>
      <c r="G257" s="257" t="s">
        <v>246</v>
      </c>
    </row>
    <row r="258" spans="1:7">
      <c r="A258" s="258" t="s">
        <v>606</v>
      </c>
      <c r="B258" s="259" t="s">
        <v>607</v>
      </c>
      <c r="C258" s="260" t="s">
        <v>26</v>
      </c>
      <c r="D258" s="260" t="s">
        <v>335</v>
      </c>
      <c r="E258" s="271">
        <v>0.78</v>
      </c>
      <c r="F258" s="301">
        <v>6.27</v>
      </c>
      <c r="G258" s="262">
        <f>TRUNC(TRUNC(E258,8)*F258,2)</f>
        <v>4.8899999999999997</v>
      </c>
    </row>
    <row r="259" spans="1:7" ht="21">
      <c r="A259" s="263"/>
      <c r="B259" s="264"/>
      <c r="C259" s="264"/>
      <c r="D259" s="264"/>
      <c r="E259" s="265" t="s">
        <v>259</v>
      </c>
      <c r="F259" s="265"/>
      <c r="G259" s="266">
        <f>SUM(G258:G258)</f>
        <v>4.8899999999999997</v>
      </c>
    </row>
    <row r="260" spans="1:7">
      <c r="A260" s="263"/>
      <c r="B260" s="264"/>
      <c r="C260" s="264"/>
      <c r="D260" s="264"/>
      <c r="E260" s="267" t="s">
        <v>255</v>
      </c>
      <c r="F260" s="267">
        <f>A256</f>
        <v>95263</v>
      </c>
      <c r="G260" s="268">
        <f>SUM(G259)</f>
        <v>4.8899999999999997</v>
      </c>
    </row>
    <row r="261" spans="1:7">
      <c r="A261" s="263"/>
      <c r="B261" s="264"/>
      <c r="C261" s="264"/>
      <c r="D261" s="264"/>
      <c r="E261" s="269"/>
      <c r="F261" s="269"/>
      <c r="G261" s="269"/>
    </row>
    <row r="262" spans="1:7" ht="31.5">
      <c r="A262" s="253">
        <v>97083</v>
      </c>
      <c r="B262" s="254" t="s">
        <v>1175</v>
      </c>
      <c r="C262" s="254"/>
      <c r="D262" s="254"/>
      <c r="E262" s="254"/>
      <c r="F262" s="254"/>
      <c r="G262" s="254"/>
    </row>
    <row r="263" spans="1:7" ht="21">
      <c r="A263" s="255" t="s">
        <v>260</v>
      </c>
      <c r="B263" s="256"/>
      <c r="C263" s="257" t="s">
        <v>4</v>
      </c>
      <c r="D263" s="257" t="s">
        <v>243</v>
      </c>
      <c r="E263" s="257" t="s">
        <v>244</v>
      </c>
      <c r="F263" s="257" t="s">
        <v>245</v>
      </c>
      <c r="G263" s="257" t="s">
        <v>246</v>
      </c>
    </row>
    <row r="264" spans="1:7" ht="20">
      <c r="A264" s="258" t="s">
        <v>998</v>
      </c>
      <c r="B264" s="259" t="s">
        <v>999</v>
      </c>
      <c r="C264" s="260" t="s">
        <v>26</v>
      </c>
      <c r="D264" s="260" t="s">
        <v>234</v>
      </c>
      <c r="E264" s="271">
        <v>4.2000000000000003E-2</v>
      </c>
      <c r="F264" s="301">
        <v>0.86</v>
      </c>
      <c r="G264" s="262">
        <f>TRUNC(TRUNC(E264,8)*F264,2)</f>
        <v>0.03</v>
      </c>
    </row>
    <row r="265" spans="1:7" ht="20">
      <c r="A265" s="258" t="s">
        <v>1000</v>
      </c>
      <c r="B265" s="259" t="s">
        <v>1001</v>
      </c>
      <c r="C265" s="260" t="s">
        <v>26</v>
      </c>
      <c r="D265" s="260" t="s">
        <v>237</v>
      </c>
      <c r="E265" s="271">
        <v>2.5000000000000001E-2</v>
      </c>
      <c r="F265" s="301">
        <v>6.6</v>
      </c>
      <c r="G265" s="262">
        <f>TRUNC(TRUNC(E265,8)*F265,2)</f>
        <v>0.16</v>
      </c>
    </row>
    <row r="266" spans="1:7">
      <c r="A266" s="263"/>
      <c r="B266" s="264"/>
      <c r="C266" s="264"/>
      <c r="D266" s="264"/>
      <c r="E266" s="265" t="s">
        <v>1298</v>
      </c>
      <c r="F266" s="265"/>
      <c r="G266" s="266">
        <f>SUM(G264:G265)</f>
        <v>0.19</v>
      </c>
    </row>
    <row r="267" spans="1:7" ht="21">
      <c r="A267" s="255" t="s">
        <v>242</v>
      </c>
      <c r="B267" s="256"/>
      <c r="C267" s="257" t="s">
        <v>4</v>
      </c>
      <c r="D267" s="257" t="s">
        <v>243</v>
      </c>
      <c r="E267" s="257" t="s">
        <v>244</v>
      </c>
      <c r="F267" s="257" t="s">
        <v>245</v>
      </c>
      <c r="G267" s="257" t="s">
        <v>246</v>
      </c>
    </row>
    <row r="268" spans="1:7">
      <c r="A268" s="258" t="s">
        <v>285</v>
      </c>
      <c r="B268" s="259" t="s">
        <v>286</v>
      </c>
      <c r="C268" s="260" t="s">
        <v>26</v>
      </c>
      <c r="D268" s="260" t="s">
        <v>265</v>
      </c>
      <c r="E268" s="271">
        <v>4.4999999999999998E-2</v>
      </c>
      <c r="F268" s="301">
        <v>25.21</v>
      </c>
      <c r="G268" s="262">
        <f>TRUNC(TRUNC(E268,8)*F268,2)</f>
        <v>1.1299999999999999</v>
      </c>
    </row>
    <row r="269" spans="1:7">
      <c r="A269" s="258" t="s">
        <v>274</v>
      </c>
      <c r="B269" s="259" t="s">
        <v>275</v>
      </c>
      <c r="C269" s="260" t="s">
        <v>26</v>
      </c>
      <c r="D269" s="260" t="s">
        <v>265</v>
      </c>
      <c r="E269" s="271">
        <v>8.8999999999999996E-2</v>
      </c>
      <c r="F269" s="301">
        <v>20.27</v>
      </c>
      <c r="G269" s="262">
        <f>TRUNC(TRUNC(E269,8)*F269,2)</f>
        <v>1.8</v>
      </c>
    </row>
    <row r="270" spans="1:7">
      <c r="A270" s="263"/>
      <c r="B270" s="264"/>
      <c r="C270" s="264"/>
      <c r="D270" s="264"/>
      <c r="E270" s="265" t="s">
        <v>1299</v>
      </c>
      <c r="F270" s="265"/>
      <c r="G270" s="266">
        <f>SUM(G268:G269)</f>
        <v>2.9299999999999997</v>
      </c>
    </row>
    <row r="271" spans="1:7">
      <c r="A271" s="263"/>
      <c r="B271" s="264"/>
      <c r="C271" s="264"/>
      <c r="D271" s="264"/>
      <c r="E271" s="267" t="s">
        <v>255</v>
      </c>
      <c r="F271" s="267">
        <f>A262</f>
        <v>97083</v>
      </c>
      <c r="G271" s="268">
        <f>SUM(G266,G270)</f>
        <v>3.1199999999999997</v>
      </c>
    </row>
    <row r="272" spans="1:7">
      <c r="A272" s="263"/>
      <c r="B272" s="264"/>
      <c r="C272" s="264"/>
      <c r="D272" s="264"/>
      <c r="E272" s="269"/>
      <c r="F272" s="269"/>
      <c r="G272" s="269"/>
    </row>
    <row r="273" spans="1:7" ht="31.5">
      <c r="A273" s="253">
        <v>97096</v>
      </c>
      <c r="B273" s="254" t="s">
        <v>1176</v>
      </c>
      <c r="C273" s="254"/>
      <c r="D273" s="254"/>
      <c r="E273" s="254"/>
      <c r="F273" s="254"/>
      <c r="G273" s="254"/>
    </row>
    <row r="274" spans="1:7" ht="21">
      <c r="A274" s="255" t="s">
        <v>260</v>
      </c>
      <c r="B274" s="256"/>
      <c r="C274" s="257" t="s">
        <v>4</v>
      </c>
      <c r="D274" s="257" t="s">
        <v>243</v>
      </c>
      <c r="E274" s="257" t="s">
        <v>244</v>
      </c>
      <c r="F274" s="257" t="s">
        <v>245</v>
      </c>
      <c r="G274" s="257" t="s">
        <v>246</v>
      </c>
    </row>
    <row r="275" spans="1:7" ht="20">
      <c r="A275" s="258" t="s">
        <v>1002</v>
      </c>
      <c r="B275" s="259" t="s">
        <v>1003</v>
      </c>
      <c r="C275" s="260" t="s">
        <v>26</v>
      </c>
      <c r="D275" s="260" t="s">
        <v>234</v>
      </c>
      <c r="E275" s="271">
        <v>4.9000000000000002E-2</v>
      </c>
      <c r="F275" s="301">
        <v>0.53</v>
      </c>
      <c r="G275" s="262">
        <f>TRUNC(TRUNC(E275,8)*F275,2)</f>
        <v>0.02</v>
      </c>
    </row>
    <row r="276" spans="1:7" ht="20">
      <c r="A276" s="258" t="s">
        <v>1004</v>
      </c>
      <c r="B276" s="259" t="s">
        <v>1005</v>
      </c>
      <c r="C276" s="260" t="s">
        <v>26</v>
      </c>
      <c r="D276" s="260" t="s">
        <v>237</v>
      </c>
      <c r="E276" s="271">
        <v>5.2999999999999999E-2</v>
      </c>
      <c r="F276" s="301">
        <v>1.26</v>
      </c>
      <c r="G276" s="262">
        <f>TRUNC(TRUNC(E276,8)*F276,2)</f>
        <v>0.06</v>
      </c>
    </row>
    <row r="277" spans="1:7">
      <c r="A277" s="263"/>
      <c r="B277" s="264"/>
      <c r="C277" s="264"/>
      <c r="D277" s="264"/>
      <c r="E277" s="265" t="s">
        <v>1298</v>
      </c>
      <c r="F277" s="265"/>
      <c r="G277" s="266">
        <f>SUM(G275:G276)</f>
        <v>0.08</v>
      </c>
    </row>
    <row r="278" spans="1:7" ht="21">
      <c r="A278" s="255" t="s">
        <v>256</v>
      </c>
      <c r="B278" s="256"/>
      <c r="C278" s="257" t="s">
        <v>4</v>
      </c>
      <c r="D278" s="257" t="s">
        <v>243</v>
      </c>
      <c r="E278" s="257" t="s">
        <v>244</v>
      </c>
      <c r="F278" s="257" t="s">
        <v>245</v>
      </c>
      <c r="G278" s="257" t="s">
        <v>246</v>
      </c>
    </row>
    <row r="279" spans="1:7" ht="30">
      <c r="A279" s="258" t="s">
        <v>469</v>
      </c>
      <c r="B279" s="259" t="s">
        <v>470</v>
      </c>
      <c r="C279" s="260" t="s">
        <v>26</v>
      </c>
      <c r="D279" s="260" t="s">
        <v>45</v>
      </c>
      <c r="E279" s="271">
        <v>1.06</v>
      </c>
      <c r="F279" s="301">
        <v>594.16</v>
      </c>
      <c r="G279" s="262">
        <f>TRUNC(TRUNC(E279,8)*F279,2)</f>
        <v>629.79999999999995</v>
      </c>
    </row>
    <row r="280" spans="1:7" ht="21">
      <c r="A280" s="263"/>
      <c r="B280" s="264"/>
      <c r="C280" s="264"/>
      <c r="D280" s="264"/>
      <c r="E280" s="265" t="s">
        <v>259</v>
      </c>
      <c r="F280" s="265"/>
      <c r="G280" s="266">
        <f>SUM(G279:G279)</f>
        <v>629.79999999999995</v>
      </c>
    </row>
    <row r="281" spans="1:7" ht="21">
      <c r="A281" s="255" t="s">
        <v>242</v>
      </c>
      <c r="B281" s="256"/>
      <c r="C281" s="257" t="s">
        <v>4</v>
      </c>
      <c r="D281" s="257" t="s">
        <v>243</v>
      </c>
      <c r="E281" s="257" t="s">
        <v>244</v>
      </c>
      <c r="F281" s="257" t="s">
        <v>245</v>
      </c>
      <c r="G281" s="257" t="s">
        <v>246</v>
      </c>
    </row>
    <row r="282" spans="1:7">
      <c r="A282" s="258" t="s">
        <v>285</v>
      </c>
      <c r="B282" s="259" t="s">
        <v>286</v>
      </c>
      <c r="C282" s="260" t="s">
        <v>26</v>
      </c>
      <c r="D282" s="260" t="s">
        <v>265</v>
      </c>
      <c r="E282" s="271">
        <v>0.41099999999999998</v>
      </c>
      <c r="F282" s="301">
        <v>25.21</v>
      </c>
      <c r="G282" s="262">
        <f>TRUNC(TRUNC(E282,8)*F282,2)</f>
        <v>10.36</v>
      </c>
    </row>
    <row r="283" spans="1:7">
      <c r="A283" s="258" t="s">
        <v>274</v>
      </c>
      <c r="B283" s="259" t="s">
        <v>275</v>
      </c>
      <c r="C283" s="260" t="s">
        <v>26</v>
      </c>
      <c r="D283" s="260" t="s">
        <v>265</v>
      </c>
      <c r="E283" s="271">
        <v>0.41099999999999998</v>
      </c>
      <c r="F283" s="301">
        <v>20.27</v>
      </c>
      <c r="G283" s="262">
        <f>TRUNC(TRUNC(E283,8)*F283,2)</f>
        <v>8.33</v>
      </c>
    </row>
    <row r="284" spans="1:7">
      <c r="A284" s="263"/>
      <c r="B284" s="264"/>
      <c r="C284" s="264"/>
      <c r="D284" s="264"/>
      <c r="E284" s="265" t="s">
        <v>1299</v>
      </c>
      <c r="F284" s="265"/>
      <c r="G284" s="266">
        <f>SUM(G282:G283)</f>
        <v>18.689999999999998</v>
      </c>
    </row>
    <row r="285" spans="1:7">
      <c r="A285" s="263"/>
      <c r="B285" s="264"/>
      <c r="C285" s="264"/>
      <c r="D285" s="264"/>
      <c r="E285" s="267" t="s">
        <v>255</v>
      </c>
      <c r="F285" s="267">
        <f>A273</f>
        <v>97096</v>
      </c>
      <c r="G285" s="268">
        <f>SUM(G277,G280,G284)</f>
        <v>648.56999999999994</v>
      </c>
    </row>
    <row r="286" spans="1:7">
      <c r="A286" s="263"/>
      <c r="B286" s="264"/>
      <c r="C286" s="264"/>
      <c r="D286" s="264"/>
      <c r="E286" s="269"/>
      <c r="F286" s="269"/>
      <c r="G286" s="269"/>
    </row>
    <row r="287" spans="1:7" ht="31.5">
      <c r="A287" s="253">
        <v>94974</v>
      </c>
      <c r="B287" s="254" t="s">
        <v>1177</v>
      </c>
      <c r="C287" s="254"/>
      <c r="D287" s="254"/>
      <c r="E287" s="254"/>
      <c r="F287" s="254"/>
      <c r="G287" s="254"/>
    </row>
    <row r="288" spans="1:7" ht="21">
      <c r="A288" s="255" t="s">
        <v>256</v>
      </c>
      <c r="B288" s="256"/>
      <c r="C288" s="257" t="s">
        <v>4</v>
      </c>
      <c r="D288" s="257" t="s">
        <v>243</v>
      </c>
      <c r="E288" s="257" t="s">
        <v>244</v>
      </c>
      <c r="F288" s="257" t="s">
        <v>245</v>
      </c>
      <c r="G288" s="257" t="s">
        <v>246</v>
      </c>
    </row>
    <row r="289" spans="1:7" ht="20">
      <c r="A289" s="258" t="s">
        <v>560</v>
      </c>
      <c r="B289" s="259" t="s">
        <v>561</v>
      </c>
      <c r="C289" s="260" t="s">
        <v>26</v>
      </c>
      <c r="D289" s="260" t="s">
        <v>45</v>
      </c>
      <c r="E289" s="271">
        <v>0.8538</v>
      </c>
      <c r="F289" s="301">
        <v>140</v>
      </c>
      <c r="G289" s="262">
        <f>TRUNC(TRUNC(E289,8)*F289,2)</f>
        <v>119.53</v>
      </c>
    </row>
    <row r="290" spans="1:7">
      <c r="A290" s="258" t="s">
        <v>303</v>
      </c>
      <c r="B290" s="259" t="s">
        <v>304</v>
      </c>
      <c r="C290" s="260" t="s">
        <v>26</v>
      </c>
      <c r="D290" s="260" t="s">
        <v>83</v>
      </c>
      <c r="E290" s="271">
        <v>218.93</v>
      </c>
      <c r="F290" s="301">
        <v>0.7</v>
      </c>
      <c r="G290" s="262">
        <f>TRUNC(TRUNC(E290,8)*F290,2)</f>
        <v>153.25</v>
      </c>
    </row>
    <row r="291" spans="1:7" ht="20">
      <c r="A291" s="258" t="s">
        <v>578</v>
      </c>
      <c r="B291" s="259" t="s">
        <v>579</v>
      </c>
      <c r="C291" s="260" t="s">
        <v>26</v>
      </c>
      <c r="D291" s="260" t="s">
        <v>45</v>
      </c>
      <c r="E291" s="271">
        <v>0.59709999999999996</v>
      </c>
      <c r="F291" s="301">
        <v>99.47</v>
      </c>
      <c r="G291" s="262">
        <f>TRUNC(TRUNC(E291,8)*F291,2)</f>
        <v>59.39</v>
      </c>
    </row>
    <row r="292" spans="1:7" ht="21">
      <c r="A292" s="263"/>
      <c r="B292" s="264"/>
      <c r="C292" s="264"/>
      <c r="D292" s="264"/>
      <c r="E292" s="265" t="s">
        <v>259</v>
      </c>
      <c r="F292" s="265"/>
      <c r="G292" s="266">
        <f>SUM(G289:G291)</f>
        <v>332.16999999999996</v>
      </c>
    </row>
    <row r="293" spans="1:7" ht="21">
      <c r="A293" s="255" t="s">
        <v>242</v>
      </c>
      <c r="B293" s="256"/>
      <c r="C293" s="257" t="s">
        <v>4</v>
      </c>
      <c r="D293" s="257" t="s">
        <v>243</v>
      </c>
      <c r="E293" s="257" t="s">
        <v>244</v>
      </c>
      <c r="F293" s="257" t="s">
        <v>245</v>
      </c>
      <c r="G293" s="257" t="s">
        <v>246</v>
      </c>
    </row>
    <row r="294" spans="1:7">
      <c r="A294" s="258" t="s">
        <v>274</v>
      </c>
      <c r="B294" s="259" t="s">
        <v>275</v>
      </c>
      <c r="C294" s="260" t="s">
        <v>26</v>
      </c>
      <c r="D294" s="260" t="s">
        <v>265</v>
      </c>
      <c r="E294" s="271">
        <v>6.2858000000000001</v>
      </c>
      <c r="F294" s="301">
        <v>20.27</v>
      </c>
      <c r="G294" s="262">
        <f>TRUNC(TRUNC(E294,8)*F294,2)</f>
        <v>127.41</v>
      </c>
    </row>
    <row r="295" spans="1:7">
      <c r="A295" s="263"/>
      <c r="B295" s="264"/>
      <c r="C295" s="264"/>
      <c r="D295" s="264"/>
      <c r="E295" s="265" t="s">
        <v>1299</v>
      </c>
      <c r="F295" s="265"/>
      <c r="G295" s="266">
        <f>SUM(G294:G294)</f>
        <v>127.41</v>
      </c>
    </row>
    <row r="296" spans="1:7">
      <c r="A296" s="263"/>
      <c r="B296" s="264"/>
      <c r="C296" s="264"/>
      <c r="D296" s="264"/>
      <c r="E296" s="267" t="s">
        <v>255</v>
      </c>
      <c r="F296" s="267">
        <f>A287</f>
        <v>94974</v>
      </c>
      <c r="G296" s="268">
        <f>SUM(G292,G295)</f>
        <v>459.57999999999993</v>
      </c>
    </row>
    <row r="297" spans="1:7">
      <c r="A297" s="263"/>
      <c r="B297" s="264"/>
      <c r="C297" s="264"/>
      <c r="D297" s="264"/>
      <c r="E297" s="269"/>
      <c r="F297" s="269"/>
      <c r="G297" s="269"/>
    </row>
    <row r="298" spans="1:7" ht="21">
      <c r="A298" s="253">
        <v>95308</v>
      </c>
      <c r="B298" s="254" t="s">
        <v>1178</v>
      </c>
      <c r="C298" s="254"/>
      <c r="D298" s="254"/>
      <c r="E298" s="254"/>
      <c r="F298" s="254"/>
      <c r="G298" s="254"/>
    </row>
    <row r="299" spans="1:7" ht="21">
      <c r="A299" s="255" t="s">
        <v>447</v>
      </c>
      <c r="B299" s="256"/>
      <c r="C299" s="257" t="s">
        <v>4</v>
      </c>
      <c r="D299" s="257" t="s">
        <v>243</v>
      </c>
      <c r="E299" s="257" t="s">
        <v>244</v>
      </c>
      <c r="F299" s="257" t="s">
        <v>245</v>
      </c>
      <c r="G299" s="257" t="s">
        <v>246</v>
      </c>
    </row>
    <row r="300" spans="1:7">
      <c r="A300" s="258" t="s">
        <v>594</v>
      </c>
      <c r="B300" s="259" t="s">
        <v>595</v>
      </c>
      <c r="C300" s="260" t="s">
        <v>26</v>
      </c>
      <c r="D300" s="260" t="s">
        <v>265</v>
      </c>
      <c r="E300" s="302">
        <v>1.154E-2</v>
      </c>
      <c r="F300" s="301">
        <v>15.57</v>
      </c>
      <c r="G300" s="262">
        <f>TRUNC(TRUNC(E300,8)*F300,2)</f>
        <v>0.17</v>
      </c>
    </row>
    <row r="301" spans="1:7">
      <c r="A301" s="263"/>
      <c r="B301" s="264"/>
      <c r="C301" s="264"/>
      <c r="D301" s="264"/>
      <c r="E301" s="265" t="s">
        <v>1303</v>
      </c>
      <c r="F301" s="265"/>
      <c r="G301" s="266">
        <f>SUM(G300:G300)</f>
        <v>0.17</v>
      </c>
    </row>
    <row r="302" spans="1:7">
      <c r="A302" s="263"/>
      <c r="B302" s="264"/>
      <c r="C302" s="264"/>
      <c r="D302" s="264"/>
      <c r="E302" s="267" t="s">
        <v>255</v>
      </c>
      <c r="F302" s="267">
        <f>A298</f>
        <v>95308</v>
      </c>
      <c r="G302" s="268">
        <f>SUM(G301)</f>
        <v>0.17</v>
      </c>
    </row>
    <row r="303" spans="1:7">
      <c r="A303" s="263"/>
      <c r="B303" s="264"/>
      <c r="C303" s="264"/>
      <c r="D303" s="264"/>
      <c r="E303" s="269"/>
      <c r="F303" s="269"/>
      <c r="G303" s="269"/>
    </row>
    <row r="304" spans="1:7" ht="21">
      <c r="A304" s="253">
        <v>95309</v>
      </c>
      <c r="B304" s="254" t="s">
        <v>1179</v>
      </c>
      <c r="C304" s="254"/>
      <c r="D304" s="254"/>
      <c r="E304" s="254"/>
      <c r="F304" s="254"/>
      <c r="G304" s="254"/>
    </row>
    <row r="305" spans="1:7" ht="21">
      <c r="A305" s="255" t="s">
        <v>447</v>
      </c>
      <c r="B305" s="256"/>
      <c r="C305" s="257" t="s">
        <v>4</v>
      </c>
      <c r="D305" s="257" t="s">
        <v>243</v>
      </c>
      <c r="E305" s="257" t="s">
        <v>244</v>
      </c>
      <c r="F305" s="257" t="s">
        <v>245</v>
      </c>
      <c r="G305" s="257" t="s">
        <v>246</v>
      </c>
    </row>
    <row r="306" spans="1:7">
      <c r="A306" s="258" t="s">
        <v>501</v>
      </c>
      <c r="B306" s="259" t="s">
        <v>502</v>
      </c>
      <c r="C306" s="260" t="s">
        <v>26</v>
      </c>
      <c r="D306" s="260" t="s">
        <v>265</v>
      </c>
      <c r="E306" s="302">
        <v>1.4760000000000001E-2</v>
      </c>
      <c r="F306" s="301">
        <v>15.57</v>
      </c>
      <c r="G306" s="262">
        <f>TRUNC(TRUNC(E306,8)*F306,2)</f>
        <v>0.22</v>
      </c>
    </row>
    <row r="307" spans="1:7">
      <c r="A307" s="263"/>
      <c r="B307" s="264"/>
      <c r="C307" s="264"/>
      <c r="D307" s="264"/>
      <c r="E307" s="265" t="s">
        <v>1303</v>
      </c>
      <c r="F307" s="265"/>
      <c r="G307" s="266">
        <f>SUM(G306:G306)</f>
        <v>0.22</v>
      </c>
    </row>
    <row r="308" spans="1:7">
      <c r="A308" s="263"/>
      <c r="B308" s="264"/>
      <c r="C308" s="264"/>
      <c r="D308" s="264"/>
      <c r="E308" s="267" t="s">
        <v>255</v>
      </c>
      <c r="F308" s="267">
        <f>A304</f>
        <v>95309</v>
      </c>
      <c r="G308" s="268">
        <f>SUM(G307)</f>
        <v>0.22</v>
      </c>
    </row>
    <row r="309" spans="1:7">
      <c r="A309" s="263"/>
      <c r="B309" s="264"/>
      <c r="C309" s="264"/>
      <c r="D309" s="264"/>
      <c r="E309" s="269"/>
      <c r="F309" s="269"/>
      <c r="G309" s="269"/>
    </row>
    <row r="310" spans="1:7" ht="21">
      <c r="A310" s="253">
        <v>95310</v>
      </c>
      <c r="B310" s="254" t="s">
        <v>1180</v>
      </c>
      <c r="C310" s="254"/>
      <c r="D310" s="254"/>
      <c r="E310" s="254"/>
      <c r="F310" s="254"/>
      <c r="G310" s="254"/>
    </row>
    <row r="311" spans="1:7" ht="21">
      <c r="A311" s="255" t="s">
        <v>447</v>
      </c>
      <c r="B311" s="256"/>
      <c r="C311" s="257" t="s">
        <v>4</v>
      </c>
      <c r="D311" s="257" t="s">
        <v>243</v>
      </c>
      <c r="E311" s="257" t="s">
        <v>244</v>
      </c>
      <c r="F311" s="257" t="s">
        <v>245</v>
      </c>
      <c r="G311" s="257" t="s">
        <v>246</v>
      </c>
    </row>
    <row r="312" spans="1:7">
      <c r="A312" s="258" t="s">
        <v>568</v>
      </c>
      <c r="B312" s="259" t="s">
        <v>569</v>
      </c>
      <c r="C312" s="260" t="s">
        <v>26</v>
      </c>
      <c r="D312" s="260" t="s">
        <v>265</v>
      </c>
      <c r="E312" s="302">
        <v>1.154E-2</v>
      </c>
      <c r="F312" s="301">
        <v>15.57</v>
      </c>
      <c r="G312" s="262">
        <f>TRUNC(TRUNC(E312,8)*F312,2)</f>
        <v>0.17</v>
      </c>
    </row>
    <row r="313" spans="1:7">
      <c r="A313" s="263"/>
      <c r="B313" s="264"/>
      <c r="C313" s="264"/>
      <c r="D313" s="264"/>
      <c r="E313" s="265" t="s">
        <v>1303</v>
      </c>
      <c r="F313" s="265"/>
      <c r="G313" s="266">
        <f>SUM(G312:G312)</f>
        <v>0.17</v>
      </c>
    </row>
    <row r="314" spans="1:7">
      <c r="A314" s="263"/>
      <c r="B314" s="264"/>
      <c r="C314" s="264"/>
      <c r="D314" s="264"/>
      <c r="E314" s="267" t="s">
        <v>255</v>
      </c>
      <c r="F314" s="267">
        <f>A310</f>
        <v>95310</v>
      </c>
      <c r="G314" s="268">
        <f>SUM(G313)</f>
        <v>0.17</v>
      </c>
    </row>
    <row r="315" spans="1:7">
      <c r="A315" s="263"/>
      <c r="B315" s="264"/>
      <c r="C315" s="264"/>
      <c r="D315" s="264"/>
      <c r="E315" s="269"/>
      <c r="F315" s="269"/>
      <c r="G315" s="269"/>
    </row>
    <row r="316" spans="1:7" ht="21">
      <c r="A316" s="253">
        <v>95314</v>
      </c>
      <c r="B316" s="254" t="s">
        <v>1181</v>
      </c>
      <c r="C316" s="254"/>
      <c r="D316" s="254"/>
      <c r="E316" s="254"/>
      <c r="F316" s="254"/>
      <c r="G316" s="254"/>
    </row>
    <row r="317" spans="1:7" ht="21">
      <c r="A317" s="255" t="s">
        <v>447</v>
      </c>
      <c r="B317" s="256"/>
      <c r="C317" s="257" t="s">
        <v>4</v>
      </c>
      <c r="D317" s="257" t="s">
        <v>243</v>
      </c>
      <c r="E317" s="257" t="s">
        <v>244</v>
      </c>
      <c r="F317" s="257" t="s">
        <v>245</v>
      </c>
      <c r="G317" s="257" t="s">
        <v>246</v>
      </c>
    </row>
    <row r="318" spans="1:7">
      <c r="A318" s="258" t="s">
        <v>558</v>
      </c>
      <c r="B318" s="259" t="s">
        <v>559</v>
      </c>
      <c r="C318" s="260" t="s">
        <v>26</v>
      </c>
      <c r="D318" s="260" t="s">
        <v>265</v>
      </c>
      <c r="E318" s="302">
        <v>1.154E-2</v>
      </c>
      <c r="F318" s="301">
        <v>19.48</v>
      </c>
      <c r="G318" s="262">
        <f>TRUNC(TRUNC(E318,8)*F318,2)</f>
        <v>0.22</v>
      </c>
    </row>
    <row r="319" spans="1:7">
      <c r="A319" s="263"/>
      <c r="B319" s="264"/>
      <c r="C319" s="264"/>
      <c r="D319" s="264"/>
      <c r="E319" s="265" t="s">
        <v>1303</v>
      </c>
      <c r="F319" s="265"/>
      <c r="G319" s="266">
        <f>SUM(G318:G318)</f>
        <v>0.22</v>
      </c>
    </row>
    <row r="320" spans="1:7">
      <c r="A320" s="263"/>
      <c r="B320" s="264"/>
      <c r="C320" s="264"/>
      <c r="D320" s="264"/>
      <c r="E320" s="267" t="s">
        <v>255</v>
      </c>
      <c r="F320" s="267">
        <f>A310</f>
        <v>95310</v>
      </c>
      <c r="G320" s="268">
        <f>SUM(G319)</f>
        <v>0.22</v>
      </c>
    </row>
    <row r="321" spans="1:7">
      <c r="A321" s="263"/>
      <c r="B321" s="264"/>
      <c r="C321" s="264"/>
      <c r="D321" s="264"/>
      <c r="E321" s="269"/>
      <c r="F321" s="269"/>
      <c r="G321" s="269"/>
    </row>
    <row r="322" spans="1:7" ht="21">
      <c r="A322" s="253">
        <v>95316</v>
      </c>
      <c r="B322" s="254" t="s">
        <v>1182</v>
      </c>
      <c r="C322" s="254"/>
      <c r="D322" s="254"/>
      <c r="E322" s="254"/>
      <c r="F322" s="254"/>
      <c r="G322" s="254"/>
    </row>
    <row r="323" spans="1:7" ht="21">
      <c r="A323" s="255" t="s">
        <v>447</v>
      </c>
      <c r="B323" s="256"/>
      <c r="C323" s="257" t="s">
        <v>4</v>
      </c>
      <c r="D323" s="257" t="s">
        <v>243</v>
      </c>
      <c r="E323" s="257" t="s">
        <v>244</v>
      </c>
      <c r="F323" s="257" t="s">
        <v>245</v>
      </c>
      <c r="G323" s="257" t="s">
        <v>246</v>
      </c>
    </row>
    <row r="324" spans="1:7">
      <c r="A324" s="258" t="s">
        <v>452</v>
      </c>
      <c r="B324" s="259" t="s">
        <v>453</v>
      </c>
      <c r="C324" s="260" t="s">
        <v>26</v>
      </c>
      <c r="D324" s="260" t="s">
        <v>265</v>
      </c>
      <c r="E324" s="302">
        <v>3.7319999999999999E-2</v>
      </c>
      <c r="F324" s="301">
        <v>15.57</v>
      </c>
      <c r="G324" s="262">
        <f>TRUNC(TRUNC(E324,8)*F324,2)</f>
        <v>0.57999999999999996</v>
      </c>
    </row>
    <row r="325" spans="1:7">
      <c r="A325" s="263"/>
      <c r="B325" s="264"/>
      <c r="C325" s="264"/>
      <c r="D325" s="264"/>
      <c r="E325" s="265" t="s">
        <v>1303</v>
      </c>
      <c r="F325" s="265"/>
      <c r="G325" s="266">
        <f>SUM(G324:G324)</f>
        <v>0.57999999999999996</v>
      </c>
    </row>
    <row r="326" spans="1:7">
      <c r="A326" s="263"/>
      <c r="B326" s="264"/>
      <c r="C326" s="264"/>
      <c r="D326" s="264"/>
      <c r="E326" s="267" t="s">
        <v>255</v>
      </c>
      <c r="F326" s="267">
        <f>A316</f>
        <v>95314</v>
      </c>
      <c r="G326" s="268">
        <f>SUM(G325)</f>
        <v>0.57999999999999996</v>
      </c>
    </row>
    <row r="327" spans="1:7">
      <c r="A327" s="263"/>
      <c r="B327" s="264"/>
      <c r="C327" s="264"/>
      <c r="D327" s="264"/>
      <c r="E327" s="269"/>
      <c r="F327" s="269"/>
      <c r="G327" s="269"/>
    </row>
    <row r="328" spans="1:7" ht="31.5">
      <c r="A328" s="253">
        <v>95317</v>
      </c>
      <c r="B328" s="254" t="s">
        <v>1183</v>
      </c>
      <c r="C328" s="254"/>
      <c r="D328" s="254"/>
      <c r="E328" s="254"/>
      <c r="F328" s="254"/>
      <c r="G328" s="254"/>
    </row>
    <row r="329" spans="1:7" ht="21">
      <c r="A329" s="255" t="s">
        <v>447</v>
      </c>
      <c r="B329" s="256"/>
      <c r="C329" s="257" t="s">
        <v>4</v>
      </c>
      <c r="D329" s="257" t="s">
        <v>243</v>
      </c>
      <c r="E329" s="257" t="s">
        <v>244</v>
      </c>
      <c r="F329" s="257" t="s">
        <v>245</v>
      </c>
      <c r="G329" s="257" t="s">
        <v>246</v>
      </c>
    </row>
    <row r="330" spans="1:7">
      <c r="A330" s="258" t="s">
        <v>596</v>
      </c>
      <c r="B330" s="259" t="s">
        <v>597</v>
      </c>
      <c r="C330" s="260" t="s">
        <v>26</v>
      </c>
      <c r="D330" s="260" t="s">
        <v>265</v>
      </c>
      <c r="E330" s="302">
        <v>1.7979999999999999E-2</v>
      </c>
      <c r="F330" s="301">
        <v>15.57</v>
      </c>
      <c r="G330" s="262">
        <f>TRUNC(TRUNC(E330,8)*F330,2)</f>
        <v>0.27</v>
      </c>
    </row>
    <row r="331" spans="1:7">
      <c r="A331" s="263"/>
      <c r="B331" s="264"/>
      <c r="C331" s="264"/>
      <c r="D331" s="264"/>
      <c r="E331" s="265" t="s">
        <v>1303</v>
      </c>
      <c r="F331" s="265"/>
      <c r="G331" s="266">
        <f>SUM(G330:G330)</f>
        <v>0.27</v>
      </c>
    </row>
    <row r="332" spans="1:7">
      <c r="A332" s="263"/>
      <c r="B332" s="264"/>
      <c r="C332" s="264"/>
      <c r="D332" s="264"/>
      <c r="E332" s="267" t="s">
        <v>255</v>
      </c>
      <c r="F332" s="267">
        <f>A328</f>
        <v>95317</v>
      </c>
      <c r="G332" s="268">
        <f>SUM(G331)</f>
        <v>0.27</v>
      </c>
    </row>
    <row r="333" spans="1:7">
      <c r="A333" s="263"/>
      <c r="B333" s="264"/>
      <c r="C333" s="264"/>
      <c r="D333" s="264"/>
      <c r="E333" s="269"/>
      <c r="F333" s="269"/>
      <c r="G333" s="269"/>
    </row>
    <row r="334" spans="1:7" ht="21">
      <c r="A334" s="253">
        <v>95330</v>
      </c>
      <c r="B334" s="254" t="s">
        <v>1184</v>
      </c>
      <c r="C334" s="254"/>
      <c r="D334" s="254"/>
      <c r="E334" s="254"/>
      <c r="F334" s="254"/>
      <c r="G334" s="254"/>
    </row>
    <row r="335" spans="1:7" ht="21">
      <c r="A335" s="255" t="s">
        <v>447</v>
      </c>
      <c r="B335" s="256"/>
      <c r="C335" s="257" t="s">
        <v>4</v>
      </c>
      <c r="D335" s="257" t="s">
        <v>243</v>
      </c>
      <c r="E335" s="257" t="s">
        <v>244</v>
      </c>
      <c r="F335" s="257" t="s">
        <v>245</v>
      </c>
      <c r="G335" s="257" t="s">
        <v>246</v>
      </c>
    </row>
    <row r="336" spans="1:7">
      <c r="A336" s="258" t="s">
        <v>489</v>
      </c>
      <c r="B336" s="259" t="s">
        <v>490</v>
      </c>
      <c r="C336" s="260" t="s">
        <v>26</v>
      </c>
      <c r="D336" s="260" t="s">
        <v>265</v>
      </c>
      <c r="E336" s="302">
        <v>1.154E-2</v>
      </c>
      <c r="F336" s="301">
        <v>19.260000000000002</v>
      </c>
      <c r="G336" s="262">
        <f>TRUNC(TRUNC(E336,8)*F336,2)</f>
        <v>0.22</v>
      </c>
    </row>
    <row r="337" spans="1:7">
      <c r="A337" s="263"/>
      <c r="B337" s="264"/>
      <c r="C337" s="264"/>
      <c r="D337" s="264"/>
      <c r="E337" s="265" t="s">
        <v>1303</v>
      </c>
      <c r="F337" s="265"/>
      <c r="G337" s="266">
        <f>SUM(G336:G336)</f>
        <v>0.22</v>
      </c>
    </row>
    <row r="338" spans="1:7">
      <c r="A338" s="263"/>
      <c r="B338" s="264"/>
      <c r="C338" s="264"/>
      <c r="D338" s="264"/>
      <c r="E338" s="267" t="s">
        <v>255</v>
      </c>
      <c r="F338" s="267">
        <f>A334</f>
        <v>95330</v>
      </c>
      <c r="G338" s="268">
        <f>SUM(G337)</f>
        <v>0.22</v>
      </c>
    </row>
    <row r="339" spans="1:7">
      <c r="A339" s="263"/>
      <c r="B339" s="264"/>
      <c r="C339" s="264"/>
      <c r="D339" s="264"/>
      <c r="E339" s="269"/>
      <c r="F339" s="269"/>
      <c r="G339" s="269"/>
    </row>
    <row r="340" spans="1:7" ht="21">
      <c r="A340" s="253">
        <v>95332</v>
      </c>
      <c r="B340" s="254" t="s">
        <v>1185</v>
      </c>
      <c r="C340" s="254"/>
      <c r="D340" s="254"/>
      <c r="E340" s="254"/>
      <c r="F340" s="254"/>
      <c r="G340" s="254"/>
    </row>
    <row r="341" spans="1:7" ht="21">
      <c r="A341" s="255" t="s">
        <v>447</v>
      </c>
      <c r="B341" s="256"/>
      <c r="C341" s="257" t="s">
        <v>4</v>
      </c>
      <c r="D341" s="257" t="s">
        <v>243</v>
      </c>
      <c r="E341" s="257" t="s">
        <v>244</v>
      </c>
      <c r="F341" s="257" t="s">
        <v>245</v>
      </c>
      <c r="G341" s="257" t="s">
        <v>246</v>
      </c>
    </row>
    <row r="342" spans="1:7">
      <c r="A342" s="258" t="s">
        <v>450</v>
      </c>
      <c r="B342" s="259" t="s">
        <v>451</v>
      </c>
      <c r="C342" s="260" t="s">
        <v>26</v>
      </c>
      <c r="D342" s="260" t="s">
        <v>265</v>
      </c>
      <c r="E342" s="302">
        <v>3.7319999999999999E-2</v>
      </c>
      <c r="F342" s="301">
        <v>19.48</v>
      </c>
      <c r="G342" s="262">
        <f>TRUNC(TRUNC(E342,8)*F342,2)</f>
        <v>0.72</v>
      </c>
    </row>
    <row r="343" spans="1:7">
      <c r="A343" s="263"/>
      <c r="B343" s="264"/>
      <c r="C343" s="264"/>
      <c r="D343" s="264"/>
      <c r="E343" s="265" t="s">
        <v>1303</v>
      </c>
      <c r="F343" s="265"/>
      <c r="G343" s="266">
        <f>SUM(G342:G342)</f>
        <v>0.72</v>
      </c>
    </row>
    <row r="344" spans="1:7">
      <c r="A344" s="263"/>
      <c r="B344" s="264"/>
      <c r="C344" s="264"/>
      <c r="D344" s="264"/>
      <c r="E344" s="267" t="s">
        <v>255</v>
      </c>
      <c r="F344" s="267">
        <f>A334</f>
        <v>95330</v>
      </c>
      <c r="G344" s="268">
        <f>SUM(G343)</f>
        <v>0.72</v>
      </c>
    </row>
    <row r="345" spans="1:7">
      <c r="A345" s="263"/>
      <c r="B345" s="264"/>
      <c r="C345" s="264"/>
      <c r="D345" s="264"/>
      <c r="E345" s="269"/>
      <c r="F345" s="269"/>
      <c r="G345" s="269"/>
    </row>
    <row r="346" spans="1:7" ht="21">
      <c r="A346" s="253">
        <v>95335</v>
      </c>
      <c r="B346" s="254" t="s">
        <v>1186</v>
      </c>
      <c r="C346" s="254"/>
      <c r="D346" s="254"/>
      <c r="E346" s="254"/>
      <c r="F346" s="254"/>
      <c r="G346" s="254"/>
    </row>
    <row r="347" spans="1:7" ht="21">
      <c r="A347" s="255" t="s">
        <v>447</v>
      </c>
      <c r="B347" s="256"/>
      <c r="C347" s="257" t="s">
        <v>4</v>
      </c>
      <c r="D347" s="257" t="s">
        <v>243</v>
      </c>
      <c r="E347" s="257" t="s">
        <v>244</v>
      </c>
      <c r="F347" s="257" t="s">
        <v>245</v>
      </c>
      <c r="G347" s="257" t="s">
        <v>246</v>
      </c>
    </row>
    <row r="348" spans="1:7">
      <c r="A348" s="258" t="s">
        <v>592</v>
      </c>
      <c r="B348" s="259" t="s">
        <v>593</v>
      </c>
      <c r="C348" s="260" t="s">
        <v>26</v>
      </c>
      <c r="D348" s="260" t="s">
        <v>265</v>
      </c>
      <c r="E348" s="302">
        <v>1.7979999999999999E-2</v>
      </c>
      <c r="F348" s="301">
        <v>19.18</v>
      </c>
      <c r="G348" s="262">
        <f>TRUNC(TRUNC(E348,8)*F348,2)</f>
        <v>0.34</v>
      </c>
    </row>
    <row r="349" spans="1:7">
      <c r="A349" s="263"/>
      <c r="B349" s="264"/>
      <c r="C349" s="264"/>
      <c r="D349" s="264"/>
      <c r="E349" s="265" t="s">
        <v>1303</v>
      </c>
      <c r="F349" s="265"/>
      <c r="G349" s="266">
        <f>SUM(G348:G348)</f>
        <v>0.34</v>
      </c>
    </row>
    <row r="350" spans="1:7">
      <c r="A350" s="263"/>
      <c r="B350" s="264"/>
      <c r="C350" s="264"/>
      <c r="D350" s="264"/>
      <c r="E350" s="267" t="s">
        <v>255</v>
      </c>
      <c r="F350" s="267">
        <f>A346</f>
        <v>95335</v>
      </c>
      <c r="G350" s="268">
        <f>SUM(G349)</f>
        <v>0.34</v>
      </c>
    </row>
    <row r="351" spans="1:7">
      <c r="A351" s="263"/>
      <c r="B351" s="264"/>
      <c r="C351" s="264"/>
      <c r="D351" s="264"/>
      <c r="E351" s="269"/>
      <c r="F351" s="269"/>
      <c r="G351" s="269"/>
    </row>
    <row r="352" spans="1:7" ht="21">
      <c r="A352" s="253">
        <v>95422</v>
      </c>
      <c r="B352" s="254" t="s">
        <v>1187</v>
      </c>
      <c r="C352" s="254"/>
      <c r="D352" s="254"/>
      <c r="E352" s="254"/>
      <c r="F352" s="254"/>
      <c r="G352" s="254"/>
    </row>
    <row r="353" spans="1:7" ht="21">
      <c r="A353" s="255" t="s">
        <v>447</v>
      </c>
      <c r="B353" s="256"/>
      <c r="C353" s="257" t="s">
        <v>4</v>
      </c>
      <c r="D353" s="257" t="s">
        <v>243</v>
      </c>
      <c r="E353" s="257" t="s">
        <v>244</v>
      </c>
      <c r="F353" s="257" t="s">
        <v>245</v>
      </c>
      <c r="G353" s="257" t="s">
        <v>246</v>
      </c>
    </row>
    <row r="354" spans="1:7">
      <c r="A354" s="258" t="s">
        <v>448</v>
      </c>
      <c r="B354" s="259" t="s">
        <v>449</v>
      </c>
      <c r="C354" s="260" t="s">
        <v>26</v>
      </c>
      <c r="D354" s="260" t="s">
        <v>29</v>
      </c>
      <c r="E354" s="302">
        <v>1.5970000000000002E-2</v>
      </c>
      <c r="F354" s="301">
        <v>3673.17</v>
      </c>
      <c r="G354" s="262">
        <f>TRUNC(TRUNC(E354,8)*F354,2)</f>
        <v>58.66</v>
      </c>
    </row>
    <row r="355" spans="1:7">
      <c r="A355" s="263"/>
      <c r="B355" s="264"/>
      <c r="C355" s="264"/>
      <c r="D355" s="264"/>
      <c r="E355" s="265" t="s">
        <v>1303</v>
      </c>
      <c r="F355" s="265"/>
      <c r="G355" s="266">
        <f>SUM(G354:G354)</f>
        <v>58.66</v>
      </c>
    </row>
    <row r="356" spans="1:7">
      <c r="A356" s="263"/>
      <c r="B356" s="264"/>
      <c r="C356" s="264"/>
      <c r="D356" s="264"/>
      <c r="E356" s="267" t="s">
        <v>255</v>
      </c>
      <c r="F356" s="267">
        <f>A352</f>
        <v>95422</v>
      </c>
      <c r="G356" s="268">
        <f>SUM(G355)</f>
        <v>58.66</v>
      </c>
    </row>
    <row r="357" spans="1:7">
      <c r="A357" s="263"/>
      <c r="B357" s="264"/>
      <c r="C357" s="264"/>
      <c r="D357" s="264"/>
      <c r="E357" s="269"/>
      <c r="F357" s="269"/>
      <c r="G357" s="269"/>
    </row>
    <row r="358" spans="1:7" ht="21">
      <c r="A358" s="253">
        <v>95417</v>
      </c>
      <c r="B358" s="254" t="s">
        <v>1188</v>
      </c>
      <c r="C358" s="254"/>
      <c r="D358" s="254"/>
      <c r="E358" s="254"/>
      <c r="F358" s="254"/>
      <c r="G358" s="254"/>
    </row>
    <row r="359" spans="1:7" ht="21">
      <c r="A359" s="255" t="s">
        <v>447</v>
      </c>
      <c r="B359" s="256"/>
      <c r="C359" s="257" t="s">
        <v>4</v>
      </c>
      <c r="D359" s="257" t="s">
        <v>243</v>
      </c>
      <c r="E359" s="257" t="s">
        <v>244</v>
      </c>
      <c r="F359" s="257" t="s">
        <v>245</v>
      </c>
      <c r="G359" s="257" t="s">
        <v>246</v>
      </c>
    </row>
    <row r="360" spans="1:7">
      <c r="A360" s="258" t="s">
        <v>445</v>
      </c>
      <c r="B360" s="259" t="s">
        <v>446</v>
      </c>
      <c r="C360" s="260" t="s">
        <v>26</v>
      </c>
      <c r="D360" s="260" t="s">
        <v>29</v>
      </c>
      <c r="E360" s="302">
        <v>1.112E-2</v>
      </c>
      <c r="F360" s="301">
        <v>23272.23</v>
      </c>
      <c r="G360" s="262">
        <f>TRUNC(TRUNC(E360,8)*F360,2)</f>
        <v>258.77999999999997</v>
      </c>
    </row>
    <row r="361" spans="1:7">
      <c r="A361" s="263"/>
      <c r="B361" s="264"/>
      <c r="C361" s="264"/>
      <c r="D361" s="264"/>
      <c r="E361" s="265" t="s">
        <v>1303</v>
      </c>
      <c r="F361" s="265"/>
      <c r="G361" s="266">
        <f>SUM(G360:G360)</f>
        <v>258.77999999999997</v>
      </c>
    </row>
    <row r="362" spans="1:7">
      <c r="A362" s="263"/>
      <c r="B362" s="264"/>
      <c r="C362" s="264"/>
      <c r="D362" s="264"/>
      <c r="E362" s="267" t="s">
        <v>255</v>
      </c>
      <c r="F362" s="267">
        <f>A358</f>
        <v>95417</v>
      </c>
      <c r="G362" s="268">
        <f>SUM(G361)</f>
        <v>258.77999999999997</v>
      </c>
    </row>
    <row r="363" spans="1:7">
      <c r="A363" s="263"/>
      <c r="B363" s="264"/>
      <c r="C363" s="264"/>
      <c r="D363" s="264"/>
      <c r="E363" s="269"/>
      <c r="F363" s="269"/>
      <c r="G363" s="269"/>
    </row>
    <row r="364" spans="1:7" ht="21">
      <c r="A364" s="253">
        <v>95344</v>
      </c>
      <c r="B364" s="254" t="s">
        <v>1189</v>
      </c>
      <c r="C364" s="254"/>
      <c r="D364" s="254"/>
      <c r="E364" s="254"/>
      <c r="F364" s="254"/>
      <c r="G364" s="254"/>
    </row>
    <row r="365" spans="1:7" ht="21">
      <c r="A365" s="255" t="s">
        <v>447</v>
      </c>
      <c r="B365" s="256"/>
      <c r="C365" s="257" t="s">
        <v>4</v>
      </c>
      <c r="D365" s="257" t="s">
        <v>243</v>
      </c>
      <c r="E365" s="257" t="s">
        <v>244</v>
      </c>
      <c r="F365" s="257" t="s">
        <v>245</v>
      </c>
      <c r="G365" s="257" t="s">
        <v>246</v>
      </c>
    </row>
    <row r="366" spans="1:7">
      <c r="A366" s="258" t="s">
        <v>518</v>
      </c>
      <c r="B366" s="259" t="s">
        <v>519</v>
      </c>
      <c r="C366" s="260" t="s">
        <v>26</v>
      </c>
      <c r="D366" s="260" t="s">
        <v>265</v>
      </c>
      <c r="E366" s="302">
        <v>1.154E-2</v>
      </c>
      <c r="F366" s="301">
        <v>14.78</v>
      </c>
      <c r="G366" s="262">
        <f>TRUNC(TRUNC(E366,8)*F366,2)</f>
        <v>0.17</v>
      </c>
    </row>
    <row r="367" spans="1:7">
      <c r="A367" s="263"/>
      <c r="B367" s="264"/>
      <c r="C367" s="264"/>
      <c r="D367" s="264"/>
      <c r="E367" s="265" t="s">
        <v>1303</v>
      </c>
      <c r="F367" s="265"/>
      <c r="G367" s="266">
        <f>SUM(G366:G366)</f>
        <v>0.17</v>
      </c>
    </row>
    <row r="368" spans="1:7">
      <c r="A368" s="263"/>
      <c r="B368" s="264"/>
      <c r="C368" s="264"/>
      <c r="D368" s="264"/>
      <c r="E368" s="267" t="s">
        <v>255</v>
      </c>
      <c r="F368" s="267">
        <f>A364</f>
        <v>95344</v>
      </c>
      <c r="G368" s="268">
        <f>SUM(G367)</f>
        <v>0.17</v>
      </c>
    </row>
    <row r="369" spans="1:7">
      <c r="A369" s="263"/>
      <c r="B369" s="264"/>
      <c r="C369" s="264"/>
      <c r="D369" s="264"/>
      <c r="E369" s="269"/>
      <c r="F369" s="269"/>
      <c r="G369" s="269"/>
    </row>
    <row r="370" spans="1:7" ht="21">
      <c r="A370" s="253">
        <v>95345</v>
      </c>
      <c r="B370" s="254" t="s">
        <v>1190</v>
      </c>
      <c r="C370" s="254"/>
      <c r="D370" s="254"/>
      <c r="E370" s="254"/>
      <c r="F370" s="254"/>
      <c r="G370" s="254"/>
    </row>
    <row r="371" spans="1:7" ht="21">
      <c r="A371" s="255" t="s">
        <v>447</v>
      </c>
      <c r="B371" s="256"/>
      <c r="C371" s="257" t="s">
        <v>4</v>
      </c>
      <c r="D371" s="257" t="s">
        <v>243</v>
      </c>
      <c r="E371" s="257" t="s">
        <v>244</v>
      </c>
      <c r="F371" s="257" t="s">
        <v>245</v>
      </c>
      <c r="G371" s="257" t="s">
        <v>246</v>
      </c>
    </row>
    <row r="372" spans="1:7">
      <c r="A372" s="258" t="s">
        <v>463</v>
      </c>
      <c r="B372" s="259" t="s">
        <v>464</v>
      </c>
      <c r="C372" s="260" t="s">
        <v>26</v>
      </c>
      <c r="D372" s="260" t="s">
        <v>265</v>
      </c>
      <c r="E372" s="302">
        <v>3.0870000000000002E-2</v>
      </c>
      <c r="F372" s="301">
        <v>18.600000000000001</v>
      </c>
      <c r="G372" s="262">
        <f>TRUNC(TRUNC(E372,8)*F372,2)</f>
        <v>0.56999999999999995</v>
      </c>
    </row>
    <row r="373" spans="1:7">
      <c r="A373" s="263"/>
      <c r="B373" s="264"/>
      <c r="C373" s="264"/>
      <c r="D373" s="264"/>
      <c r="E373" s="265" t="s">
        <v>1303</v>
      </c>
      <c r="F373" s="265"/>
      <c r="G373" s="266">
        <f>SUM(G372:G372)</f>
        <v>0.56999999999999995</v>
      </c>
    </row>
    <row r="374" spans="1:7">
      <c r="A374" s="263"/>
      <c r="B374" s="264"/>
      <c r="C374" s="264"/>
      <c r="D374" s="264"/>
      <c r="E374" s="267" t="s">
        <v>255</v>
      </c>
      <c r="F374" s="267">
        <f>A370</f>
        <v>95345</v>
      </c>
      <c r="G374" s="268">
        <f>SUM(G373)</f>
        <v>0.56999999999999995</v>
      </c>
    </row>
    <row r="375" spans="1:7">
      <c r="A375" s="263"/>
      <c r="B375" s="264"/>
      <c r="C375" s="264"/>
      <c r="D375" s="264"/>
      <c r="E375" s="269"/>
      <c r="F375" s="269"/>
      <c r="G375" s="269"/>
    </row>
    <row r="376" spans="1:7" ht="21">
      <c r="A376" s="253">
        <v>95346</v>
      </c>
      <c r="B376" s="254" t="s">
        <v>1191</v>
      </c>
      <c r="C376" s="254"/>
      <c r="D376" s="254"/>
      <c r="E376" s="254"/>
      <c r="F376" s="254"/>
      <c r="G376" s="254"/>
    </row>
    <row r="377" spans="1:7" ht="21">
      <c r="A377" s="255" t="s">
        <v>447</v>
      </c>
      <c r="B377" s="256"/>
      <c r="C377" s="257" t="s">
        <v>4</v>
      </c>
      <c r="D377" s="257" t="s">
        <v>243</v>
      </c>
      <c r="E377" s="257" t="s">
        <v>244</v>
      </c>
      <c r="F377" s="257" t="s">
        <v>245</v>
      </c>
      <c r="G377" s="257" t="s">
        <v>246</v>
      </c>
    </row>
    <row r="378" spans="1:7">
      <c r="A378" s="258" t="s">
        <v>505</v>
      </c>
      <c r="B378" s="259" t="s">
        <v>506</v>
      </c>
      <c r="C378" s="260" t="s">
        <v>26</v>
      </c>
      <c r="D378" s="260" t="s">
        <v>265</v>
      </c>
      <c r="E378" s="302">
        <v>5.0899999999999999E-3</v>
      </c>
      <c r="F378" s="301">
        <v>21.74</v>
      </c>
      <c r="G378" s="262">
        <f>TRUNC(TRUNC(E378,8)*F378,2)</f>
        <v>0.11</v>
      </c>
    </row>
    <row r="379" spans="1:7">
      <c r="A379" s="263"/>
      <c r="B379" s="264"/>
      <c r="C379" s="264"/>
      <c r="D379" s="264"/>
      <c r="E379" s="265" t="s">
        <v>1303</v>
      </c>
      <c r="F379" s="265"/>
      <c r="G379" s="266">
        <f>SUM(G378:G378)</f>
        <v>0.11</v>
      </c>
    </row>
    <row r="380" spans="1:7">
      <c r="A380" s="263"/>
      <c r="B380" s="264"/>
      <c r="C380" s="264"/>
      <c r="D380" s="264"/>
      <c r="E380" s="267" t="s">
        <v>255</v>
      </c>
      <c r="F380" s="267">
        <f>A376</f>
        <v>95346</v>
      </c>
      <c r="G380" s="268">
        <f>SUM(G379)</f>
        <v>0.11</v>
      </c>
    </row>
    <row r="381" spans="1:7">
      <c r="A381" s="263"/>
      <c r="B381" s="264"/>
      <c r="C381" s="264"/>
      <c r="D381" s="264"/>
      <c r="E381" s="269"/>
      <c r="F381" s="269"/>
      <c r="G381" s="269"/>
    </row>
    <row r="382" spans="1:7" ht="21">
      <c r="A382" s="253">
        <v>95351</v>
      </c>
      <c r="B382" s="254" t="s">
        <v>1192</v>
      </c>
      <c r="C382" s="254"/>
      <c r="D382" s="254"/>
      <c r="E382" s="254"/>
      <c r="F382" s="254"/>
      <c r="G382" s="254"/>
    </row>
    <row r="383" spans="1:7" ht="21">
      <c r="A383" s="255" t="s">
        <v>447</v>
      </c>
      <c r="B383" s="256"/>
      <c r="C383" s="257" t="s">
        <v>4</v>
      </c>
      <c r="D383" s="257" t="s">
        <v>243</v>
      </c>
      <c r="E383" s="257" t="s">
        <v>244</v>
      </c>
      <c r="F383" s="257" t="s">
        <v>245</v>
      </c>
      <c r="G383" s="257" t="s">
        <v>246</v>
      </c>
    </row>
    <row r="384" spans="1:7">
      <c r="A384" s="258" t="s">
        <v>491</v>
      </c>
      <c r="B384" s="259" t="s">
        <v>492</v>
      </c>
      <c r="C384" s="260" t="s">
        <v>26</v>
      </c>
      <c r="D384" s="260" t="s">
        <v>265</v>
      </c>
      <c r="E384" s="302">
        <v>1.6369999999999999E-2</v>
      </c>
      <c r="F384" s="301">
        <v>23.45</v>
      </c>
      <c r="G384" s="262">
        <f>TRUNC(TRUNC(E384,8)*F384,2)</f>
        <v>0.38</v>
      </c>
    </row>
    <row r="385" spans="1:7">
      <c r="A385" s="263"/>
      <c r="B385" s="264"/>
      <c r="C385" s="264"/>
      <c r="D385" s="264"/>
      <c r="E385" s="265" t="s">
        <v>1303</v>
      </c>
      <c r="F385" s="265"/>
      <c r="G385" s="266">
        <f>SUM(G384:G384)</f>
        <v>0.38</v>
      </c>
    </row>
    <row r="386" spans="1:7">
      <c r="A386" s="263"/>
      <c r="B386" s="264"/>
      <c r="C386" s="264"/>
      <c r="D386" s="264"/>
      <c r="E386" s="267" t="s">
        <v>255</v>
      </c>
      <c r="F386" s="267">
        <f>A382</f>
        <v>95351</v>
      </c>
      <c r="G386" s="268">
        <f>SUM(G385)</f>
        <v>0.38</v>
      </c>
    </row>
    <row r="387" spans="1:7">
      <c r="A387" s="263"/>
      <c r="B387" s="264"/>
      <c r="C387" s="264"/>
      <c r="D387" s="264"/>
      <c r="E387" s="269"/>
      <c r="F387" s="269"/>
      <c r="G387" s="269"/>
    </row>
    <row r="388" spans="1:7" ht="21">
      <c r="A388" s="253">
        <v>95357</v>
      </c>
      <c r="B388" s="254" t="s">
        <v>1193</v>
      </c>
      <c r="C388" s="254"/>
      <c r="D388" s="254"/>
      <c r="E388" s="254"/>
      <c r="F388" s="254"/>
      <c r="G388" s="254"/>
    </row>
    <row r="389" spans="1:7" ht="21">
      <c r="A389" s="255" t="s">
        <v>447</v>
      </c>
      <c r="B389" s="256"/>
      <c r="C389" s="257" t="s">
        <v>4</v>
      </c>
      <c r="D389" s="257" t="s">
        <v>243</v>
      </c>
      <c r="E389" s="257" t="s">
        <v>244</v>
      </c>
      <c r="F389" s="257" t="s">
        <v>245</v>
      </c>
      <c r="G389" s="257" t="s">
        <v>246</v>
      </c>
    </row>
    <row r="390" spans="1:7">
      <c r="A390" s="258" t="s">
        <v>554</v>
      </c>
      <c r="B390" s="259" t="s">
        <v>555</v>
      </c>
      <c r="C390" s="260" t="s">
        <v>26</v>
      </c>
      <c r="D390" s="260" t="s">
        <v>265</v>
      </c>
      <c r="E390" s="302">
        <v>1.154E-2</v>
      </c>
      <c r="F390" s="301">
        <v>20.93</v>
      </c>
      <c r="G390" s="262">
        <f>TRUNC(TRUNC(E390,8)*F390,2)</f>
        <v>0.24</v>
      </c>
    </row>
    <row r="391" spans="1:7">
      <c r="A391" s="263"/>
      <c r="B391" s="264"/>
      <c r="C391" s="264"/>
      <c r="D391" s="264"/>
      <c r="E391" s="265" t="s">
        <v>1303</v>
      </c>
      <c r="F391" s="265"/>
      <c r="G391" s="266">
        <f>SUM(G390:G390)</f>
        <v>0.24</v>
      </c>
    </row>
    <row r="392" spans="1:7">
      <c r="A392" s="263"/>
      <c r="B392" s="264"/>
      <c r="C392" s="264"/>
      <c r="D392" s="264"/>
      <c r="E392" s="267" t="s">
        <v>255</v>
      </c>
      <c r="F392" s="267">
        <f>A388</f>
        <v>95357</v>
      </c>
      <c r="G392" s="268">
        <f>SUM(G391)</f>
        <v>0.24</v>
      </c>
    </row>
    <row r="393" spans="1:7">
      <c r="A393" s="263"/>
      <c r="B393" s="264"/>
      <c r="C393" s="264"/>
      <c r="D393" s="264"/>
      <c r="E393" s="269"/>
      <c r="F393" s="269"/>
      <c r="G393" s="269"/>
    </row>
    <row r="394" spans="1:7" ht="21">
      <c r="A394" s="253">
        <v>95358</v>
      </c>
      <c r="B394" s="254" t="s">
        <v>1194</v>
      </c>
      <c r="C394" s="254"/>
      <c r="D394" s="254"/>
      <c r="E394" s="254"/>
      <c r="F394" s="254"/>
      <c r="G394" s="254"/>
    </row>
    <row r="395" spans="1:7" ht="21">
      <c r="A395" s="255" t="s">
        <v>447</v>
      </c>
      <c r="B395" s="256"/>
      <c r="C395" s="257" t="s">
        <v>4</v>
      </c>
      <c r="D395" s="257" t="s">
        <v>243</v>
      </c>
      <c r="E395" s="257" t="s">
        <v>244</v>
      </c>
      <c r="F395" s="257" t="s">
        <v>245</v>
      </c>
      <c r="G395" s="257" t="s">
        <v>246</v>
      </c>
    </row>
    <row r="396" spans="1:7">
      <c r="A396" s="258" t="s">
        <v>598</v>
      </c>
      <c r="B396" s="259" t="s">
        <v>599</v>
      </c>
      <c r="C396" s="260" t="s">
        <v>26</v>
      </c>
      <c r="D396" s="260" t="s">
        <v>265</v>
      </c>
      <c r="E396" s="302">
        <v>1.6369999999999999E-2</v>
      </c>
      <c r="F396" s="301">
        <v>16.079999999999998</v>
      </c>
      <c r="G396" s="262">
        <f>TRUNC(TRUNC(E396,8)*F396,2)</f>
        <v>0.26</v>
      </c>
    </row>
    <row r="397" spans="1:7">
      <c r="A397" s="263"/>
      <c r="B397" s="264"/>
      <c r="C397" s="264"/>
      <c r="D397" s="264"/>
      <c r="E397" s="265" t="s">
        <v>1303</v>
      </c>
      <c r="F397" s="265"/>
      <c r="G397" s="266">
        <f>SUM(G396:G396)</f>
        <v>0.26</v>
      </c>
    </row>
    <row r="398" spans="1:7">
      <c r="A398" s="263"/>
      <c r="B398" s="264"/>
      <c r="C398" s="264"/>
      <c r="D398" s="264"/>
      <c r="E398" s="267" t="s">
        <v>255</v>
      </c>
      <c r="F398" s="267">
        <f>A394</f>
        <v>95358</v>
      </c>
      <c r="G398" s="268">
        <f>SUM(G397)</f>
        <v>0.26</v>
      </c>
    </row>
    <row r="399" spans="1:7">
      <c r="A399" s="263"/>
      <c r="B399" s="264"/>
      <c r="C399" s="264"/>
      <c r="D399" s="264"/>
      <c r="E399" s="269"/>
      <c r="F399" s="269"/>
      <c r="G399" s="269"/>
    </row>
    <row r="400" spans="1:7" ht="21">
      <c r="A400" s="253">
        <v>95359</v>
      </c>
      <c r="B400" s="254" t="s">
        <v>1195</v>
      </c>
      <c r="C400" s="254"/>
      <c r="D400" s="254"/>
      <c r="E400" s="254"/>
      <c r="F400" s="254"/>
      <c r="G400" s="254"/>
    </row>
    <row r="401" spans="1:7" ht="21">
      <c r="A401" s="255" t="s">
        <v>447</v>
      </c>
      <c r="B401" s="256"/>
      <c r="C401" s="257" t="s">
        <v>4</v>
      </c>
      <c r="D401" s="257" t="s">
        <v>243</v>
      </c>
      <c r="E401" s="257" t="s">
        <v>244</v>
      </c>
      <c r="F401" s="257" t="s">
        <v>245</v>
      </c>
      <c r="G401" s="257" t="s">
        <v>246</v>
      </c>
    </row>
    <row r="402" spans="1:7">
      <c r="A402" s="258" t="s">
        <v>542</v>
      </c>
      <c r="B402" s="259" t="s">
        <v>543</v>
      </c>
      <c r="C402" s="260" t="s">
        <v>26</v>
      </c>
      <c r="D402" s="260" t="s">
        <v>265</v>
      </c>
      <c r="E402" s="302">
        <v>1.6369999999999999E-2</v>
      </c>
      <c r="F402" s="301">
        <v>24.88</v>
      </c>
      <c r="G402" s="262">
        <f>TRUNC(TRUNC(E402,8)*F402,2)</f>
        <v>0.4</v>
      </c>
    </row>
    <row r="403" spans="1:7">
      <c r="A403" s="263"/>
      <c r="B403" s="264"/>
      <c r="C403" s="264"/>
      <c r="D403" s="264"/>
      <c r="E403" s="265" t="s">
        <v>1303</v>
      </c>
      <c r="F403" s="265"/>
      <c r="G403" s="266">
        <f>SUM(G402:G402)</f>
        <v>0.4</v>
      </c>
    </row>
    <row r="404" spans="1:7">
      <c r="A404" s="263"/>
      <c r="B404" s="264"/>
      <c r="C404" s="264"/>
      <c r="D404" s="264"/>
      <c r="E404" s="267" t="s">
        <v>255</v>
      </c>
      <c r="F404" s="267">
        <f>A400</f>
        <v>95359</v>
      </c>
      <c r="G404" s="268">
        <f>SUM(G403)</f>
        <v>0.4</v>
      </c>
    </row>
    <row r="405" spans="1:7">
      <c r="A405" s="263"/>
      <c r="B405" s="264"/>
      <c r="C405" s="264"/>
      <c r="D405" s="264"/>
      <c r="E405" s="269"/>
      <c r="F405" s="269"/>
      <c r="G405" s="269"/>
    </row>
    <row r="406" spans="1:7" ht="21">
      <c r="A406" s="253">
        <v>95360</v>
      </c>
      <c r="B406" s="254" t="s">
        <v>1196</v>
      </c>
      <c r="C406" s="254"/>
      <c r="D406" s="254"/>
      <c r="E406" s="254"/>
      <c r="F406" s="254"/>
      <c r="G406" s="254"/>
    </row>
    <row r="407" spans="1:7" ht="21">
      <c r="A407" s="255" t="s">
        <v>447</v>
      </c>
      <c r="B407" s="256"/>
      <c r="C407" s="257" t="s">
        <v>4</v>
      </c>
      <c r="D407" s="257" t="s">
        <v>243</v>
      </c>
      <c r="E407" s="257" t="s">
        <v>244</v>
      </c>
      <c r="F407" s="257" t="s">
        <v>245</v>
      </c>
      <c r="G407" s="257" t="s">
        <v>246</v>
      </c>
    </row>
    <row r="408" spans="1:7" ht="20">
      <c r="A408" s="258" t="s">
        <v>562</v>
      </c>
      <c r="B408" s="259" t="s">
        <v>563</v>
      </c>
      <c r="C408" s="260" t="s">
        <v>26</v>
      </c>
      <c r="D408" s="260" t="s">
        <v>265</v>
      </c>
      <c r="E408" s="302">
        <v>1.154E-2</v>
      </c>
      <c r="F408" s="301">
        <v>19.45</v>
      </c>
      <c r="G408" s="262">
        <f>TRUNC(TRUNC(E408,8)*F408,2)</f>
        <v>0.22</v>
      </c>
    </row>
    <row r="409" spans="1:7">
      <c r="A409" s="263"/>
      <c r="B409" s="264"/>
      <c r="C409" s="264"/>
      <c r="D409" s="264"/>
      <c r="E409" s="265" t="s">
        <v>1303</v>
      </c>
      <c r="F409" s="265"/>
      <c r="G409" s="266">
        <f>SUM(G408:G408)</f>
        <v>0.22</v>
      </c>
    </row>
    <row r="410" spans="1:7">
      <c r="A410" s="263"/>
      <c r="B410" s="264"/>
      <c r="C410" s="264"/>
      <c r="D410" s="264"/>
      <c r="E410" s="267" t="s">
        <v>255</v>
      </c>
      <c r="F410" s="267">
        <f>A406</f>
        <v>95360</v>
      </c>
      <c r="G410" s="268">
        <f>SUM(G409)</f>
        <v>0.22</v>
      </c>
    </row>
    <row r="411" spans="1:7">
      <c r="A411" s="263"/>
      <c r="B411" s="264"/>
      <c r="C411" s="264"/>
      <c r="D411" s="264"/>
      <c r="E411" s="269"/>
      <c r="F411" s="269"/>
      <c r="G411" s="269"/>
    </row>
    <row r="412" spans="1:7" ht="21">
      <c r="A412" s="253">
        <v>95368</v>
      </c>
      <c r="B412" s="254" t="s">
        <v>1197</v>
      </c>
      <c r="C412" s="254"/>
      <c r="D412" s="254"/>
      <c r="E412" s="254"/>
      <c r="F412" s="254"/>
      <c r="G412" s="254"/>
    </row>
    <row r="413" spans="1:7" ht="21">
      <c r="A413" s="255" t="s">
        <v>447</v>
      </c>
      <c r="B413" s="256"/>
      <c r="C413" s="257" t="s">
        <v>4</v>
      </c>
      <c r="D413" s="257" t="s">
        <v>243</v>
      </c>
      <c r="E413" s="257" t="s">
        <v>244</v>
      </c>
      <c r="F413" s="257" t="s">
        <v>245</v>
      </c>
      <c r="G413" s="257" t="s">
        <v>246</v>
      </c>
    </row>
    <row r="414" spans="1:7">
      <c r="A414" s="258" t="s">
        <v>564</v>
      </c>
      <c r="B414" s="259" t="s">
        <v>565</v>
      </c>
      <c r="C414" s="260" t="s">
        <v>26</v>
      </c>
      <c r="D414" s="260" t="s">
        <v>265</v>
      </c>
      <c r="E414" s="302">
        <v>1.154E-2</v>
      </c>
      <c r="F414" s="301">
        <v>17.64</v>
      </c>
      <c r="G414" s="262">
        <f>TRUNC(TRUNC(E414,8)*F414,2)</f>
        <v>0.2</v>
      </c>
    </row>
    <row r="415" spans="1:7">
      <c r="A415" s="263"/>
      <c r="B415" s="264"/>
      <c r="C415" s="264"/>
      <c r="D415" s="264"/>
      <c r="E415" s="265" t="s">
        <v>1303</v>
      </c>
      <c r="F415" s="265"/>
      <c r="G415" s="266">
        <f>SUM(G414:G414)</f>
        <v>0.2</v>
      </c>
    </row>
    <row r="416" spans="1:7">
      <c r="A416" s="263"/>
      <c r="B416" s="264"/>
      <c r="C416" s="264"/>
      <c r="D416" s="264"/>
      <c r="E416" s="267" t="s">
        <v>255</v>
      </c>
      <c r="F416" s="267">
        <f>A412</f>
        <v>95368</v>
      </c>
      <c r="G416" s="268">
        <f>SUM(G415)</f>
        <v>0.2</v>
      </c>
    </row>
    <row r="417" spans="1:7">
      <c r="A417" s="263"/>
      <c r="B417" s="264"/>
      <c r="C417" s="264"/>
      <c r="D417" s="264"/>
      <c r="E417" s="269"/>
      <c r="F417" s="269"/>
      <c r="G417" s="269"/>
    </row>
    <row r="418" spans="1:7" ht="21">
      <c r="A418" s="253">
        <v>95371</v>
      </c>
      <c r="B418" s="254" t="s">
        <v>1198</v>
      </c>
      <c r="C418" s="254"/>
      <c r="D418" s="254"/>
      <c r="E418" s="254"/>
      <c r="F418" s="254"/>
      <c r="G418" s="254"/>
    </row>
    <row r="419" spans="1:7" ht="21">
      <c r="A419" s="255" t="s">
        <v>447</v>
      </c>
      <c r="B419" s="256"/>
      <c r="C419" s="257" t="s">
        <v>4</v>
      </c>
      <c r="D419" s="257" t="s">
        <v>243</v>
      </c>
      <c r="E419" s="257" t="s">
        <v>244</v>
      </c>
      <c r="F419" s="257" t="s">
        <v>245</v>
      </c>
      <c r="G419" s="257" t="s">
        <v>246</v>
      </c>
    </row>
    <row r="420" spans="1:7">
      <c r="A420" s="258" t="s">
        <v>471</v>
      </c>
      <c r="B420" s="259" t="s">
        <v>472</v>
      </c>
      <c r="C420" s="260" t="s">
        <v>26</v>
      </c>
      <c r="D420" s="260" t="s">
        <v>265</v>
      </c>
      <c r="E420" s="325">
        <v>2.12E-2</v>
      </c>
      <c r="F420" s="301">
        <v>19.48</v>
      </c>
      <c r="G420" s="262">
        <f>TRUNC(TRUNC(E420,8)*F420,2)</f>
        <v>0.41</v>
      </c>
    </row>
    <row r="421" spans="1:7">
      <c r="A421" s="263"/>
      <c r="B421" s="264"/>
      <c r="C421" s="264"/>
      <c r="D421" s="264"/>
      <c r="E421" s="265" t="s">
        <v>1303</v>
      </c>
      <c r="F421" s="265"/>
      <c r="G421" s="266">
        <f>SUM(G420:G420)</f>
        <v>0.41</v>
      </c>
    </row>
    <row r="422" spans="1:7">
      <c r="A422" s="263"/>
      <c r="B422" s="264"/>
      <c r="C422" s="264"/>
      <c r="D422" s="264"/>
      <c r="E422" s="267" t="s">
        <v>255</v>
      </c>
      <c r="F422" s="267">
        <f>A418</f>
        <v>95371</v>
      </c>
      <c r="G422" s="268">
        <f>SUM(G421)</f>
        <v>0.41</v>
      </c>
    </row>
    <row r="423" spans="1:7">
      <c r="A423" s="263"/>
      <c r="B423" s="264"/>
      <c r="C423" s="264"/>
      <c r="D423" s="264"/>
      <c r="E423" s="269"/>
      <c r="F423" s="269"/>
      <c r="G423" s="269"/>
    </row>
    <row r="424" spans="1:7" ht="21">
      <c r="A424" s="253">
        <v>95372</v>
      </c>
      <c r="B424" s="254" t="s">
        <v>1199</v>
      </c>
      <c r="C424" s="254"/>
      <c r="D424" s="254"/>
      <c r="E424" s="254"/>
      <c r="F424" s="254"/>
      <c r="G424" s="254"/>
    </row>
    <row r="425" spans="1:7" ht="21">
      <c r="A425" s="255" t="s">
        <v>447</v>
      </c>
      <c r="B425" s="256"/>
      <c r="C425" s="257" t="s">
        <v>4</v>
      </c>
      <c r="D425" s="257" t="s">
        <v>243</v>
      </c>
      <c r="E425" s="257" t="s">
        <v>244</v>
      </c>
      <c r="F425" s="257" t="s">
        <v>245</v>
      </c>
      <c r="G425" s="257" t="s">
        <v>246</v>
      </c>
    </row>
    <row r="426" spans="1:7">
      <c r="A426" s="258" t="s">
        <v>479</v>
      </c>
      <c r="B426" s="259" t="s">
        <v>480</v>
      </c>
      <c r="C426" s="260" t="s">
        <v>26</v>
      </c>
      <c r="D426" s="260" t="s">
        <v>265</v>
      </c>
      <c r="E426" s="302">
        <v>1.4760000000000001E-2</v>
      </c>
      <c r="F426" s="301">
        <v>19.18</v>
      </c>
      <c r="G426" s="262">
        <f>TRUNC(TRUNC(E426,8)*F426,2)</f>
        <v>0.28000000000000003</v>
      </c>
    </row>
    <row r="427" spans="1:7">
      <c r="A427" s="263"/>
      <c r="B427" s="264"/>
      <c r="C427" s="264"/>
      <c r="D427" s="264"/>
      <c r="E427" s="265" t="s">
        <v>1303</v>
      </c>
      <c r="F427" s="265"/>
      <c r="G427" s="266">
        <f>SUM(G426:G426)</f>
        <v>0.28000000000000003</v>
      </c>
    </row>
    <row r="428" spans="1:7">
      <c r="A428" s="263"/>
      <c r="B428" s="264"/>
      <c r="C428" s="264"/>
      <c r="D428" s="264"/>
      <c r="E428" s="267" t="s">
        <v>255</v>
      </c>
      <c r="F428" s="267">
        <f>A424</f>
        <v>95372</v>
      </c>
      <c r="G428" s="268">
        <f>SUM(G427)</f>
        <v>0.28000000000000003</v>
      </c>
    </row>
    <row r="429" spans="1:7">
      <c r="A429" s="263"/>
      <c r="B429" s="264"/>
      <c r="C429" s="264"/>
      <c r="D429" s="264"/>
      <c r="E429" s="269"/>
      <c r="F429" s="269"/>
      <c r="G429" s="269"/>
    </row>
    <row r="430" spans="1:7" ht="21">
      <c r="A430" s="253">
        <v>95378</v>
      </c>
      <c r="B430" s="254" t="s">
        <v>1200</v>
      </c>
      <c r="C430" s="254"/>
      <c r="D430" s="254"/>
      <c r="E430" s="254"/>
      <c r="F430" s="254"/>
      <c r="G430" s="254"/>
    </row>
    <row r="431" spans="1:7" ht="21">
      <c r="A431" s="255" t="s">
        <v>447</v>
      </c>
      <c r="B431" s="256"/>
      <c r="C431" s="257" t="s">
        <v>4</v>
      </c>
      <c r="D431" s="257" t="s">
        <v>243</v>
      </c>
      <c r="E431" s="257" t="s">
        <v>244</v>
      </c>
      <c r="F431" s="257" t="s">
        <v>245</v>
      </c>
      <c r="G431" s="257" t="s">
        <v>246</v>
      </c>
    </row>
    <row r="432" spans="1:7">
      <c r="A432" s="258" t="s">
        <v>454</v>
      </c>
      <c r="B432" s="259" t="s">
        <v>455</v>
      </c>
      <c r="C432" s="260" t="s">
        <v>26</v>
      </c>
      <c r="D432" s="260" t="s">
        <v>265</v>
      </c>
      <c r="E432" s="325">
        <v>2.12E-2</v>
      </c>
      <c r="F432" s="301">
        <v>14.73</v>
      </c>
      <c r="G432" s="262">
        <f>TRUNC(TRUNC(E432,8)*F432,2)</f>
        <v>0.31</v>
      </c>
    </row>
    <row r="433" spans="1:7">
      <c r="A433" s="263"/>
      <c r="B433" s="264"/>
      <c r="C433" s="264"/>
      <c r="D433" s="264"/>
      <c r="E433" s="265" t="s">
        <v>1303</v>
      </c>
      <c r="F433" s="265"/>
      <c r="G433" s="266">
        <f>SUM(G432:G432)</f>
        <v>0.31</v>
      </c>
    </row>
    <row r="434" spans="1:7">
      <c r="A434" s="263"/>
      <c r="B434" s="264"/>
      <c r="C434" s="264"/>
      <c r="D434" s="264"/>
      <c r="E434" s="267" t="s">
        <v>255</v>
      </c>
      <c r="F434" s="267">
        <f>A430</f>
        <v>95378</v>
      </c>
      <c r="G434" s="268">
        <f>SUM(G433)</f>
        <v>0.31</v>
      </c>
    </row>
    <row r="435" spans="1:7">
      <c r="A435" s="263"/>
      <c r="B435" s="264"/>
      <c r="C435" s="264"/>
      <c r="D435" s="264"/>
      <c r="E435" s="269"/>
      <c r="F435" s="269"/>
      <c r="G435" s="269"/>
    </row>
    <row r="436" spans="1:7" ht="21">
      <c r="A436" s="253">
        <v>95379</v>
      </c>
      <c r="B436" s="254" t="s">
        <v>1201</v>
      </c>
      <c r="C436" s="254"/>
      <c r="D436" s="254"/>
      <c r="E436" s="254"/>
      <c r="F436" s="254"/>
      <c r="G436" s="254"/>
    </row>
    <row r="437" spans="1:7" ht="21">
      <c r="A437" s="255" t="s">
        <v>447</v>
      </c>
      <c r="B437" s="256"/>
      <c r="C437" s="257" t="s">
        <v>4</v>
      </c>
      <c r="D437" s="257" t="s">
        <v>243</v>
      </c>
      <c r="E437" s="257" t="s">
        <v>244</v>
      </c>
      <c r="F437" s="257" t="s">
        <v>245</v>
      </c>
      <c r="G437" s="257" t="s">
        <v>246</v>
      </c>
    </row>
    <row r="438" spans="1:7">
      <c r="A438" s="258" t="s">
        <v>514</v>
      </c>
      <c r="B438" s="259" t="s">
        <v>515</v>
      </c>
      <c r="C438" s="260" t="s">
        <v>26</v>
      </c>
      <c r="D438" s="260" t="s">
        <v>265</v>
      </c>
      <c r="E438" s="302">
        <v>1.154E-2</v>
      </c>
      <c r="F438" s="301">
        <v>19.239999999999998</v>
      </c>
      <c r="G438" s="262">
        <f>TRUNC(TRUNC(E438,8)*F438,2)</f>
        <v>0.22</v>
      </c>
    </row>
    <row r="439" spans="1:7">
      <c r="A439" s="263"/>
      <c r="B439" s="264"/>
      <c r="C439" s="264"/>
      <c r="D439" s="264"/>
      <c r="E439" s="265" t="s">
        <v>1303</v>
      </c>
      <c r="F439" s="265"/>
      <c r="G439" s="266">
        <f>SUM(G438:G438)</f>
        <v>0.22</v>
      </c>
    </row>
    <row r="440" spans="1:7">
      <c r="A440" s="263"/>
      <c r="B440" s="264"/>
      <c r="C440" s="264"/>
      <c r="D440" s="264"/>
      <c r="E440" s="267" t="s">
        <v>255</v>
      </c>
      <c r="F440" s="267">
        <f>A436</f>
        <v>95379</v>
      </c>
      <c r="G440" s="268">
        <f>SUM(G439)</f>
        <v>0.22</v>
      </c>
    </row>
    <row r="441" spans="1:7">
      <c r="A441" s="263"/>
      <c r="B441" s="264"/>
      <c r="C441" s="264"/>
      <c r="D441" s="264"/>
      <c r="E441" s="269"/>
      <c r="F441" s="269"/>
      <c r="G441" s="269"/>
    </row>
    <row r="442" spans="1:7" ht="21">
      <c r="A442" s="253">
        <v>95385</v>
      </c>
      <c r="B442" s="254" t="s">
        <v>1202</v>
      </c>
      <c r="C442" s="254"/>
      <c r="D442" s="254"/>
      <c r="E442" s="254"/>
      <c r="F442" s="254"/>
      <c r="G442" s="254"/>
    </row>
    <row r="443" spans="1:7" ht="21">
      <c r="A443" s="255" t="s">
        <v>447</v>
      </c>
      <c r="B443" s="256"/>
      <c r="C443" s="257" t="s">
        <v>4</v>
      </c>
      <c r="D443" s="257" t="s">
        <v>243</v>
      </c>
      <c r="E443" s="257" t="s">
        <v>244</v>
      </c>
      <c r="F443" s="257" t="s">
        <v>245</v>
      </c>
      <c r="G443" s="257" t="s">
        <v>246</v>
      </c>
    </row>
    <row r="444" spans="1:7">
      <c r="A444" s="258" t="s">
        <v>540</v>
      </c>
      <c r="B444" s="259" t="s">
        <v>541</v>
      </c>
      <c r="C444" s="260" t="s">
        <v>26</v>
      </c>
      <c r="D444" s="260" t="s">
        <v>265</v>
      </c>
      <c r="E444" s="302">
        <v>1.154E-2</v>
      </c>
      <c r="F444" s="301">
        <v>19.03</v>
      </c>
      <c r="G444" s="262">
        <f>TRUNC(TRUNC(E444,8)*F444,2)</f>
        <v>0.21</v>
      </c>
    </row>
    <row r="445" spans="1:7">
      <c r="A445" s="263"/>
      <c r="B445" s="264"/>
      <c r="C445" s="264"/>
      <c r="D445" s="264"/>
      <c r="E445" s="265" t="s">
        <v>1303</v>
      </c>
      <c r="F445" s="265"/>
      <c r="G445" s="266">
        <f>SUM(G444:G444)</f>
        <v>0.21</v>
      </c>
    </row>
    <row r="446" spans="1:7">
      <c r="A446" s="263"/>
      <c r="B446" s="264"/>
      <c r="C446" s="264"/>
      <c r="D446" s="264"/>
      <c r="E446" s="267" t="s">
        <v>255</v>
      </c>
      <c r="F446" s="267">
        <f>A442</f>
        <v>95385</v>
      </c>
      <c r="G446" s="268">
        <f>SUM(G445)</f>
        <v>0.21</v>
      </c>
    </row>
    <row r="447" spans="1:7">
      <c r="A447" s="263"/>
      <c r="B447" s="264"/>
      <c r="C447" s="264"/>
      <c r="D447" s="264"/>
      <c r="E447" s="269"/>
      <c r="F447" s="269"/>
      <c r="G447" s="269"/>
    </row>
    <row r="448" spans="1:7" ht="21">
      <c r="A448" s="253">
        <v>100315</v>
      </c>
      <c r="B448" s="254" t="s">
        <v>1203</v>
      </c>
      <c r="C448" s="254"/>
      <c r="D448" s="254"/>
      <c r="E448" s="254"/>
      <c r="F448" s="254"/>
      <c r="G448" s="254"/>
    </row>
    <row r="449" spans="1:7" ht="21">
      <c r="A449" s="255" t="s">
        <v>447</v>
      </c>
      <c r="B449" s="256"/>
      <c r="C449" s="257" t="s">
        <v>4</v>
      </c>
      <c r="D449" s="257" t="s">
        <v>243</v>
      </c>
      <c r="E449" s="257" t="s">
        <v>244</v>
      </c>
      <c r="F449" s="257" t="s">
        <v>245</v>
      </c>
      <c r="G449" s="257" t="s">
        <v>246</v>
      </c>
    </row>
    <row r="450" spans="1:7">
      <c r="A450" s="258" t="s">
        <v>456</v>
      </c>
      <c r="B450" s="259" t="s">
        <v>457</v>
      </c>
      <c r="C450" s="260" t="s">
        <v>26</v>
      </c>
      <c r="D450" s="260" t="s">
        <v>29</v>
      </c>
      <c r="E450" s="302">
        <v>1.354E-2</v>
      </c>
      <c r="F450" s="301">
        <v>4775.3100000000004</v>
      </c>
      <c r="G450" s="262">
        <f>TRUNC(TRUNC(E450,8)*F450,2)</f>
        <v>64.650000000000006</v>
      </c>
    </row>
    <row r="451" spans="1:7">
      <c r="A451" s="263"/>
      <c r="B451" s="264"/>
      <c r="C451" s="264"/>
      <c r="D451" s="264"/>
      <c r="E451" s="265" t="s">
        <v>1303</v>
      </c>
      <c r="F451" s="265"/>
      <c r="G451" s="266">
        <f>SUM(G450:G450)</f>
        <v>64.650000000000006</v>
      </c>
    </row>
    <row r="452" spans="1:7">
      <c r="A452" s="263"/>
      <c r="B452" s="264"/>
      <c r="C452" s="264"/>
      <c r="D452" s="264"/>
      <c r="E452" s="267" t="s">
        <v>255</v>
      </c>
      <c r="F452" s="267">
        <f>A448</f>
        <v>100315</v>
      </c>
      <c r="G452" s="268">
        <f>SUM(G451)</f>
        <v>64.650000000000006</v>
      </c>
    </row>
    <row r="453" spans="1:7">
      <c r="A453" s="263"/>
      <c r="B453" s="264"/>
      <c r="C453" s="264"/>
      <c r="D453" s="264"/>
      <c r="E453" s="269"/>
      <c r="F453" s="269"/>
      <c r="G453" s="269"/>
    </row>
    <row r="454" spans="1:7" ht="21">
      <c r="A454" s="253">
        <v>95282</v>
      </c>
      <c r="B454" s="254" t="s">
        <v>1204</v>
      </c>
      <c r="C454" s="254"/>
      <c r="D454" s="254"/>
      <c r="E454" s="254"/>
      <c r="F454" s="254"/>
      <c r="G454" s="254"/>
    </row>
    <row r="455" spans="1:7" ht="21">
      <c r="A455" s="255" t="s">
        <v>250</v>
      </c>
      <c r="B455" s="256"/>
      <c r="C455" s="257" t="s">
        <v>4</v>
      </c>
      <c r="D455" s="257" t="s">
        <v>243</v>
      </c>
      <c r="E455" s="257" t="s">
        <v>244</v>
      </c>
      <c r="F455" s="257" t="s">
        <v>245</v>
      </c>
      <c r="G455" s="257" t="s">
        <v>246</v>
      </c>
    </row>
    <row r="456" spans="1:7" ht="20">
      <c r="A456" s="258" t="s">
        <v>1006</v>
      </c>
      <c r="B456" s="259" t="s">
        <v>1007</v>
      </c>
      <c r="C456" s="260" t="s">
        <v>26</v>
      </c>
      <c r="D456" s="260" t="s">
        <v>265</v>
      </c>
      <c r="E456" s="261">
        <v>1</v>
      </c>
      <c r="F456" s="301">
        <v>0.67</v>
      </c>
      <c r="G456" s="262">
        <f>TRUNC(TRUNC(E456,8)*F456,2)</f>
        <v>0.67</v>
      </c>
    </row>
    <row r="457" spans="1:7" ht="20">
      <c r="A457" s="258" t="s">
        <v>1008</v>
      </c>
      <c r="B457" s="259" t="s">
        <v>1009</v>
      </c>
      <c r="C457" s="260" t="s">
        <v>26</v>
      </c>
      <c r="D457" s="260" t="s">
        <v>265</v>
      </c>
      <c r="E457" s="261">
        <v>1</v>
      </c>
      <c r="F457" s="301">
        <v>0.13</v>
      </c>
      <c r="G457" s="262">
        <f>TRUNC(TRUNC(E457,8)*F457,2)</f>
        <v>0.13</v>
      </c>
    </row>
    <row r="458" spans="1:7" ht="20">
      <c r="A458" s="258" t="s">
        <v>1010</v>
      </c>
      <c r="B458" s="259" t="s">
        <v>1011</v>
      </c>
      <c r="C458" s="260" t="s">
        <v>26</v>
      </c>
      <c r="D458" s="260" t="s">
        <v>265</v>
      </c>
      <c r="E458" s="261">
        <v>1</v>
      </c>
      <c r="F458" s="301">
        <v>0.65</v>
      </c>
      <c r="G458" s="262">
        <f>TRUNC(TRUNC(E458,8)*F458,2)</f>
        <v>0.65</v>
      </c>
    </row>
    <row r="459" spans="1:7" ht="20">
      <c r="A459" s="258" t="s">
        <v>1012</v>
      </c>
      <c r="B459" s="259" t="s">
        <v>1013</v>
      </c>
      <c r="C459" s="260" t="s">
        <v>26</v>
      </c>
      <c r="D459" s="260" t="s">
        <v>265</v>
      </c>
      <c r="E459" s="261">
        <v>1</v>
      </c>
      <c r="F459" s="301">
        <v>9.02</v>
      </c>
      <c r="G459" s="262">
        <f>TRUNC(TRUNC(E459,8)*F459,2)</f>
        <v>9.02</v>
      </c>
    </row>
    <row r="460" spans="1:7">
      <c r="A460" s="263"/>
      <c r="B460" s="264"/>
      <c r="C460" s="264"/>
      <c r="D460" s="264"/>
      <c r="E460" s="265" t="s">
        <v>1301</v>
      </c>
      <c r="F460" s="265"/>
      <c r="G460" s="266">
        <f>SUM(G456:G459)</f>
        <v>10.469999999999999</v>
      </c>
    </row>
    <row r="461" spans="1:7">
      <c r="A461" s="263"/>
      <c r="B461" s="264"/>
      <c r="C461" s="264"/>
      <c r="D461" s="264"/>
      <c r="E461" s="267" t="s">
        <v>255</v>
      </c>
      <c r="F461" s="267">
        <f>A454</f>
        <v>95282</v>
      </c>
      <c r="G461" s="268">
        <f>SUM(G460)</f>
        <v>10.469999999999999</v>
      </c>
    </row>
    <row r="462" spans="1:7">
      <c r="A462" s="263"/>
      <c r="B462" s="264"/>
      <c r="C462" s="264"/>
      <c r="D462" s="264"/>
      <c r="E462" s="269"/>
      <c r="F462" s="269"/>
      <c r="G462" s="269"/>
    </row>
    <row r="463" spans="1:7" ht="21">
      <c r="A463" s="253">
        <v>95278</v>
      </c>
      <c r="B463" s="254" t="s">
        <v>1205</v>
      </c>
      <c r="C463" s="254"/>
      <c r="D463" s="254"/>
      <c r="E463" s="254"/>
      <c r="F463" s="254"/>
      <c r="G463" s="254"/>
    </row>
    <row r="464" spans="1:7" ht="21">
      <c r="A464" s="255" t="s">
        <v>268</v>
      </c>
      <c r="B464" s="256"/>
      <c r="C464" s="257" t="s">
        <v>4</v>
      </c>
      <c r="D464" s="257" t="s">
        <v>243</v>
      </c>
      <c r="E464" s="257" t="s">
        <v>244</v>
      </c>
      <c r="F464" s="257" t="s">
        <v>245</v>
      </c>
      <c r="G464" s="257" t="s">
        <v>246</v>
      </c>
    </row>
    <row r="465" spans="1:7" ht="20">
      <c r="A465" s="258" t="s">
        <v>628</v>
      </c>
      <c r="B465" s="259" t="s">
        <v>629</v>
      </c>
      <c r="C465" s="260" t="s">
        <v>26</v>
      </c>
      <c r="D465" s="260" t="s">
        <v>14</v>
      </c>
      <c r="E465" s="324">
        <v>7.2000000000000002E-5</v>
      </c>
      <c r="F465" s="301">
        <v>9400</v>
      </c>
      <c r="G465" s="262">
        <f>TRUNC(TRUNC(E465,8)*F465,2)</f>
        <v>0.67</v>
      </c>
    </row>
    <row r="466" spans="1:7">
      <c r="A466" s="263"/>
      <c r="B466" s="264"/>
      <c r="C466" s="264"/>
      <c r="D466" s="264"/>
      <c r="E466" s="265" t="s">
        <v>1300</v>
      </c>
      <c r="F466" s="265"/>
      <c r="G466" s="266">
        <f>SUM(G465:G465)</f>
        <v>0.67</v>
      </c>
    </row>
    <row r="467" spans="1:7">
      <c r="A467" s="263"/>
      <c r="B467" s="264"/>
      <c r="C467" s="264"/>
      <c r="D467" s="264"/>
      <c r="E467" s="267" t="s">
        <v>255</v>
      </c>
      <c r="F467" s="267">
        <f>A463</f>
        <v>95278</v>
      </c>
      <c r="G467" s="268">
        <f>SUM(G466)</f>
        <v>0.67</v>
      </c>
    </row>
    <row r="468" spans="1:7">
      <c r="A468" s="263"/>
      <c r="B468" s="264"/>
      <c r="C468" s="264"/>
      <c r="D468" s="264"/>
      <c r="E468" s="269"/>
      <c r="F468" s="269"/>
      <c r="G468" s="269"/>
    </row>
    <row r="469" spans="1:7" ht="21">
      <c r="A469" s="253">
        <v>95279</v>
      </c>
      <c r="B469" s="254" t="s">
        <v>1206</v>
      </c>
      <c r="C469" s="254"/>
      <c r="D469" s="254"/>
      <c r="E469" s="254"/>
      <c r="F469" s="254"/>
      <c r="G469" s="254"/>
    </row>
    <row r="470" spans="1:7" ht="21">
      <c r="A470" s="255" t="s">
        <v>268</v>
      </c>
      <c r="B470" s="256"/>
      <c r="C470" s="257" t="s">
        <v>4</v>
      </c>
      <c r="D470" s="257" t="s">
        <v>243</v>
      </c>
      <c r="E470" s="257" t="s">
        <v>244</v>
      </c>
      <c r="F470" s="257" t="s">
        <v>245</v>
      </c>
      <c r="G470" s="257" t="s">
        <v>246</v>
      </c>
    </row>
    <row r="471" spans="1:7" ht="20">
      <c r="A471" s="258" t="s">
        <v>628</v>
      </c>
      <c r="B471" s="259" t="s">
        <v>629</v>
      </c>
      <c r="C471" s="260" t="s">
        <v>26</v>
      </c>
      <c r="D471" s="260" t="s">
        <v>14</v>
      </c>
      <c r="E471" s="328">
        <v>1.4800000000000001E-5</v>
      </c>
      <c r="F471" s="301">
        <v>9400</v>
      </c>
      <c r="G471" s="262">
        <f>TRUNC(TRUNC(E471,8)*F471,2)</f>
        <v>0.13</v>
      </c>
    </row>
    <row r="472" spans="1:7">
      <c r="A472" s="263"/>
      <c r="B472" s="264"/>
      <c r="C472" s="264"/>
      <c r="D472" s="264"/>
      <c r="E472" s="265" t="s">
        <v>1300</v>
      </c>
      <c r="F472" s="265"/>
      <c r="G472" s="266">
        <f>SUM(G471:G471)</f>
        <v>0.13</v>
      </c>
    </row>
    <row r="473" spans="1:7">
      <c r="A473" s="263"/>
      <c r="B473" s="264"/>
      <c r="C473" s="264"/>
      <c r="D473" s="264"/>
      <c r="E473" s="267" t="s">
        <v>255</v>
      </c>
      <c r="F473" s="267">
        <f>A469</f>
        <v>95279</v>
      </c>
      <c r="G473" s="268">
        <f>SUM(G472)</f>
        <v>0.13</v>
      </c>
    </row>
    <row r="474" spans="1:7">
      <c r="A474" s="263"/>
      <c r="B474" s="264"/>
      <c r="C474" s="264"/>
      <c r="D474" s="264"/>
      <c r="E474" s="269"/>
      <c r="F474" s="269"/>
      <c r="G474" s="269"/>
    </row>
    <row r="475" spans="1:7" ht="21">
      <c r="A475" s="253">
        <v>95280</v>
      </c>
      <c r="B475" s="254" t="s">
        <v>1207</v>
      </c>
      <c r="C475" s="254"/>
      <c r="D475" s="254"/>
      <c r="E475" s="254"/>
      <c r="F475" s="254"/>
      <c r="G475" s="254"/>
    </row>
    <row r="476" spans="1:7" ht="21">
      <c r="A476" s="255" t="s">
        <v>268</v>
      </c>
      <c r="B476" s="256"/>
      <c r="C476" s="257" t="s">
        <v>4</v>
      </c>
      <c r="D476" s="257" t="s">
        <v>243</v>
      </c>
      <c r="E476" s="257" t="s">
        <v>244</v>
      </c>
      <c r="F476" s="257" t="s">
        <v>245</v>
      </c>
      <c r="G476" s="257" t="s">
        <v>246</v>
      </c>
    </row>
    <row r="477" spans="1:7" ht="20">
      <c r="A477" s="258" t="s">
        <v>628</v>
      </c>
      <c r="B477" s="259" t="s">
        <v>629</v>
      </c>
      <c r="C477" s="260" t="s">
        <v>26</v>
      </c>
      <c r="D477" s="260" t="s">
        <v>14</v>
      </c>
      <c r="E477" s="270">
        <v>6.9999999999999994E-5</v>
      </c>
      <c r="F477" s="301">
        <v>9400</v>
      </c>
      <c r="G477" s="262">
        <f>TRUNC(TRUNC(E477,8)*F477,2)</f>
        <v>0.65</v>
      </c>
    </row>
    <row r="478" spans="1:7">
      <c r="A478" s="263"/>
      <c r="B478" s="264"/>
      <c r="C478" s="264"/>
      <c r="D478" s="264"/>
      <c r="E478" s="265" t="s">
        <v>1300</v>
      </c>
      <c r="F478" s="265"/>
      <c r="G478" s="266">
        <f>SUM(G477:G477)</f>
        <v>0.65</v>
      </c>
    </row>
    <row r="479" spans="1:7">
      <c r="A479" s="263"/>
      <c r="B479" s="264"/>
      <c r="C479" s="264"/>
      <c r="D479" s="264"/>
      <c r="E479" s="267" t="s">
        <v>255</v>
      </c>
      <c r="F479" s="267">
        <f>A475</f>
        <v>95280</v>
      </c>
      <c r="G479" s="268">
        <f>SUM(G478)</f>
        <v>0.65</v>
      </c>
    </row>
    <row r="480" spans="1:7">
      <c r="A480" s="263"/>
      <c r="B480" s="264"/>
      <c r="C480" s="264"/>
      <c r="D480" s="264"/>
      <c r="E480" s="269"/>
      <c r="F480" s="269"/>
      <c r="G480" s="269"/>
    </row>
    <row r="481" spans="1:7" ht="31.5">
      <c r="A481" s="253">
        <v>95281</v>
      </c>
      <c r="B481" s="254" t="s">
        <v>1208</v>
      </c>
      <c r="C481" s="254"/>
      <c r="D481" s="254"/>
      <c r="E481" s="254"/>
      <c r="F481" s="254"/>
      <c r="G481" s="254"/>
    </row>
    <row r="482" spans="1:7" ht="21">
      <c r="A482" s="255" t="s">
        <v>256</v>
      </c>
      <c r="B482" s="256"/>
      <c r="C482" s="257" t="s">
        <v>4</v>
      </c>
      <c r="D482" s="257" t="s">
        <v>243</v>
      </c>
      <c r="E482" s="257" t="s">
        <v>244</v>
      </c>
      <c r="F482" s="257" t="s">
        <v>245</v>
      </c>
      <c r="G482" s="257" t="s">
        <v>246</v>
      </c>
    </row>
    <row r="483" spans="1:7">
      <c r="A483" s="258" t="s">
        <v>606</v>
      </c>
      <c r="B483" s="259" t="s">
        <v>607</v>
      </c>
      <c r="C483" s="260" t="s">
        <v>26</v>
      </c>
      <c r="D483" s="260" t="s">
        <v>335</v>
      </c>
      <c r="E483" s="301">
        <v>1.44</v>
      </c>
      <c r="F483" s="301">
        <v>6.27</v>
      </c>
      <c r="G483" s="262">
        <f>TRUNC(TRUNC(E483,8)*F483,2)</f>
        <v>9.02</v>
      </c>
    </row>
    <row r="484" spans="1:7" ht="21">
      <c r="A484" s="263"/>
      <c r="B484" s="264"/>
      <c r="C484" s="264"/>
      <c r="D484" s="264"/>
      <c r="E484" s="265" t="s">
        <v>259</v>
      </c>
      <c r="F484" s="265"/>
      <c r="G484" s="266">
        <f>SUM(G483:G483)</f>
        <v>9.02</v>
      </c>
    </row>
    <row r="485" spans="1:7">
      <c r="A485" s="263"/>
      <c r="B485" s="264"/>
      <c r="C485" s="264"/>
      <c r="D485" s="264"/>
      <c r="E485" s="267" t="s">
        <v>255</v>
      </c>
      <c r="F485" s="267">
        <f>A481</f>
        <v>95281</v>
      </c>
      <c r="G485" s="268">
        <f>SUM(G484)</f>
        <v>9.02</v>
      </c>
    </row>
    <row r="486" spans="1:7">
      <c r="A486" s="263"/>
      <c r="B486" s="264"/>
      <c r="C486" s="264"/>
      <c r="D486" s="264"/>
      <c r="E486" s="269"/>
      <c r="F486" s="269"/>
      <c r="G486" s="269"/>
    </row>
    <row r="487" spans="1:7">
      <c r="A487" s="253">
        <v>88264</v>
      </c>
      <c r="B487" s="254" t="s">
        <v>1209</v>
      </c>
      <c r="C487" s="254"/>
      <c r="D487" s="254"/>
      <c r="E487" s="254"/>
      <c r="F487" s="254"/>
      <c r="G487" s="254"/>
    </row>
    <row r="488" spans="1:7" ht="21">
      <c r="A488" s="255" t="s">
        <v>462</v>
      </c>
      <c r="B488" s="256"/>
      <c r="C488" s="257" t="s">
        <v>4</v>
      </c>
      <c r="D488" s="257" t="s">
        <v>243</v>
      </c>
      <c r="E488" s="257" t="s">
        <v>244</v>
      </c>
      <c r="F488" s="257" t="s">
        <v>245</v>
      </c>
      <c r="G488" s="257" t="s">
        <v>246</v>
      </c>
    </row>
    <row r="489" spans="1:7" ht="20">
      <c r="A489" s="258" t="s">
        <v>467</v>
      </c>
      <c r="B489" s="259" t="s">
        <v>468</v>
      </c>
      <c r="C489" s="260" t="s">
        <v>26</v>
      </c>
      <c r="D489" s="260" t="s">
        <v>265</v>
      </c>
      <c r="E489" s="262">
        <v>1</v>
      </c>
      <c r="F489" s="301">
        <v>0.92</v>
      </c>
      <c r="G489" s="262">
        <f t="shared" ref="G489:G494" si="7">TRUNC(TRUNC(E489,8)*F489,2)</f>
        <v>0.92</v>
      </c>
    </row>
    <row r="490" spans="1:7" ht="20">
      <c r="A490" s="258" t="s">
        <v>475</v>
      </c>
      <c r="B490" s="259" t="s">
        <v>476</v>
      </c>
      <c r="C490" s="260" t="s">
        <v>26</v>
      </c>
      <c r="D490" s="260" t="s">
        <v>265</v>
      </c>
      <c r="E490" s="262">
        <v>1</v>
      </c>
      <c r="F490" s="301">
        <v>1.26</v>
      </c>
      <c r="G490" s="262">
        <f t="shared" si="7"/>
        <v>1.26</v>
      </c>
    </row>
    <row r="491" spans="1:7" ht="20">
      <c r="A491" s="258" t="s">
        <v>460</v>
      </c>
      <c r="B491" s="259" t="s">
        <v>461</v>
      </c>
      <c r="C491" s="260" t="s">
        <v>26</v>
      </c>
      <c r="D491" s="260" t="s">
        <v>265</v>
      </c>
      <c r="E491" s="262">
        <v>1</v>
      </c>
      <c r="F491" s="301">
        <v>1.43</v>
      </c>
      <c r="G491" s="262">
        <f t="shared" si="7"/>
        <v>1.43</v>
      </c>
    </row>
    <row r="492" spans="1:7" ht="20">
      <c r="A492" s="258" t="s">
        <v>483</v>
      </c>
      <c r="B492" s="259" t="s">
        <v>484</v>
      </c>
      <c r="C492" s="260" t="s">
        <v>26</v>
      </c>
      <c r="D492" s="260" t="s">
        <v>265</v>
      </c>
      <c r="E492" s="262">
        <v>1</v>
      </c>
      <c r="F492" s="301">
        <v>0.86</v>
      </c>
      <c r="G492" s="262">
        <f t="shared" si="7"/>
        <v>0.86</v>
      </c>
    </row>
    <row r="493" spans="1:7" ht="20">
      <c r="A493" s="258" t="s">
        <v>570</v>
      </c>
      <c r="B493" s="259" t="s">
        <v>571</v>
      </c>
      <c r="C493" s="260" t="s">
        <v>26</v>
      </c>
      <c r="D493" s="260" t="s">
        <v>265</v>
      </c>
      <c r="E493" s="262">
        <v>1</v>
      </c>
      <c r="F493" s="301">
        <v>0.08</v>
      </c>
      <c r="G493" s="262">
        <f t="shared" si="7"/>
        <v>0.08</v>
      </c>
    </row>
    <row r="494" spans="1:7" ht="20">
      <c r="A494" s="258" t="s">
        <v>473</v>
      </c>
      <c r="B494" s="259" t="s">
        <v>474</v>
      </c>
      <c r="C494" s="260" t="s">
        <v>26</v>
      </c>
      <c r="D494" s="260" t="s">
        <v>265</v>
      </c>
      <c r="E494" s="262">
        <v>1</v>
      </c>
      <c r="F494" s="301">
        <v>0.8</v>
      </c>
      <c r="G494" s="262">
        <f t="shared" si="7"/>
        <v>0.8</v>
      </c>
    </row>
    <row r="495" spans="1:7" ht="21">
      <c r="A495" s="263"/>
      <c r="B495" s="264"/>
      <c r="C495" s="264"/>
      <c r="D495" s="264"/>
      <c r="E495" s="265" t="s">
        <v>1302</v>
      </c>
      <c r="F495" s="265"/>
      <c r="G495" s="266">
        <f>SUM(G489:G494)</f>
        <v>5.3500000000000005</v>
      </c>
    </row>
    <row r="496" spans="1:7" ht="21">
      <c r="A496" s="255" t="s">
        <v>447</v>
      </c>
      <c r="B496" s="256"/>
      <c r="C496" s="257" t="s">
        <v>4</v>
      </c>
      <c r="D496" s="257" t="s">
        <v>243</v>
      </c>
      <c r="E496" s="257" t="s">
        <v>244</v>
      </c>
      <c r="F496" s="257" t="s">
        <v>245</v>
      </c>
      <c r="G496" s="257" t="s">
        <v>246</v>
      </c>
    </row>
    <row r="497" spans="1:7">
      <c r="A497" s="258" t="s">
        <v>450</v>
      </c>
      <c r="B497" s="259" t="s">
        <v>451</v>
      </c>
      <c r="C497" s="260" t="s">
        <v>26</v>
      </c>
      <c r="D497" s="260" t="s">
        <v>265</v>
      </c>
      <c r="E497" s="262">
        <v>1</v>
      </c>
      <c r="F497" s="301">
        <v>19.48</v>
      </c>
      <c r="G497" s="262">
        <f>TRUNC(TRUNC(E497,8)*F497,2)</f>
        <v>19.48</v>
      </c>
    </row>
    <row r="498" spans="1:7">
      <c r="A498" s="263"/>
      <c r="B498" s="264"/>
      <c r="C498" s="264"/>
      <c r="D498" s="264"/>
      <c r="E498" s="265" t="s">
        <v>1303</v>
      </c>
      <c r="F498" s="265"/>
      <c r="G498" s="266">
        <f>SUM(G497:G497)</f>
        <v>19.48</v>
      </c>
    </row>
    <row r="499" spans="1:7" ht="21">
      <c r="A499" s="255" t="s">
        <v>250</v>
      </c>
      <c r="B499" s="256"/>
      <c r="C499" s="257" t="s">
        <v>4</v>
      </c>
      <c r="D499" s="257" t="s">
        <v>243</v>
      </c>
      <c r="E499" s="257" t="s">
        <v>244</v>
      </c>
      <c r="F499" s="257" t="s">
        <v>245</v>
      </c>
      <c r="G499" s="257" t="s">
        <v>246</v>
      </c>
    </row>
    <row r="500" spans="1:7" ht="20">
      <c r="A500" s="258" t="s">
        <v>1014</v>
      </c>
      <c r="B500" s="259" t="s">
        <v>1015</v>
      </c>
      <c r="C500" s="260" t="s">
        <v>26</v>
      </c>
      <c r="D500" s="260" t="s">
        <v>265</v>
      </c>
      <c r="E500" s="262">
        <v>1</v>
      </c>
      <c r="F500" s="301">
        <v>0.72</v>
      </c>
      <c r="G500" s="262">
        <f>TRUNC(TRUNC(E500,8)*F500,2)</f>
        <v>0.72</v>
      </c>
    </row>
    <row r="501" spans="1:7">
      <c r="A501" s="263"/>
      <c r="B501" s="264"/>
      <c r="C501" s="264"/>
      <c r="D501" s="264"/>
      <c r="E501" s="265" t="s">
        <v>1301</v>
      </c>
      <c r="F501" s="265"/>
      <c r="G501" s="266">
        <f>SUM(G500:G500)</f>
        <v>0.72</v>
      </c>
    </row>
    <row r="502" spans="1:7">
      <c r="A502" s="263"/>
      <c r="B502" s="264"/>
      <c r="C502" s="264"/>
      <c r="D502" s="264"/>
      <c r="E502" s="267" t="s">
        <v>255</v>
      </c>
      <c r="F502" s="267">
        <f>A487</f>
        <v>88264</v>
      </c>
      <c r="G502" s="268">
        <f>SUM(G495,G498,G501)</f>
        <v>25.55</v>
      </c>
    </row>
    <row r="503" spans="1:7">
      <c r="A503" s="263"/>
      <c r="B503" s="264"/>
      <c r="C503" s="264"/>
      <c r="D503" s="264"/>
      <c r="E503" s="269"/>
      <c r="F503" s="269"/>
      <c r="G503" s="269"/>
    </row>
    <row r="504" spans="1:7" ht="21">
      <c r="A504" s="253">
        <v>88267</v>
      </c>
      <c r="B504" s="254" t="s">
        <v>1210</v>
      </c>
      <c r="C504" s="254"/>
      <c r="D504" s="254"/>
      <c r="E504" s="254"/>
      <c r="F504" s="254"/>
      <c r="G504" s="254"/>
    </row>
    <row r="505" spans="1:7" ht="21">
      <c r="A505" s="255" t="s">
        <v>462</v>
      </c>
      <c r="B505" s="256"/>
      <c r="C505" s="257" t="s">
        <v>4</v>
      </c>
      <c r="D505" s="257" t="s">
        <v>243</v>
      </c>
      <c r="E505" s="257" t="s">
        <v>244</v>
      </c>
      <c r="F505" s="257" t="s">
        <v>245</v>
      </c>
      <c r="G505" s="257" t="s">
        <v>246</v>
      </c>
    </row>
    <row r="506" spans="1:7" ht="20">
      <c r="A506" s="258" t="s">
        <v>467</v>
      </c>
      <c r="B506" s="259" t="s">
        <v>468</v>
      </c>
      <c r="C506" s="260" t="s">
        <v>26</v>
      </c>
      <c r="D506" s="260" t="s">
        <v>265</v>
      </c>
      <c r="E506" s="262">
        <v>1</v>
      </c>
      <c r="F506" s="301">
        <v>0.92</v>
      </c>
      <c r="G506" s="262">
        <f t="shared" ref="G506:G511" si="8">TRUNC(TRUNC(E506,8)*F506,2)</f>
        <v>0.92</v>
      </c>
    </row>
    <row r="507" spans="1:7" ht="20">
      <c r="A507" s="258" t="s">
        <v>616</v>
      </c>
      <c r="B507" s="259" t="s">
        <v>617</v>
      </c>
      <c r="C507" s="260" t="s">
        <v>26</v>
      </c>
      <c r="D507" s="260" t="s">
        <v>265</v>
      </c>
      <c r="E507" s="262">
        <v>1</v>
      </c>
      <c r="F507" s="301">
        <v>1.1299999999999999</v>
      </c>
      <c r="G507" s="262">
        <f t="shared" si="8"/>
        <v>1.1299999999999999</v>
      </c>
    </row>
    <row r="508" spans="1:7" ht="20">
      <c r="A508" s="258" t="s">
        <v>460</v>
      </c>
      <c r="B508" s="259" t="s">
        <v>461</v>
      </c>
      <c r="C508" s="260" t="s">
        <v>26</v>
      </c>
      <c r="D508" s="260" t="s">
        <v>265</v>
      </c>
      <c r="E508" s="262">
        <v>1</v>
      </c>
      <c r="F508" s="301">
        <v>1.43</v>
      </c>
      <c r="G508" s="262">
        <f t="shared" si="8"/>
        <v>1.43</v>
      </c>
    </row>
    <row r="509" spans="1:7" ht="20">
      <c r="A509" s="258" t="s">
        <v>620</v>
      </c>
      <c r="B509" s="259" t="s">
        <v>621</v>
      </c>
      <c r="C509" s="260" t="s">
        <v>26</v>
      </c>
      <c r="D509" s="260" t="s">
        <v>265</v>
      </c>
      <c r="E509" s="262">
        <v>1</v>
      </c>
      <c r="F509" s="301">
        <v>0.31</v>
      </c>
      <c r="G509" s="262">
        <f t="shared" si="8"/>
        <v>0.31</v>
      </c>
    </row>
    <row r="510" spans="1:7" ht="20">
      <c r="A510" s="258" t="s">
        <v>570</v>
      </c>
      <c r="B510" s="259" t="s">
        <v>571</v>
      </c>
      <c r="C510" s="260" t="s">
        <v>26</v>
      </c>
      <c r="D510" s="260" t="s">
        <v>265</v>
      </c>
      <c r="E510" s="262">
        <v>1</v>
      </c>
      <c r="F510" s="301">
        <v>0.08</v>
      </c>
      <c r="G510" s="262">
        <f t="shared" si="8"/>
        <v>0.08</v>
      </c>
    </row>
    <row r="511" spans="1:7" ht="20">
      <c r="A511" s="258" t="s">
        <v>473</v>
      </c>
      <c r="B511" s="259" t="s">
        <v>474</v>
      </c>
      <c r="C511" s="260" t="s">
        <v>26</v>
      </c>
      <c r="D511" s="260" t="s">
        <v>265</v>
      </c>
      <c r="E511" s="262">
        <v>1</v>
      </c>
      <c r="F511" s="301">
        <v>0.8</v>
      </c>
      <c r="G511" s="262">
        <f t="shared" si="8"/>
        <v>0.8</v>
      </c>
    </row>
    <row r="512" spans="1:7" ht="21">
      <c r="A512" s="263"/>
      <c r="B512" s="264"/>
      <c r="C512" s="264"/>
      <c r="D512" s="264"/>
      <c r="E512" s="265" t="s">
        <v>1302</v>
      </c>
      <c r="F512" s="265"/>
      <c r="G512" s="266">
        <f>SUM(G506:G511)</f>
        <v>4.67</v>
      </c>
    </row>
    <row r="513" spans="1:7" ht="21">
      <c r="A513" s="255" t="s">
        <v>447</v>
      </c>
      <c r="B513" s="256"/>
      <c r="C513" s="257" t="s">
        <v>4</v>
      </c>
      <c r="D513" s="257" t="s">
        <v>243</v>
      </c>
      <c r="E513" s="257" t="s">
        <v>244</v>
      </c>
      <c r="F513" s="257" t="s">
        <v>245</v>
      </c>
      <c r="G513" s="257" t="s">
        <v>246</v>
      </c>
    </row>
    <row r="514" spans="1:7">
      <c r="A514" s="258" t="s">
        <v>592</v>
      </c>
      <c r="B514" s="259" t="s">
        <v>593</v>
      </c>
      <c r="C514" s="260" t="s">
        <v>26</v>
      </c>
      <c r="D514" s="260" t="s">
        <v>265</v>
      </c>
      <c r="E514" s="262">
        <v>1</v>
      </c>
      <c r="F514" s="301">
        <v>19.18</v>
      </c>
      <c r="G514" s="262">
        <f>TRUNC(TRUNC(E514,8)*F514,2)</f>
        <v>19.18</v>
      </c>
    </row>
    <row r="515" spans="1:7">
      <c r="A515" s="263"/>
      <c r="B515" s="264"/>
      <c r="C515" s="264"/>
      <c r="D515" s="264"/>
      <c r="E515" s="265" t="s">
        <v>1303</v>
      </c>
      <c r="F515" s="265"/>
      <c r="G515" s="266">
        <f>SUM(G514:G514)</f>
        <v>19.18</v>
      </c>
    </row>
    <row r="516" spans="1:7" ht="21">
      <c r="A516" s="255" t="s">
        <v>250</v>
      </c>
      <c r="B516" s="256"/>
      <c r="C516" s="257" t="s">
        <v>4</v>
      </c>
      <c r="D516" s="257" t="s">
        <v>243</v>
      </c>
      <c r="E516" s="257" t="s">
        <v>244</v>
      </c>
      <c r="F516" s="257" t="s">
        <v>245</v>
      </c>
      <c r="G516" s="257" t="s">
        <v>246</v>
      </c>
    </row>
    <row r="517" spans="1:7" ht="20">
      <c r="A517" s="258" t="s">
        <v>1016</v>
      </c>
      <c r="B517" s="259" t="s">
        <v>1017</v>
      </c>
      <c r="C517" s="260" t="s">
        <v>26</v>
      </c>
      <c r="D517" s="260" t="s">
        <v>265</v>
      </c>
      <c r="E517" s="262">
        <v>1</v>
      </c>
      <c r="F517" s="301">
        <v>0.34</v>
      </c>
      <c r="G517" s="262">
        <f>TRUNC(TRUNC(E517,8)*F517,2)</f>
        <v>0.34</v>
      </c>
    </row>
    <row r="518" spans="1:7">
      <c r="A518" s="263"/>
      <c r="B518" s="264"/>
      <c r="C518" s="264"/>
      <c r="D518" s="264"/>
      <c r="E518" s="265" t="s">
        <v>1301</v>
      </c>
      <c r="F518" s="265"/>
      <c r="G518" s="266">
        <f>SUM(G517:G517)</f>
        <v>0.34</v>
      </c>
    </row>
    <row r="519" spans="1:7">
      <c r="A519" s="263"/>
      <c r="B519" s="264"/>
      <c r="C519" s="264"/>
      <c r="D519" s="264"/>
      <c r="E519" s="267" t="s">
        <v>255</v>
      </c>
      <c r="F519" s="267">
        <f>A504</f>
        <v>88267</v>
      </c>
      <c r="G519" s="268">
        <f>SUM(G512,G515,G518)</f>
        <v>24.19</v>
      </c>
    </row>
    <row r="520" spans="1:7">
      <c r="A520" s="263"/>
      <c r="B520" s="264"/>
      <c r="C520" s="264"/>
      <c r="D520" s="264"/>
      <c r="E520" s="269"/>
      <c r="F520" s="269"/>
      <c r="G520" s="269"/>
    </row>
    <row r="521" spans="1:7" ht="21">
      <c r="A521" s="253">
        <v>93572</v>
      </c>
      <c r="B521" s="254" t="s">
        <v>1211</v>
      </c>
      <c r="C521" s="254"/>
      <c r="D521" s="254"/>
      <c r="E521" s="254"/>
      <c r="F521" s="254"/>
      <c r="G521" s="254"/>
    </row>
    <row r="522" spans="1:7" ht="21">
      <c r="A522" s="255" t="s">
        <v>462</v>
      </c>
      <c r="B522" s="256"/>
      <c r="C522" s="257" t="s">
        <v>4</v>
      </c>
      <c r="D522" s="257" t="s">
        <v>243</v>
      </c>
      <c r="E522" s="257" t="s">
        <v>244</v>
      </c>
      <c r="F522" s="257" t="s">
        <v>245</v>
      </c>
      <c r="G522" s="257" t="s">
        <v>246</v>
      </c>
    </row>
    <row r="523" spans="1:7" ht="20">
      <c r="A523" s="258" t="s">
        <v>485</v>
      </c>
      <c r="B523" s="259" t="s">
        <v>486</v>
      </c>
      <c r="C523" s="260" t="s">
        <v>26</v>
      </c>
      <c r="D523" s="260" t="s">
        <v>29</v>
      </c>
      <c r="E523" s="262">
        <v>1</v>
      </c>
      <c r="F523" s="301">
        <v>241.99</v>
      </c>
      <c r="G523" s="262">
        <f>TRUNC(TRUNC(E523,8)*F523,2)</f>
        <v>241.99</v>
      </c>
    </row>
    <row r="524" spans="1:7" ht="20">
      <c r="A524" s="258" t="s">
        <v>465</v>
      </c>
      <c r="B524" s="259" t="s">
        <v>466</v>
      </c>
      <c r="C524" s="260" t="s">
        <v>26</v>
      </c>
      <c r="D524" s="260" t="s">
        <v>29</v>
      </c>
      <c r="E524" s="262">
        <v>1</v>
      </c>
      <c r="F524" s="301">
        <v>270.51</v>
      </c>
      <c r="G524" s="262">
        <f>TRUNC(TRUNC(E524,8)*F524,2)</f>
        <v>270.51</v>
      </c>
    </row>
    <row r="525" spans="1:7" ht="20">
      <c r="A525" s="258" t="s">
        <v>536</v>
      </c>
      <c r="B525" s="259" t="s">
        <v>537</v>
      </c>
      <c r="C525" s="260" t="s">
        <v>26</v>
      </c>
      <c r="D525" s="260" t="s">
        <v>29</v>
      </c>
      <c r="E525" s="262">
        <v>1</v>
      </c>
      <c r="F525" s="301">
        <v>15.46</v>
      </c>
      <c r="G525" s="262">
        <f>TRUNC(TRUNC(E525,8)*F525,2)</f>
        <v>15.46</v>
      </c>
    </row>
    <row r="526" spans="1:7" ht="20">
      <c r="A526" s="258" t="s">
        <v>634</v>
      </c>
      <c r="B526" s="259" t="s">
        <v>635</v>
      </c>
      <c r="C526" s="260" t="s">
        <v>26</v>
      </c>
      <c r="D526" s="260" t="s">
        <v>29</v>
      </c>
      <c r="E526" s="262">
        <v>1</v>
      </c>
      <c r="F526" s="301">
        <v>15.46</v>
      </c>
      <c r="G526" s="262">
        <f>TRUNC(TRUNC(E526,8)*F526,2)</f>
        <v>15.46</v>
      </c>
    </row>
    <row r="527" spans="1:7" ht="21">
      <c r="A527" s="263"/>
      <c r="B527" s="264"/>
      <c r="C527" s="264"/>
      <c r="D527" s="264"/>
      <c r="E527" s="265" t="s">
        <v>1302</v>
      </c>
      <c r="F527" s="265"/>
      <c r="G527" s="266">
        <f>SUM(G523:G526)</f>
        <v>543.42000000000007</v>
      </c>
    </row>
    <row r="528" spans="1:7" ht="21">
      <c r="A528" s="255" t="s">
        <v>447</v>
      </c>
      <c r="B528" s="256"/>
      <c r="C528" s="257" t="s">
        <v>4</v>
      </c>
      <c r="D528" s="257" t="s">
        <v>243</v>
      </c>
      <c r="E528" s="257" t="s">
        <v>244</v>
      </c>
      <c r="F528" s="257" t="s">
        <v>245</v>
      </c>
      <c r="G528" s="257" t="s">
        <v>246</v>
      </c>
    </row>
    <row r="529" spans="1:7">
      <c r="A529" s="258" t="s">
        <v>448</v>
      </c>
      <c r="B529" s="259" t="s">
        <v>449</v>
      </c>
      <c r="C529" s="260" t="s">
        <v>26</v>
      </c>
      <c r="D529" s="260" t="s">
        <v>29</v>
      </c>
      <c r="E529" s="262">
        <v>1</v>
      </c>
      <c r="F529" s="301">
        <v>3673.17</v>
      </c>
      <c r="G529" s="262">
        <f>TRUNC(TRUNC(E529,8)*F529,2)</f>
        <v>3673.17</v>
      </c>
    </row>
    <row r="530" spans="1:7">
      <c r="A530" s="263"/>
      <c r="B530" s="264"/>
      <c r="C530" s="264"/>
      <c r="D530" s="264"/>
      <c r="E530" s="265" t="s">
        <v>1303</v>
      </c>
      <c r="F530" s="265"/>
      <c r="G530" s="266">
        <f>SUM(G529:G529)</f>
        <v>3673.17</v>
      </c>
    </row>
    <row r="531" spans="1:7" ht="21">
      <c r="A531" s="255" t="s">
        <v>250</v>
      </c>
      <c r="B531" s="256"/>
      <c r="C531" s="257" t="s">
        <v>4</v>
      </c>
      <c r="D531" s="257" t="s">
        <v>243</v>
      </c>
      <c r="E531" s="257" t="s">
        <v>244</v>
      </c>
      <c r="F531" s="257" t="s">
        <v>245</v>
      </c>
      <c r="G531" s="257" t="s">
        <v>246</v>
      </c>
    </row>
    <row r="532" spans="1:7" ht="20">
      <c r="A532" s="258" t="s">
        <v>1018</v>
      </c>
      <c r="B532" s="259" t="s">
        <v>1019</v>
      </c>
      <c r="C532" s="260" t="s">
        <v>26</v>
      </c>
      <c r="D532" s="260" t="s">
        <v>29</v>
      </c>
      <c r="E532" s="262">
        <v>1</v>
      </c>
      <c r="F532" s="301">
        <v>58.66</v>
      </c>
      <c r="G532" s="262">
        <f>TRUNC(TRUNC(E532,8)*F532,2)</f>
        <v>58.66</v>
      </c>
    </row>
    <row r="533" spans="1:7">
      <c r="A533" s="263"/>
      <c r="B533" s="264"/>
      <c r="C533" s="264"/>
      <c r="D533" s="264"/>
      <c r="E533" s="265" t="s">
        <v>1301</v>
      </c>
      <c r="F533" s="265"/>
      <c r="G533" s="266">
        <f>SUM(G532:G532)</f>
        <v>58.66</v>
      </c>
    </row>
    <row r="534" spans="1:7">
      <c r="A534" s="263"/>
      <c r="B534" s="264"/>
      <c r="C534" s="264"/>
      <c r="D534" s="264"/>
      <c r="E534" s="267" t="s">
        <v>255</v>
      </c>
      <c r="F534" s="267">
        <f>A521</f>
        <v>93572</v>
      </c>
      <c r="G534" s="268">
        <f>SUM(G527,G530,G533)</f>
        <v>4275.25</v>
      </c>
    </row>
    <row r="535" spans="1:7">
      <c r="A535" s="263"/>
      <c r="B535" s="264"/>
      <c r="C535" s="264"/>
      <c r="D535" s="264"/>
      <c r="E535" s="269"/>
      <c r="F535" s="269"/>
      <c r="G535" s="269"/>
    </row>
    <row r="536" spans="1:7" ht="21">
      <c r="A536" s="253">
        <v>93567</v>
      </c>
      <c r="B536" s="254" t="s">
        <v>1159</v>
      </c>
      <c r="C536" s="254"/>
      <c r="D536" s="254"/>
      <c r="E536" s="254"/>
      <c r="F536" s="254"/>
      <c r="G536" s="254"/>
    </row>
    <row r="537" spans="1:7" ht="21">
      <c r="A537" s="255" t="s">
        <v>462</v>
      </c>
      <c r="B537" s="256"/>
      <c r="C537" s="257" t="s">
        <v>4</v>
      </c>
      <c r="D537" s="257" t="s">
        <v>243</v>
      </c>
      <c r="E537" s="257" t="s">
        <v>244</v>
      </c>
      <c r="F537" s="257" t="s">
        <v>245</v>
      </c>
      <c r="G537" s="257" t="s">
        <v>246</v>
      </c>
    </row>
    <row r="538" spans="1:7" ht="20">
      <c r="A538" s="258" t="s">
        <v>499</v>
      </c>
      <c r="B538" s="259" t="s">
        <v>500</v>
      </c>
      <c r="C538" s="260" t="s">
        <v>26</v>
      </c>
      <c r="D538" s="260" t="s">
        <v>29</v>
      </c>
      <c r="E538" s="262">
        <v>1</v>
      </c>
      <c r="F538" s="301">
        <v>146</v>
      </c>
      <c r="G538" s="262">
        <f>TRUNC(TRUNC(E538,8)*F538,2)</f>
        <v>146</v>
      </c>
    </row>
    <row r="539" spans="1:7" ht="20">
      <c r="A539" s="258" t="s">
        <v>465</v>
      </c>
      <c r="B539" s="259" t="s">
        <v>466</v>
      </c>
      <c r="C539" s="260" t="s">
        <v>26</v>
      </c>
      <c r="D539" s="260" t="s">
        <v>29</v>
      </c>
      <c r="E539" s="262">
        <v>1</v>
      </c>
      <c r="F539" s="301">
        <v>270.51</v>
      </c>
      <c r="G539" s="262">
        <f>TRUNC(TRUNC(E539,8)*F539,2)</f>
        <v>270.51</v>
      </c>
    </row>
    <row r="540" spans="1:7" ht="20">
      <c r="A540" s="258" t="s">
        <v>600</v>
      </c>
      <c r="B540" s="259" t="s">
        <v>601</v>
      </c>
      <c r="C540" s="260" t="s">
        <v>26</v>
      </c>
      <c r="D540" s="260" t="s">
        <v>29</v>
      </c>
      <c r="E540" s="262">
        <v>1</v>
      </c>
      <c r="F540" s="301">
        <v>2.35</v>
      </c>
      <c r="G540" s="262">
        <f>TRUNC(TRUNC(E540,8)*F540,2)</f>
        <v>2.35</v>
      </c>
    </row>
    <row r="541" spans="1:7" ht="20">
      <c r="A541" s="258" t="s">
        <v>634</v>
      </c>
      <c r="B541" s="259" t="s">
        <v>635</v>
      </c>
      <c r="C541" s="260" t="s">
        <v>26</v>
      </c>
      <c r="D541" s="260" t="s">
        <v>29</v>
      </c>
      <c r="E541" s="262">
        <v>1</v>
      </c>
      <c r="F541" s="301">
        <v>15.46</v>
      </c>
      <c r="G541" s="262">
        <f>TRUNC(TRUNC(E541,8)*F541,2)</f>
        <v>15.46</v>
      </c>
    </row>
    <row r="542" spans="1:7" ht="21">
      <c r="A542" s="263"/>
      <c r="B542" s="264"/>
      <c r="C542" s="264"/>
      <c r="D542" s="264"/>
      <c r="E542" s="265" t="s">
        <v>1302</v>
      </c>
      <c r="F542" s="265"/>
      <c r="G542" s="266">
        <f>SUM(G538:G541)</f>
        <v>434.32</v>
      </c>
    </row>
    <row r="543" spans="1:7" ht="21">
      <c r="A543" s="255" t="s">
        <v>447</v>
      </c>
      <c r="B543" s="256"/>
      <c r="C543" s="257" t="s">
        <v>4</v>
      </c>
      <c r="D543" s="257" t="s">
        <v>243</v>
      </c>
      <c r="E543" s="257" t="s">
        <v>244</v>
      </c>
      <c r="F543" s="257" t="s">
        <v>245</v>
      </c>
      <c r="G543" s="257" t="s">
        <v>246</v>
      </c>
    </row>
    <row r="544" spans="1:7">
      <c r="A544" s="258" t="s">
        <v>445</v>
      </c>
      <c r="B544" s="259" t="s">
        <v>446</v>
      </c>
      <c r="C544" s="260" t="s">
        <v>26</v>
      </c>
      <c r="D544" s="260" t="s">
        <v>29</v>
      </c>
      <c r="E544" s="262">
        <v>1</v>
      </c>
      <c r="F544" s="301">
        <v>23272.23</v>
      </c>
      <c r="G544" s="262">
        <f>TRUNC(TRUNC(E544,8)*F544,2)</f>
        <v>23272.23</v>
      </c>
    </row>
    <row r="545" spans="1:7">
      <c r="A545" s="263"/>
      <c r="B545" s="264"/>
      <c r="C545" s="264"/>
      <c r="D545" s="264"/>
      <c r="E545" s="265" t="s">
        <v>1303</v>
      </c>
      <c r="F545" s="265"/>
      <c r="G545" s="266">
        <f>SUM(G544:G544)</f>
        <v>23272.23</v>
      </c>
    </row>
    <row r="546" spans="1:7" ht="21">
      <c r="A546" s="255" t="s">
        <v>250</v>
      </c>
      <c r="B546" s="256"/>
      <c r="C546" s="257" t="s">
        <v>4</v>
      </c>
      <c r="D546" s="257" t="s">
        <v>243</v>
      </c>
      <c r="E546" s="257" t="s">
        <v>244</v>
      </c>
      <c r="F546" s="257" t="s">
        <v>245</v>
      </c>
      <c r="G546" s="257" t="s">
        <v>246</v>
      </c>
    </row>
    <row r="547" spans="1:7" ht="20">
      <c r="A547" s="258" t="s">
        <v>1020</v>
      </c>
      <c r="B547" s="259" t="s">
        <v>1021</v>
      </c>
      <c r="C547" s="260" t="s">
        <v>26</v>
      </c>
      <c r="D547" s="260" t="s">
        <v>29</v>
      </c>
      <c r="E547" s="262">
        <v>1</v>
      </c>
      <c r="F547" s="301">
        <v>258.77999999999997</v>
      </c>
      <c r="G547" s="262">
        <f>TRUNC(TRUNC(E547,8)*F547,2)</f>
        <v>258.77999999999997</v>
      </c>
    </row>
    <row r="548" spans="1:7">
      <c r="A548" s="263"/>
      <c r="B548" s="264"/>
      <c r="C548" s="264"/>
      <c r="D548" s="264"/>
      <c r="E548" s="265" t="s">
        <v>1301</v>
      </c>
      <c r="F548" s="265"/>
      <c r="G548" s="266">
        <f>SUM(G547:G547)</f>
        <v>258.77999999999997</v>
      </c>
    </row>
    <row r="549" spans="1:7">
      <c r="A549" s="263"/>
      <c r="B549" s="264"/>
      <c r="C549" s="264"/>
      <c r="D549" s="264"/>
      <c r="E549" s="267" t="s">
        <v>255</v>
      </c>
      <c r="F549" s="267">
        <f>A536</f>
        <v>93567</v>
      </c>
      <c r="G549" s="268">
        <f>SUM(G542,G545,G548)</f>
        <v>23965.329999999998</v>
      </c>
    </row>
    <row r="550" spans="1:7">
      <c r="A550" s="263"/>
      <c r="B550" s="264"/>
      <c r="C550" s="264"/>
      <c r="D550" s="264"/>
      <c r="E550" s="269"/>
      <c r="F550" s="269"/>
      <c r="G550" s="269"/>
    </row>
    <row r="551" spans="1:7" ht="21">
      <c r="A551" s="253" t="s">
        <v>251</v>
      </c>
      <c r="B551" s="254" t="s">
        <v>1212</v>
      </c>
      <c r="C551" s="254"/>
      <c r="D551" s="254"/>
      <c r="E551" s="254"/>
      <c r="F551" s="254"/>
      <c r="G551" s="254"/>
    </row>
    <row r="552" spans="1:7" ht="21">
      <c r="A552" s="255" t="s">
        <v>462</v>
      </c>
      <c r="B552" s="256"/>
      <c r="C552" s="257" t="s">
        <v>4</v>
      </c>
      <c r="D552" s="257" t="s">
        <v>243</v>
      </c>
      <c r="E552" s="257" t="s">
        <v>244</v>
      </c>
      <c r="F552" s="257" t="s">
        <v>245</v>
      </c>
      <c r="G552" s="257" t="s">
        <v>246</v>
      </c>
    </row>
    <row r="553" spans="1:7" ht="20">
      <c r="A553" s="258" t="s">
        <v>499</v>
      </c>
      <c r="B553" s="259" t="s">
        <v>500</v>
      </c>
      <c r="C553" s="260" t="s">
        <v>26</v>
      </c>
      <c r="D553" s="260" t="s">
        <v>29</v>
      </c>
      <c r="E553" s="262">
        <v>1</v>
      </c>
      <c r="F553" s="301">
        <v>146</v>
      </c>
      <c r="G553" s="262">
        <f>ROUND(ROUND(E553,8)*F553,2)</f>
        <v>146</v>
      </c>
    </row>
    <row r="554" spans="1:7" ht="20">
      <c r="A554" s="258" t="s">
        <v>465</v>
      </c>
      <c r="B554" s="259" t="s">
        <v>466</v>
      </c>
      <c r="C554" s="260" t="s">
        <v>26</v>
      </c>
      <c r="D554" s="260" t="s">
        <v>29</v>
      </c>
      <c r="E554" s="262">
        <v>1</v>
      </c>
      <c r="F554" s="301">
        <v>270.51</v>
      </c>
      <c r="G554" s="262">
        <f>ROUND(ROUND(E554,8)*F554,2)</f>
        <v>270.51</v>
      </c>
    </row>
    <row r="555" spans="1:7" ht="20">
      <c r="A555" s="258" t="s">
        <v>600</v>
      </c>
      <c r="B555" s="259" t="s">
        <v>601</v>
      </c>
      <c r="C555" s="260" t="s">
        <v>26</v>
      </c>
      <c r="D555" s="260" t="s">
        <v>29</v>
      </c>
      <c r="E555" s="262">
        <v>1</v>
      </c>
      <c r="F555" s="301">
        <v>2.35</v>
      </c>
      <c r="G555" s="262">
        <f>ROUND(ROUND(E555,8)*F555,2)</f>
        <v>2.35</v>
      </c>
    </row>
    <row r="556" spans="1:7" ht="20">
      <c r="A556" s="258" t="s">
        <v>634</v>
      </c>
      <c r="B556" s="259" t="s">
        <v>635</v>
      </c>
      <c r="C556" s="260" t="s">
        <v>26</v>
      </c>
      <c r="D556" s="260" t="s">
        <v>29</v>
      </c>
      <c r="E556" s="262">
        <v>1</v>
      </c>
      <c r="F556" s="301">
        <v>15.46</v>
      </c>
      <c r="G556" s="262">
        <f>ROUND(ROUND(E556,8)*F556,2)</f>
        <v>15.46</v>
      </c>
    </row>
    <row r="557" spans="1:7" ht="21">
      <c r="A557" s="263"/>
      <c r="B557" s="264"/>
      <c r="C557" s="264"/>
      <c r="D557" s="264"/>
      <c r="E557" s="265" t="s">
        <v>1302</v>
      </c>
      <c r="F557" s="265"/>
      <c r="G557" s="266">
        <f>SUM(G553:G556)</f>
        <v>434.32</v>
      </c>
    </row>
    <row r="558" spans="1:7" ht="21">
      <c r="A558" s="255" t="s">
        <v>447</v>
      </c>
      <c r="B558" s="256"/>
      <c r="C558" s="257" t="s">
        <v>4</v>
      </c>
      <c r="D558" s="257" t="s">
        <v>243</v>
      </c>
      <c r="E558" s="257" t="s">
        <v>244</v>
      </c>
      <c r="F558" s="257" t="s">
        <v>245</v>
      </c>
      <c r="G558" s="257" t="s">
        <v>246</v>
      </c>
    </row>
    <row r="559" spans="1:7">
      <c r="A559" s="258" t="s">
        <v>445</v>
      </c>
      <c r="B559" s="259" t="s">
        <v>446</v>
      </c>
      <c r="C559" s="260" t="s">
        <v>26</v>
      </c>
      <c r="D559" s="260" t="s">
        <v>29</v>
      </c>
      <c r="E559" s="262">
        <v>1</v>
      </c>
      <c r="F559" s="301">
        <v>23272.23</v>
      </c>
      <c r="G559" s="262">
        <f>ROUND(ROUND(E559,8)*F559,2)</f>
        <v>23272.23</v>
      </c>
    </row>
    <row r="560" spans="1:7">
      <c r="A560" s="263"/>
      <c r="B560" s="264"/>
      <c r="C560" s="264"/>
      <c r="D560" s="264"/>
      <c r="E560" s="265" t="s">
        <v>1303</v>
      </c>
      <c r="F560" s="265"/>
      <c r="G560" s="266">
        <f>SUM(G559:G559)</f>
        <v>23272.23</v>
      </c>
    </row>
    <row r="561" spans="1:7" ht="21">
      <c r="A561" s="255" t="s">
        <v>250</v>
      </c>
      <c r="B561" s="256"/>
      <c r="C561" s="257" t="s">
        <v>4</v>
      </c>
      <c r="D561" s="257" t="s">
        <v>243</v>
      </c>
      <c r="E561" s="257" t="s">
        <v>244</v>
      </c>
      <c r="F561" s="257" t="s">
        <v>245</v>
      </c>
      <c r="G561" s="257" t="s">
        <v>246</v>
      </c>
    </row>
    <row r="562" spans="1:7" ht="20">
      <c r="A562" s="258" t="s">
        <v>1020</v>
      </c>
      <c r="B562" s="259" t="s">
        <v>1021</v>
      </c>
      <c r="C562" s="260" t="s">
        <v>26</v>
      </c>
      <c r="D562" s="260" t="s">
        <v>29</v>
      </c>
      <c r="E562" s="262">
        <v>1</v>
      </c>
      <c r="F562" s="301">
        <v>258.77999999999997</v>
      </c>
      <c r="G562" s="262">
        <f>ROUND(ROUND(E562,8)*F562,2)</f>
        <v>258.77999999999997</v>
      </c>
    </row>
    <row r="563" spans="1:7">
      <c r="A563" s="263"/>
      <c r="B563" s="264"/>
      <c r="C563" s="264"/>
      <c r="D563" s="264"/>
      <c r="E563" s="265" t="s">
        <v>1301</v>
      </c>
      <c r="F563" s="265"/>
      <c r="G563" s="266">
        <f>SUM(G562:G562)</f>
        <v>258.77999999999997</v>
      </c>
    </row>
    <row r="564" spans="1:7" ht="21">
      <c r="A564" s="263"/>
      <c r="B564" s="264"/>
      <c r="C564" s="264"/>
      <c r="D564" s="264"/>
      <c r="E564" s="267" t="s">
        <v>255</v>
      </c>
      <c r="F564" s="267" t="str">
        <f>A551</f>
        <v>JFPB-14064900</v>
      </c>
      <c r="G564" s="268">
        <f>SUM(G557,G560,G563)</f>
        <v>23965.329999999998</v>
      </c>
    </row>
    <row r="565" spans="1:7">
      <c r="A565" s="263"/>
      <c r="B565" s="264"/>
      <c r="C565" s="264"/>
      <c r="D565" s="264"/>
      <c r="E565" s="269"/>
      <c r="F565" s="269"/>
      <c r="G565" s="269"/>
    </row>
    <row r="566" spans="1:7" ht="31.5">
      <c r="A566" s="253">
        <v>5632</v>
      </c>
      <c r="B566" s="254" t="s">
        <v>1213</v>
      </c>
      <c r="C566" s="254"/>
      <c r="D566" s="254"/>
      <c r="E566" s="254"/>
      <c r="F566" s="254"/>
      <c r="G566" s="254"/>
    </row>
    <row r="567" spans="1:7" ht="21">
      <c r="A567" s="255" t="s">
        <v>242</v>
      </c>
      <c r="B567" s="256"/>
      <c r="C567" s="257" t="s">
        <v>4</v>
      </c>
      <c r="D567" s="257" t="s">
        <v>243</v>
      </c>
      <c r="E567" s="257" t="s">
        <v>244</v>
      </c>
      <c r="F567" s="257" t="s">
        <v>245</v>
      </c>
      <c r="G567" s="257" t="s">
        <v>246</v>
      </c>
    </row>
    <row r="568" spans="1:7">
      <c r="A568" s="258" t="s">
        <v>1022</v>
      </c>
      <c r="B568" s="259" t="s">
        <v>1023</v>
      </c>
      <c r="C568" s="260" t="s">
        <v>26</v>
      </c>
      <c r="D568" s="260" t="s">
        <v>265</v>
      </c>
      <c r="E568" s="262">
        <v>1</v>
      </c>
      <c r="F568" s="301">
        <v>25.3</v>
      </c>
      <c r="G568" s="262">
        <f>TRUNC(TRUNC(E568,8)*F568,2)</f>
        <v>25.3</v>
      </c>
    </row>
    <row r="569" spans="1:7">
      <c r="A569" s="263"/>
      <c r="B569" s="264"/>
      <c r="C569" s="264"/>
      <c r="D569" s="264"/>
      <c r="E569" s="265" t="s">
        <v>1299</v>
      </c>
      <c r="F569" s="265"/>
      <c r="G569" s="266">
        <f>SUM(G568:G568)</f>
        <v>25.3</v>
      </c>
    </row>
    <row r="570" spans="1:7" ht="21">
      <c r="A570" s="255" t="s">
        <v>250</v>
      </c>
      <c r="B570" s="256"/>
      <c r="C570" s="257" t="s">
        <v>4</v>
      </c>
      <c r="D570" s="257" t="s">
        <v>243</v>
      </c>
      <c r="E570" s="257" t="s">
        <v>244</v>
      </c>
      <c r="F570" s="257" t="s">
        <v>245</v>
      </c>
      <c r="G570" s="257" t="s">
        <v>246</v>
      </c>
    </row>
    <row r="571" spans="1:7" ht="30">
      <c r="A571" s="258" t="s">
        <v>1024</v>
      </c>
      <c r="B571" s="259" t="s">
        <v>1025</v>
      </c>
      <c r="C571" s="260" t="s">
        <v>26</v>
      </c>
      <c r="D571" s="260" t="s">
        <v>265</v>
      </c>
      <c r="E571" s="262">
        <v>1</v>
      </c>
      <c r="F571" s="301">
        <v>47.6</v>
      </c>
      <c r="G571" s="262">
        <f>TRUNC(TRUNC(E571,8)*F571,2)</f>
        <v>47.6</v>
      </c>
    </row>
    <row r="572" spans="1:7" ht="30">
      <c r="A572" s="258" t="s">
        <v>1026</v>
      </c>
      <c r="B572" s="259" t="s">
        <v>1027</v>
      </c>
      <c r="C572" s="260" t="s">
        <v>26</v>
      </c>
      <c r="D572" s="260" t="s">
        <v>265</v>
      </c>
      <c r="E572" s="262">
        <v>1</v>
      </c>
      <c r="F572" s="301">
        <v>12.58</v>
      </c>
      <c r="G572" s="262">
        <f>TRUNC(TRUNC(E572,8)*F572,2)</f>
        <v>12.58</v>
      </c>
    </row>
    <row r="573" spans="1:7">
      <c r="A573" s="263"/>
      <c r="B573" s="264"/>
      <c r="C573" s="264"/>
      <c r="D573" s="264"/>
      <c r="E573" s="265" t="s">
        <v>1301</v>
      </c>
      <c r="F573" s="265"/>
      <c r="G573" s="266">
        <f>SUM(G571:G572)</f>
        <v>60.18</v>
      </c>
    </row>
    <row r="574" spans="1:7">
      <c r="A574" s="263"/>
      <c r="B574" s="264"/>
      <c r="C574" s="264"/>
      <c r="D574" s="264"/>
      <c r="E574" s="267" t="s">
        <v>255</v>
      </c>
      <c r="F574" s="267">
        <f>A566</f>
        <v>5632</v>
      </c>
      <c r="G574" s="268">
        <f>SUM(G569,G573)</f>
        <v>85.48</v>
      </c>
    </row>
    <row r="575" spans="1:7">
      <c r="A575" s="263"/>
      <c r="B575" s="264"/>
      <c r="C575" s="264"/>
      <c r="D575" s="264"/>
      <c r="E575" s="269"/>
      <c r="F575" s="269"/>
      <c r="G575" s="269"/>
    </row>
    <row r="576" spans="1:7" ht="31.5">
      <c r="A576" s="253">
        <v>5631</v>
      </c>
      <c r="B576" s="254" t="s">
        <v>1214</v>
      </c>
      <c r="C576" s="254"/>
      <c r="D576" s="254"/>
      <c r="E576" s="254"/>
      <c r="F576" s="254"/>
      <c r="G576" s="254"/>
    </row>
    <row r="577" spans="1:7" ht="21">
      <c r="A577" s="255" t="s">
        <v>242</v>
      </c>
      <c r="B577" s="256"/>
      <c r="C577" s="257" t="s">
        <v>4</v>
      </c>
      <c r="D577" s="257" t="s">
        <v>243</v>
      </c>
      <c r="E577" s="257" t="s">
        <v>244</v>
      </c>
      <c r="F577" s="257" t="s">
        <v>245</v>
      </c>
      <c r="G577" s="257" t="s">
        <v>246</v>
      </c>
    </row>
    <row r="578" spans="1:7">
      <c r="A578" s="258" t="s">
        <v>1022</v>
      </c>
      <c r="B578" s="259" t="s">
        <v>1023</v>
      </c>
      <c r="C578" s="260" t="s">
        <v>26</v>
      </c>
      <c r="D578" s="260" t="s">
        <v>265</v>
      </c>
      <c r="E578" s="262">
        <v>1</v>
      </c>
      <c r="F578" s="301">
        <v>25.3</v>
      </c>
      <c r="G578" s="262">
        <f>TRUNC(TRUNC(E578,8)*F578,2)</f>
        <v>25.3</v>
      </c>
    </row>
    <row r="579" spans="1:7">
      <c r="A579" s="263"/>
      <c r="B579" s="264"/>
      <c r="C579" s="264"/>
      <c r="D579" s="264"/>
      <c r="E579" s="265" t="s">
        <v>1299</v>
      </c>
      <c r="F579" s="265"/>
      <c r="G579" s="266">
        <f>SUM(G578:G578)</f>
        <v>25.3</v>
      </c>
    </row>
    <row r="580" spans="1:7" ht="21">
      <c r="A580" s="255" t="s">
        <v>250</v>
      </c>
      <c r="B580" s="256"/>
      <c r="C580" s="257" t="s">
        <v>4</v>
      </c>
      <c r="D580" s="257" t="s">
        <v>243</v>
      </c>
      <c r="E580" s="257" t="s">
        <v>244</v>
      </c>
      <c r="F580" s="257" t="s">
        <v>245</v>
      </c>
      <c r="G580" s="257" t="s">
        <v>246</v>
      </c>
    </row>
    <row r="581" spans="1:7" ht="30">
      <c r="A581" s="258" t="s">
        <v>1024</v>
      </c>
      <c r="B581" s="259" t="s">
        <v>1025</v>
      </c>
      <c r="C581" s="260" t="s">
        <v>26</v>
      </c>
      <c r="D581" s="260" t="s">
        <v>265</v>
      </c>
      <c r="E581" s="262">
        <v>1</v>
      </c>
      <c r="F581" s="301">
        <v>47.6</v>
      </c>
      <c r="G581" s="262">
        <f>TRUNC(TRUNC(E581,8)*F581,2)</f>
        <v>47.6</v>
      </c>
    </row>
    <row r="582" spans="1:7" ht="30">
      <c r="A582" s="258" t="s">
        <v>1026</v>
      </c>
      <c r="B582" s="259" t="s">
        <v>1027</v>
      </c>
      <c r="C582" s="260" t="s">
        <v>26</v>
      </c>
      <c r="D582" s="260" t="s">
        <v>265</v>
      </c>
      <c r="E582" s="262">
        <v>1</v>
      </c>
      <c r="F582" s="301">
        <v>12.58</v>
      </c>
      <c r="G582" s="262">
        <f>TRUNC(TRUNC(E582,8)*F582,2)</f>
        <v>12.58</v>
      </c>
    </row>
    <row r="583" spans="1:7" ht="30">
      <c r="A583" s="258" t="s">
        <v>1028</v>
      </c>
      <c r="B583" s="259" t="s">
        <v>1029</v>
      </c>
      <c r="C583" s="260" t="s">
        <v>26</v>
      </c>
      <c r="D583" s="260" t="s">
        <v>265</v>
      </c>
      <c r="E583" s="262">
        <v>1</v>
      </c>
      <c r="F583" s="301">
        <v>59.5</v>
      </c>
      <c r="G583" s="262">
        <f>TRUNC(TRUNC(E583,8)*F583,2)</f>
        <v>59.5</v>
      </c>
    </row>
    <row r="584" spans="1:7" ht="30">
      <c r="A584" s="258" t="s">
        <v>1030</v>
      </c>
      <c r="B584" s="259" t="s">
        <v>1031</v>
      </c>
      <c r="C584" s="260" t="s">
        <v>26</v>
      </c>
      <c r="D584" s="260" t="s">
        <v>265</v>
      </c>
      <c r="E584" s="262">
        <v>1</v>
      </c>
      <c r="F584" s="301">
        <v>67.739999999999995</v>
      </c>
      <c r="G584" s="262">
        <f>TRUNC(TRUNC(E584,8)*F584,2)</f>
        <v>67.739999999999995</v>
      </c>
    </row>
    <row r="585" spans="1:7">
      <c r="A585" s="263"/>
      <c r="B585" s="264"/>
      <c r="C585" s="264"/>
      <c r="D585" s="264"/>
      <c r="E585" s="265" t="s">
        <v>1301</v>
      </c>
      <c r="F585" s="265"/>
      <c r="G585" s="266">
        <f>SUM(G581:G584)</f>
        <v>187.42000000000002</v>
      </c>
    </row>
    <row r="586" spans="1:7">
      <c r="A586" s="263"/>
      <c r="B586" s="264"/>
      <c r="C586" s="264"/>
      <c r="D586" s="264"/>
      <c r="E586" s="267" t="s">
        <v>255</v>
      </c>
      <c r="F586" s="267">
        <f>A576</f>
        <v>5631</v>
      </c>
      <c r="G586" s="268">
        <f>SUM(G579,G585)</f>
        <v>212.72000000000003</v>
      </c>
    </row>
    <row r="587" spans="1:7">
      <c r="A587" s="263"/>
      <c r="B587" s="264"/>
      <c r="C587" s="264"/>
      <c r="D587" s="264"/>
      <c r="E587" s="269"/>
      <c r="F587" s="269"/>
      <c r="G587" s="269"/>
    </row>
    <row r="588" spans="1:7" ht="31.5">
      <c r="A588" s="253">
        <v>5627</v>
      </c>
      <c r="B588" s="254" t="s">
        <v>1215</v>
      </c>
      <c r="C588" s="254"/>
      <c r="D588" s="254"/>
      <c r="E588" s="254"/>
      <c r="F588" s="254"/>
      <c r="G588" s="254"/>
    </row>
    <row r="589" spans="1:7" ht="21">
      <c r="A589" s="255" t="s">
        <v>268</v>
      </c>
      <c r="B589" s="256"/>
      <c r="C589" s="257" t="s">
        <v>4</v>
      </c>
      <c r="D589" s="257" t="s">
        <v>243</v>
      </c>
      <c r="E589" s="257" t="s">
        <v>244</v>
      </c>
      <c r="F589" s="257" t="s">
        <v>245</v>
      </c>
      <c r="G589" s="257" t="s">
        <v>246</v>
      </c>
    </row>
    <row r="590" spans="1:7" ht="20">
      <c r="A590" s="258" t="s">
        <v>522</v>
      </c>
      <c r="B590" s="259" t="s">
        <v>523</v>
      </c>
      <c r="C590" s="260" t="s">
        <v>26</v>
      </c>
      <c r="D590" s="260" t="s">
        <v>14</v>
      </c>
      <c r="E590" s="329">
        <v>5.5999999999999999E-5</v>
      </c>
      <c r="F590" s="301">
        <v>850000</v>
      </c>
      <c r="G590" s="262">
        <f>TRUNC(TRUNC(E590,8)*F590,2)</f>
        <v>47.6</v>
      </c>
    </row>
    <row r="591" spans="1:7">
      <c r="A591" s="263"/>
      <c r="B591" s="264"/>
      <c r="C591" s="264"/>
      <c r="D591" s="264"/>
      <c r="E591" s="265" t="s">
        <v>1300</v>
      </c>
      <c r="F591" s="265"/>
      <c r="G591" s="266">
        <f>SUM(G590:G590)</f>
        <v>47.6</v>
      </c>
    </row>
    <row r="592" spans="1:7">
      <c r="A592" s="263"/>
      <c r="B592" s="264"/>
      <c r="C592" s="264"/>
      <c r="D592" s="264"/>
      <c r="E592" s="267" t="s">
        <v>255</v>
      </c>
      <c r="F592" s="267">
        <f>A588</f>
        <v>5627</v>
      </c>
      <c r="G592" s="268">
        <f>SUM(G591)</f>
        <v>47.6</v>
      </c>
    </row>
    <row r="593" spans="1:7">
      <c r="A593" s="263"/>
      <c r="B593" s="264"/>
      <c r="C593" s="264"/>
      <c r="D593" s="264"/>
      <c r="E593" s="269"/>
      <c r="F593" s="269"/>
      <c r="G593" s="269"/>
    </row>
    <row r="594" spans="1:7" ht="31.5">
      <c r="A594" s="253">
        <v>5628</v>
      </c>
      <c r="B594" s="254" t="s">
        <v>1216</v>
      </c>
      <c r="C594" s="254"/>
      <c r="D594" s="254"/>
      <c r="E594" s="254"/>
      <c r="F594" s="254"/>
      <c r="G594" s="254"/>
    </row>
    <row r="595" spans="1:7" ht="21">
      <c r="A595" s="255" t="s">
        <v>268</v>
      </c>
      <c r="B595" s="256"/>
      <c r="C595" s="257" t="s">
        <v>4</v>
      </c>
      <c r="D595" s="257" t="s">
        <v>243</v>
      </c>
      <c r="E595" s="257" t="s">
        <v>244</v>
      </c>
      <c r="F595" s="257" t="s">
        <v>245</v>
      </c>
      <c r="G595" s="257" t="s">
        <v>246</v>
      </c>
    </row>
    <row r="596" spans="1:7" ht="20">
      <c r="A596" s="258" t="s">
        <v>522</v>
      </c>
      <c r="B596" s="259" t="s">
        <v>523</v>
      </c>
      <c r="C596" s="260" t="s">
        <v>26</v>
      </c>
      <c r="D596" s="260" t="s">
        <v>14</v>
      </c>
      <c r="E596" s="328">
        <v>1.4800000000000001E-5</v>
      </c>
      <c r="F596" s="301">
        <v>850000</v>
      </c>
      <c r="G596" s="262">
        <f>TRUNC(TRUNC(E596,8)*F596,2)</f>
        <v>12.58</v>
      </c>
    </row>
    <row r="597" spans="1:7">
      <c r="A597" s="263"/>
      <c r="B597" s="264"/>
      <c r="C597" s="264"/>
      <c r="D597" s="264"/>
      <c r="E597" s="265" t="s">
        <v>1300</v>
      </c>
      <c r="F597" s="265"/>
      <c r="G597" s="266">
        <f>SUM(G596:G596)</f>
        <v>12.58</v>
      </c>
    </row>
    <row r="598" spans="1:7">
      <c r="A598" s="263"/>
      <c r="B598" s="264"/>
      <c r="C598" s="264"/>
      <c r="D598" s="264"/>
      <c r="E598" s="267" t="s">
        <v>255</v>
      </c>
      <c r="F598" s="267">
        <f>A594</f>
        <v>5628</v>
      </c>
      <c r="G598" s="268">
        <f>SUM(G597)</f>
        <v>12.58</v>
      </c>
    </row>
    <row r="599" spans="1:7">
      <c r="A599" s="263"/>
      <c r="B599" s="264"/>
      <c r="C599" s="264"/>
      <c r="D599" s="264"/>
      <c r="E599" s="269"/>
      <c r="F599" s="269"/>
      <c r="G599" s="269"/>
    </row>
    <row r="600" spans="1:7" ht="31.5">
      <c r="A600" s="253">
        <v>5629</v>
      </c>
      <c r="B600" s="254" t="s">
        <v>1217</v>
      </c>
      <c r="C600" s="254"/>
      <c r="D600" s="254"/>
      <c r="E600" s="254"/>
      <c r="F600" s="254"/>
      <c r="G600" s="254"/>
    </row>
    <row r="601" spans="1:7" ht="21">
      <c r="A601" s="255" t="s">
        <v>268</v>
      </c>
      <c r="B601" s="256"/>
      <c r="C601" s="257" t="s">
        <v>4</v>
      </c>
      <c r="D601" s="257" t="s">
        <v>243</v>
      </c>
      <c r="E601" s="257" t="s">
        <v>244</v>
      </c>
      <c r="F601" s="257" t="s">
        <v>245</v>
      </c>
      <c r="G601" s="257" t="s">
        <v>246</v>
      </c>
    </row>
    <row r="602" spans="1:7" ht="20">
      <c r="A602" s="258" t="s">
        <v>522</v>
      </c>
      <c r="B602" s="259" t="s">
        <v>523</v>
      </c>
      <c r="C602" s="260" t="s">
        <v>26</v>
      </c>
      <c r="D602" s="260" t="s">
        <v>14</v>
      </c>
      <c r="E602" s="270">
        <v>6.9999999999999994E-5</v>
      </c>
      <c r="F602" s="301">
        <v>850000</v>
      </c>
      <c r="G602" s="262">
        <f>TRUNC(TRUNC(E602,8)*F602,2)</f>
        <v>59.5</v>
      </c>
    </row>
    <row r="603" spans="1:7">
      <c r="A603" s="263"/>
      <c r="B603" s="264"/>
      <c r="C603" s="264"/>
      <c r="D603" s="264"/>
      <c r="E603" s="265" t="s">
        <v>1300</v>
      </c>
      <c r="F603" s="265"/>
      <c r="G603" s="266">
        <f>SUM(G602:G602)</f>
        <v>59.5</v>
      </c>
    </row>
    <row r="604" spans="1:7">
      <c r="A604" s="263"/>
      <c r="B604" s="264"/>
      <c r="C604" s="264"/>
      <c r="D604" s="264"/>
      <c r="E604" s="267" t="s">
        <v>255</v>
      </c>
      <c r="F604" s="267">
        <f>A600</f>
        <v>5629</v>
      </c>
      <c r="G604" s="268">
        <f>SUM(G603)</f>
        <v>59.5</v>
      </c>
    </row>
    <row r="605" spans="1:7">
      <c r="A605" s="263"/>
      <c r="B605" s="264"/>
      <c r="C605" s="264"/>
      <c r="D605" s="264"/>
      <c r="E605" s="269"/>
      <c r="F605" s="269"/>
      <c r="G605" s="269"/>
    </row>
    <row r="606" spans="1:7" ht="31.5">
      <c r="A606" s="253">
        <v>5630</v>
      </c>
      <c r="B606" s="254" t="s">
        <v>1218</v>
      </c>
      <c r="C606" s="254"/>
      <c r="D606" s="254"/>
      <c r="E606" s="254"/>
      <c r="F606" s="254"/>
      <c r="G606" s="254"/>
    </row>
    <row r="607" spans="1:7" ht="21">
      <c r="A607" s="255" t="s">
        <v>256</v>
      </c>
      <c r="B607" s="256"/>
      <c r="C607" s="257" t="s">
        <v>4</v>
      </c>
      <c r="D607" s="257" t="s">
        <v>243</v>
      </c>
      <c r="E607" s="257" t="s">
        <v>244</v>
      </c>
      <c r="F607" s="257" t="s">
        <v>245</v>
      </c>
      <c r="G607" s="257" t="s">
        <v>246</v>
      </c>
    </row>
    <row r="608" spans="1:7">
      <c r="A608" s="258" t="s">
        <v>458</v>
      </c>
      <c r="B608" s="259" t="s">
        <v>459</v>
      </c>
      <c r="C608" s="260" t="s">
        <v>26</v>
      </c>
      <c r="D608" s="260" t="s">
        <v>335</v>
      </c>
      <c r="E608" s="262">
        <v>10.77</v>
      </c>
      <c r="F608" s="301">
        <v>6.29</v>
      </c>
      <c r="G608" s="262">
        <f>TRUNC(TRUNC(E608,8)*F608,2)</f>
        <v>67.739999999999995</v>
      </c>
    </row>
    <row r="609" spans="1:7" ht="21">
      <c r="A609" s="263"/>
      <c r="B609" s="264"/>
      <c r="C609" s="264"/>
      <c r="D609" s="264"/>
      <c r="E609" s="265" t="s">
        <v>259</v>
      </c>
      <c r="F609" s="265"/>
      <c r="G609" s="266">
        <f>SUM(G608:G608)</f>
        <v>67.739999999999995</v>
      </c>
    </row>
    <row r="610" spans="1:7">
      <c r="A610" s="263"/>
      <c r="B610" s="264"/>
      <c r="C610" s="264"/>
      <c r="D610" s="264"/>
      <c r="E610" s="267" t="s">
        <v>255</v>
      </c>
      <c r="F610" s="267">
        <f>A606</f>
        <v>5630</v>
      </c>
      <c r="G610" s="268">
        <f>SUM(G609)</f>
        <v>67.739999999999995</v>
      </c>
    </row>
    <row r="611" spans="1:7">
      <c r="A611" s="263"/>
      <c r="B611" s="264"/>
      <c r="C611" s="264"/>
      <c r="D611" s="264"/>
      <c r="E611" s="269"/>
      <c r="F611" s="269"/>
      <c r="G611" s="269"/>
    </row>
    <row r="612" spans="1:7" ht="31.5">
      <c r="A612" s="253">
        <v>97086</v>
      </c>
      <c r="B612" s="254" t="s">
        <v>1219</v>
      </c>
      <c r="C612" s="254"/>
      <c r="D612" s="254"/>
      <c r="E612" s="254"/>
      <c r="F612" s="254"/>
      <c r="G612" s="254"/>
    </row>
    <row r="613" spans="1:7" ht="21">
      <c r="A613" s="255" t="s">
        <v>256</v>
      </c>
      <c r="B613" s="256"/>
      <c r="C613" s="257" t="s">
        <v>4</v>
      </c>
      <c r="D613" s="257" t="s">
        <v>243</v>
      </c>
      <c r="E613" s="257" t="s">
        <v>244</v>
      </c>
      <c r="F613" s="257" t="s">
        <v>245</v>
      </c>
      <c r="G613" s="257" t="s">
        <v>246</v>
      </c>
    </row>
    <row r="614" spans="1:7" ht="20">
      <c r="A614" s="258" t="s">
        <v>622</v>
      </c>
      <c r="B614" s="259" t="s">
        <v>623</v>
      </c>
      <c r="C614" s="260" t="s">
        <v>26</v>
      </c>
      <c r="D614" s="260" t="s">
        <v>335</v>
      </c>
      <c r="E614" s="330">
        <v>1.7000000000000001E-2</v>
      </c>
      <c r="F614" s="301">
        <v>9.76</v>
      </c>
      <c r="G614" s="262">
        <f>TRUNC(TRUNC(E614,8)*F614,2)</f>
        <v>0.16</v>
      </c>
    </row>
    <row r="615" spans="1:7" ht="20">
      <c r="A615" s="258" t="s">
        <v>279</v>
      </c>
      <c r="B615" s="259" t="s">
        <v>280</v>
      </c>
      <c r="C615" s="260" t="s">
        <v>26</v>
      </c>
      <c r="D615" s="260" t="s">
        <v>70</v>
      </c>
      <c r="E615" s="330">
        <v>0.37</v>
      </c>
      <c r="F615" s="301">
        <v>11.21</v>
      </c>
      <c r="G615" s="262">
        <f>TRUNC(TRUNC(E615,8)*F615,2)</f>
        <v>4.1399999999999997</v>
      </c>
    </row>
    <row r="616" spans="1:7">
      <c r="A616" s="258" t="s">
        <v>608</v>
      </c>
      <c r="B616" s="259" t="s">
        <v>609</v>
      </c>
      <c r="C616" s="260" t="s">
        <v>26</v>
      </c>
      <c r="D616" s="260" t="s">
        <v>83</v>
      </c>
      <c r="E616" s="330">
        <v>9.5000000000000001E-2</v>
      </c>
      <c r="F616" s="301">
        <v>20.34</v>
      </c>
      <c r="G616" s="262">
        <f>TRUNC(TRUNC(E616,8)*F616,2)</f>
        <v>1.93</v>
      </c>
    </row>
    <row r="617" spans="1:7" ht="20">
      <c r="A617" s="258" t="s">
        <v>610</v>
      </c>
      <c r="B617" s="259" t="s">
        <v>611</v>
      </c>
      <c r="C617" s="260" t="s">
        <v>26</v>
      </c>
      <c r="D617" s="260" t="s">
        <v>70</v>
      </c>
      <c r="E617" s="330">
        <v>0.44</v>
      </c>
      <c r="F617" s="301">
        <v>3.92</v>
      </c>
      <c r="G617" s="262">
        <f>TRUNC(TRUNC(E617,8)*F617,2)</f>
        <v>1.72</v>
      </c>
    </row>
    <row r="618" spans="1:7" ht="30">
      <c r="A618" s="258" t="s">
        <v>550</v>
      </c>
      <c r="B618" s="259" t="s">
        <v>551</v>
      </c>
      <c r="C618" s="260" t="s">
        <v>26</v>
      </c>
      <c r="D618" s="260" t="s">
        <v>70</v>
      </c>
      <c r="E618" s="330">
        <v>1.38</v>
      </c>
      <c r="F618" s="301">
        <v>16.84</v>
      </c>
      <c r="G618" s="262">
        <f>TRUNC(TRUNC(E618,8)*F618,2)</f>
        <v>23.23</v>
      </c>
    </row>
    <row r="619" spans="1:7" ht="21">
      <c r="A619" s="263"/>
      <c r="B619" s="264"/>
      <c r="C619" s="264"/>
      <c r="D619" s="264"/>
      <c r="E619" s="265" t="s">
        <v>259</v>
      </c>
      <c r="F619" s="265"/>
      <c r="G619" s="266">
        <f>SUM(G614:G618)</f>
        <v>31.18</v>
      </c>
    </row>
    <row r="620" spans="1:7" ht="21">
      <c r="A620" s="255" t="s">
        <v>242</v>
      </c>
      <c r="B620" s="256"/>
      <c r="C620" s="257" t="s">
        <v>4</v>
      </c>
      <c r="D620" s="257" t="s">
        <v>243</v>
      </c>
      <c r="E620" s="257" t="s">
        <v>244</v>
      </c>
      <c r="F620" s="257" t="s">
        <v>245</v>
      </c>
      <c r="G620" s="257" t="s">
        <v>246</v>
      </c>
    </row>
    <row r="621" spans="1:7">
      <c r="A621" s="258" t="s">
        <v>263</v>
      </c>
      <c r="B621" s="259" t="s">
        <v>264</v>
      </c>
      <c r="C621" s="260" t="s">
        <v>26</v>
      </c>
      <c r="D621" s="260" t="s">
        <v>265</v>
      </c>
      <c r="E621" s="330">
        <v>1.444</v>
      </c>
      <c r="F621" s="301">
        <v>20.89</v>
      </c>
      <c r="G621" s="262">
        <f>TRUNC(TRUNC(E621,8)*F621,2)</f>
        <v>30.16</v>
      </c>
    </row>
    <row r="622" spans="1:7">
      <c r="A622" s="258" t="s">
        <v>266</v>
      </c>
      <c r="B622" s="259" t="s">
        <v>267</v>
      </c>
      <c r="C622" s="260" t="s">
        <v>26</v>
      </c>
      <c r="D622" s="260" t="s">
        <v>265</v>
      </c>
      <c r="E622" s="330">
        <v>2.3570000000000002</v>
      </c>
      <c r="F622" s="301">
        <v>24.58</v>
      </c>
      <c r="G622" s="262">
        <f>TRUNC(TRUNC(E622,8)*F622,2)</f>
        <v>57.93</v>
      </c>
    </row>
    <row r="623" spans="1:7">
      <c r="A623" s="263"/>
      <c r="B623" s="264"/>
      <c r="C623" s="264"/>
      <c r="D623" s="264"/>
      <c r="E623" s="265" t="s">
        <v>1299</v>
      </c>
      <c r="F623" s="265"/>
      <c r="G623" s="266">
        <f>SUM(G621:G622)</f>
        <v>88.09</v>
      </c>
    </row>
    <row r="624" spans="1:7">
      <c r="A624" s="263"/>
      <c r="B624" s="264"/>
      <c r="C624" s="264"/>
      <c r="D624" s="264"/>
      <c r="E624" s="267" t="s">
        <v>255</v>
      </c>
      <c r="F624" s="267">
        <f>A612</f>
        <v>97086</v>
      </c>
      <c r="G624" s="268">
        <f>SUM(G619,G623)</f>
        <v>119.27000000000001</v>
      </c>
    </row>
    <row r="625" spans="1:7">
      <c r="A625" s="263"/>
      <c r="B625" s="264"/>
      <c r="C625" s="264"/>
      <c r="D625" s="264"/>
      <c r="E625" s="269"/>
      <c r="F625" s="269"/>
      <c r="G625" s="269"/>
    </row>
    <row r="626" spans="1:7" ht="21">
      <c r="A626" s="253">
        <v>93282</v>
      </c>
      <c r="B626" s="254" t="s">
        <v>1220</v>
      </c>
      <c r="C626" s="254"/>
      <c r="D626" s="254"/>
      <c r="E626" s="254"/>
      <c r="F626" s="254"/>
      <c r="G626" s="254"/>
    </row>
    <row r="627" spans="1:7" ht="21">
      <c r="A627" s="255" t="s">
        <v>242</v>
      </c>
      <c r="B627" s="256"/>
      <c r="C627" s="257" t="s">
        <v>4</v>
      </c>
      <c r="D627" s="257" t="s">
        <v>243</v>
      </c>
      <c r="E627" s="257" t="s">
        <v>244</v>
      </c>
      <c r="F627" s="257" t="s">
        <v>245</v>
      </c>
      <c r="G627" s="257" t="s">
        <v>246</v>
      </c>
    </row>
    <row r="628" spans="1:7">
      <c r="A628" s="258" t="s">
        <v>1032</v>
      </c>
      <c r="B628" s="259" t="s">
        <v>1033</v>
      </c>
      <c r="C628" s="260" t="s">
        <v>26</v>
      </c>
      <c r="D628" s="260" t="s">
        <v>265</v>
      </c>
      <c r="E628" s="262">
        <v>1</v>
      </c>
      <c r="F628" s="301">
        <v>20.47</v>
      </c>
      <c r="G628" s="262">
        <f>TRUNC(TRUNC(E628,8)*F628,2)</f>
        <v>20.47</v>
      </c>
    </row>
    <row r="629" spans="1:7">
      <c r="A629" s="263"/>
      <c r="B629" s="264"/>
      <c r="C629" s="264"/>
      <c r="D629" s="264"/>
      <c r="E629" s="265" t="s">
        <v>1299</v>
      </c>
      <c r="F629" s="265"/>
      <c r="G629" s="266">
        <f>SUM(G628:G628)</f>
        <v>20.47</v>
      </c>
    </row>
    <row r="630" spans="1:7" ht="21">
      <c r="A630" s="255" t="s">
        <v>250</v>
      </c>
      <c r="B630" s="256"/>
      <c r="C630" s="257" t="s">
        <v>4</v>
      </c>
      <c r="D630" s="257" t="s">
        <v>243</v>
      </c>
      <c r="E630" s="257" t="s">
        <v>244</v>
      </c>
      <c r="F630" s="257" t="s">
        <v>245</v>
      </c>
      <c r="G630" s="257" t="s">
        <v>246</v>
      </c>
    </row>
    <row r="631" spans="1:7" ht="20">
      <c r="A631" s="258" t="s">
        <v>1034</v>
      </c>
      <c r="B631" s="259" t="s">
        <v>1035</v>
      </c>
      <c r="C631" s="260" t="s">
        <v>26</v>
      </c>
      <c r="D631" s="260" t="s">
        <v>265</v>
      </c>
      <c r="E631" s="262">
        <v>1</v>
      </c>
      <c r="F631" s="301">
        <v>0.27</v>
      </c>
      <c r="G631" s="262">
        <f>TRUNC(TRUNC(E631,8)*F631,2)</f>
        <v>0.27</v>
      </c>
    </row>
    <row r="632" spans="1:7" ht="20">
      <c r="A632" s="258" t="s">
        <v>1036</v>
      </c>
      <c r="B632" s="259" t="s">
        <v>1037</v>
      </c>
      <c r="C632" s="260" t="s">
        <v>26</v>
      </c>
      <c r="D632" s="260" t="s">
        <v>265</v>
      </c>
      <c r="E632" s="262">
        <v>1</v>
      </c>
      <c r="F632" s="301">
        <v>0.06</v>
      </c>
      <c r="G632" s="262">
        <f>TRUNC(TRUNC(E632,8)*F632,2)</f>
        <v>0.06</v>
      </c>
    </row>
    <row r="633" spans="1:7">
      <c r="A633" s="263"/>
      <c r="B633" s="264"/>
      <c r="C633" s="264"/>
      <c r="D633" s="264"/>
      <c r="E633" s="265" t="s">
        <v>1301</v>
      </c>
      <c r="F633" s="265"/>
      <c r="G633" s="266">
        <f>SUM(G631:G632)</f>
        <v>0.33</v>
      </c>
    </row>
    <row r="634" spans="1:7">
      <c r="A634" s="263"/>
      <c r="B634" s="264"/>
      <c r="C634" s="264"/>
      <c r="D634" s="264"/>
      <c r="E634" s="267" t="s">
        <v>255</v>
      </c>
      <c r="F634" s="267">
        <f>A626</f>
        <v>93282</v>
      </c>
      <c r="G634" s="268">
        <f>SUM(G629,G633)</f>
        <v>20.799999999999997</v>
      </c>
    </row>
    <row r="635" spans="1:7">
      <c r="A635" s="263"/>
      <c r="B635" s="264"/>
      <c r="C635" s="264"/>
      <c r="D635" s="264"/>
      <c r="E635" s="269"/>
      <c r="F635" s="269"/>
      <c r="G635" s="269"/>
    </row>
    <row r="636" spans="1:7" ht="31.5">
      <c r="A636" s="253">
        <v>93281</v>
      </c>
      <c r="B636" s="254" t="s">
        <v>1221</v>
      </c>
      <c r="C636" s="254"/>
      <c r="D636" s="254"/>
      <c r="E636" s="254"/>
      <c r="F636" s="254"/>
      <c r="G636" s="254"/>
    </row>
    <row r="637" spans="1:7" ht="21">
      <c r="A637" s="255" t="s">
        <v>242</v>
      </c>
      <c r="B637" s="256"/>
      <c r="C637" s="257" t="s">
        <v>4</v>
      </c>
      <c r="D637" s="257" t="s">
        <v>243</v>
      </c>
      <c r="E637" s="257" t="s">
        <v>244</v>
      </c>
      <c r="F637" s="257" t="s">
        <v>245</v>
      </c>
      <c r="G637" s="257" t="s">
        <v>246</v>
      </c>
    </row>
    <row r="638" spans="1:7">
      <c r="A638" s="258" t="s">
        <v>1032</v>
      </c>
      <c r="B638" s="259" t="s">
        <v>1033</v>
      </c>
      <c r="C638" s="260" t="s">
        <v>26</v>
      </c>
      <c r="D638" s="260" t="s">
        <v>265</v>
      </c>
      <c r="E638" s="262">
        <v>1</v>
      </c>
      <c r="F638" s="301">
        <v>20.47</v>
      </c>
      <c r="G638" s="262">
        <f>TRUNC(TRUNC(E638,8)*F638,2)</f>
        <v>20.47</v>
      </c>
    </row>
    <row r="639" spans="1:7">
      <c r="A639" s="263"/>
      <c r="B639" s="264"/>
      <c r="C639" s="264"/>
      <c r="D639" s="264"/>
      <c r="E639" s="265" t="s">
        <v>1299</v>
      </c>
      <c r="F639" s="265"/>
      <c r="G639" s="266">
        <f>SUM(G638:G638)</f>
        <v>20.47</v>
      </c>
    </row>
    <row r="640" spans="1:7" ht="21">
      <c r="A640" s="255" t="s">
        <v>250</v>
      </c>
      <c r="B640" s="256"/>
      <c r="C640" s="257" t="s">
        <v>4</v>
      </c>
      <c r="D640" s="257" t="s">
        <v>243</v>
      </c>
      <c r="E640" s="257" t="s">
        <v>244</v>
      </c>
      <c r="F640" s="257" t="s">
        <v>245</v>
      </c>
      <c r="G640" s="257" t="s">
        <v>246</v>
      </c>
    </row>
    <row r="641" spans="1:7" ht="20">
      <c r="A641" s="258" t="s">
        <v>1034</v>
      </c>
      <c r="B641" s="259" t="s">
        <v>1035</v>
      </c>
      <c r="C641" s="260" t="s">
        <v>26</v>
      </c>
      <c r="D641" s="260" t="s">
        <v>265</v>
      </c>
      <c r="E641" s="262">
        <v>1</v>
      </c>
      <c r="F641" s="301">
        <v>0.27</v>
      </c>
      <c r="G641" s="262">
        <f>TRUNC(TRUNC(E641,8)*F641,2)</f>
        <v>0.27</v>
      </c>
    </row>
    <row r="642" spans="1:7" ht="20">
      <c r="A642" s="258" t="s">
        <v>1036</v>
      </c>
      <c r="B642" s="259" t="s">
        <v>1037</v>
      </c>
      <c r="C642" s="260" t="s">
        <v>26</v>
      </c>
      <c r="D642" s="260" t="s">
        <v>265</v>
      </c>
      <c r="E642" s="262">
        <v>1</v>
      </c>
      <c r="F642" s="301">
        <v>0.06</v>
      </c>
      <c r="G642" s="262">
        <f>TRUNC(TRUNC(E642,8)*F642,2)</f>
        <v>0.06</v>
      </c>
    </row>
    <row r="643" spans="1:7" ht="20">
      <c r="A643" s="258" t="s">
        <v>1038</v>
      </c>
      <c r="B643" s="259" t="s">
        <v>1039</v>
      </c>
      <c r="C643" s="260" t="s">
        <v>26</v>
      </c>
      <c r="D643" s="260" t="s">
        <v>265</v>
      </c>
      <c r="E643" s="262">
        <v>1</v>
      </c>
      <c r="F643" s="301">
        <v>0.26</v>
      </c>
      <c r="G643" s="262">
        <f>TRUNC(TRUNC(E643,8)*F643,2)</f>
        <v>0.26</v>
      </c>
    </row>
    <row r="644" spans="1:7" ht="30">
      <c r="A644" s="258" t="s">
        <v>1040</v>
      </c>
      <c r="B644" s="259" t="s">
        <v>1041</v>
      </c>
      <c r="C644" s="260" t="s">
        <v>26</v>
      </c>
      <c r="D644" s="260" t="s">
        <v>265</v>
      </c>
      <c r="E644" s="262">
        <v>1</v>
      </c>
      <c r="F644" s="301">
        <v>0.57999999999999996</v>
      </c>
      <c r="G644" s="262">
        <f>TRUNC(TRUNC(E644,8)*F644,2)</f>
        <v>0.57999999999999996</v>
      </c>
    </row>
    <row r="645" spans="1:7">
      <c r="A645" s="263"/>
      <c r="B645" s="264"/>
      <c r="C645" s="264"/>
      <c r="D645" s="264"/>
      <c r="E645" s="265" t="s">
        <v>1301</v>
      </c>
      <c r="F645" s="265"/>
      <c r="G645" s="266">
        <f>SUM(G641:G644)</f>
        <v>1.17</v>
      </c>
    </row>
    <row r="646" spans="1:7">
      <c r="A646" s="263"/>
      <c r="B646" s="264"/>
      <c r="C646" s="264"/>
      <c r="D646" s="264"/>
      <c r="E646" s="267" t="s">
        <v>255</v>
      </c>
      <c r="F646" s="267">
        <f>A636</f>
        <v>93281</v>
      </c>
      <c r="G646" s="268">
        <f>SUM(G639,G645)</f>
        <v>21.64</v>
      </c>
    </row>
    <row r="647" spans="1:7">
      <c r="A647" s="263"/>
      <c r="B647" s="264"/>
      <c r="C647" s="264"/>
      <c r="D647" s="264"/>
      <c r="E647" s="269"/>
      <c r="F647" s="269"/>
      <c r="G647" s="269"/>
    </row>
    <row r="648" spans="1:7" ht="31.5">
      <c r="A648" s="253">
        <v>93277</v>
      </c>
      <c r="B648" s="254" t="s">
        <v>1222</v>
      </c>
      <c r="C648" s="254"/>
      <c r="D648" s="254"/>
      <c r="E648" s="254"/>
      <c r="F648" s="254"/>
      <c r="G648" s="254"/>
    </row>
    <row r="649" spans="1:7" ht="21">
      <c r="A649" s="255" t="s">
        <v>268</v>
      </c>
      <c r="B649" s="256"/>
      <c r="C649" s="257" t="s">
        <v>4</v>
      </c>
      <c r="D649" s="257" t="s">
        <v>243</v>
      </c>
      <c r="E649" s="257" t="s">
        <v>244</v>
      </c>
      <c r="F649" s="257" t="s">
        <v>245</v>
      </c>
      <c r="G649" s="257" t="s">
        <v>246</v>
      </c>
    </row>
    <row r="650" spans="1:7" ht="20">
      <c r="A650" s="258" t="s">
        <v>624</v>
      </c>
      <c r="B650" s="259" t="s">
        <v>625</v>
      </c>
      <c r="C650" s="260" t="s">
        <v>26</v>
      </c>
      <c r="D650" s="260" t="s">
        <v>14</v>
      </c>
      <c r="E650" s="329">
        <v>6.3999999999999997E-5</v>
      </c>
      <c r="F650" s="301">
        <v>4373.4399999999996</v>
      </c>
      <c r="G650" s="262">
        <f>TRUNC(TRUNC(E650,8)*F650,2)</f>
        <v>0.27</v>
      </c>
    </row>
    <row r="651" spans="1:7">
      <c r="A651" s="263"/>
      <c r="B651" s="264"/>
      <c r="C651" s="264"/>
      <c r="D651" s="264"/>
      <c r="E651" s="265" t="s">
        <v>1300</v>
      </c>
      <c r="F651" s="265"/>
      <c r="G651" s="266">
        <f>SUM(G650:G650)</f>
        <v>0.27</v>
      </c>
    </row>
    <row r="652" spans="1:7">
      <c r="A652" s="263"/>
      <c r="B652" s="264"/>
      <c r="C652" s="264"/>
      <c r="D652" s="264"/>
      <c r="E652" s="267" t="s">
        <v>255</v>
      </c>
      <c r="F652" s="267">
        <f>A648</f>
        <v>93277</v>
      </c>
      <c r="G652" s="268">
        <f>SUM(G651)</f>
        <v>0.27</v>
      </c>
    </row>
    <row r="653" spans="1:7">
      <c r="A653" s="263"/>
      <c r="B653" s="264"/>
      <c r="C653" s="264"/>
      <c r="D653" s="264"/>
      <c r="E653" s="269"/>
      <c r="F653" s="269"/>
      <c r="G653" s="269"/>
    </row>
    <row r="654" spans="1:7" ht="21">
      <c r="A654" s="253">
        <v>93278</v>
      </c>
      <c r="B654" s="254" t="s">
        <v>1223</v>
      </c>
      <c r="C654" s="254"/>
      <c r="D654" s="254"/>
      <c r="E654" s="254"/>
      <c r="F654" s="254"/>
      <c r="G654" s="254"/>
    </row>
    <row r="655" spans="1:7" ht="21">
      <c r="A655" s="255" t="s">
        <v>268</v>
      </c>
      <c r="B655" s="256"/>
      <c r="C655" s="257" t="s">
        <v>4</v>
      </c>
      <c r="D655" s="257" t="s">
        <v>243</v>
      </c>
      <c r="E655" s="257" t="s">
        <v>244</v>
      </c>
      <c r="F655" s="257" t="s">
        <v>245</v>
      </c>
      <c r="G655" s="257" t="s">
        <v>246</v>
      </c>
    </row>
    <row r="656" spans="1:7" ht="20">
      <c r="A656" s="258" t="s">
        <v>624</v>
      </c>
      <c r="B656" s="259" t="s">
        <v>625</v>
      </c>
      <c r="C656" s="260" t="s">
        <v>26</v>
      </c>
      <c r="D656" s="260" t="s">
        <v>14</v>
      </c>
      <c r="E656" s="328">
        <v>1.4800000000000001E-5</v>
      </c>
      <c r="F656" s="301">
        <v>4373.4399999999996</v>
      </c>
      <c r="G656" s="262">
        <f>TRUNC(TRUNC(E656,8)*F656,2)</f>
        <v>0.06</v>
      </c>
    </row>
    <row r="657" spans="1:7">
      <c r="A657" s="263"/>
      <c r="B657" s="264"/>
      <c r="C657" s="264"/>
      <c r="D657" s="264"/>
      <c r="E657" s="265" t="s">
        <v>1300</v>
      </c>
      <c r="F657" s="265"/>
      <c r="G657" s="266">
        <f>SUM(G656:G656)</f>
        <v>0.06</v>
      </c>
    </row>
    <row r="658" spans="1:7">
      <c r="A658" s="263"/>
      <c r="B658" s="264"/>
      <c r="C658" s="264"/>
      <c r="D658" s="264"/>
      <c r="E658" s="267" t="s">
        <v>255</v>
      </c>
      <c r="F658" s="267">
        <f>A654</f>
        <v>93278</v>
      </c>
      <c r="G658" s="268">
        <f>SUM(G657)</f>
        <v>0.06</v>
      </c>
    </row>
    <row r="659" spans="1:7">
      <c r="A659" s="263"/>
      <c r="B659" s="264"/>
      <c r="C659" s="264"/>
      <c r="D659" s="264"/>
      <c r="E659" s="269"/>
      <c r="F659" s="269"/>
      <c r="G659" s="269"/>
    </row>
    <row r="660" spans="1:7" ht="31.5">
      <c r="A660" s="253">
        <v>93279</v>
      </c>
      <c r="B660" s="254" t="s">
        <v>1224</v>
      </c>
      <c r="C660" s="254"/>
      <c r="D660" s="254"/>
      <c r="E660" s="254"/>
      <c r="F660" s="254"/>
      <c r="G660" s="254"/>
    </row>
    <row r="661" spans="1:7" ht="21">
      <c r="A661" s="255" t="s">
        <v>268</v>
      </c>
      <c r="B661" s="256"/>
      <c r="C661" s="257" t="s">
        <v>4</v>
      </c>
      <c r="D661" s="257" t="s">
        <v>243</v>
      </c>
      <c r="E661" s="257" t="s">
        <v>244</v>
      </c>
      <c r="F661" s="257" t="s">
        <v>245</v>
      </c>
      <c r="G661" s="257" t="s">
        <v>246</v>
      </c>
    </row>
    <row r="662" spans="1:7" ht="20">
      <c r="A662" s="258" t="s">
        <v>624</v>
      </c>
      <c r="B662" s="259" t="s">
        <v>625</v>
      </c>
      <c r="C662" s="260" t="s">
        <v>26</v>
      </c>
      <c r="D662" s="260" t="s">
        <v>14</v>
      </c>
      <c r="E662" s="270">
        <v>6.0000000000000002E-5</v>
      </c>
      <c r="F662" s="301">
        <v>4373.4399999999996</v>
      </c>
      <c r="G662" s="262">
        <f>TRUNC(TRUNC(E662,8)*F662,2)</f>
        <v>0.26</v>
      </c>
    </row>
    <row r="663" spans="1:7">
      <c r="A663" s="263"/>
      <c r="B663" s="264"/>
      <c r="C663" s="264"/>
      <c r="D663" s="264"/>
      <c r="E663" s="265" t="s">
        <v>1300</v>
      </c>
      <c r="F663" s="265"/>
      <c r="G663" s="266">
        <f>SUM(G662:G662)</f>
        <v>0.26</v>
      </c>
    </row>
    <row r="664" spans="1:7">
      <c r="A664" s="263"/>
      <c r="B664" s="264"/>
      <c r="C664" s="264"/>
      <c r="D664" s="264"/>
      <c r="E664" s="267" t="s">
        <v>255</v>
      </c>
      <c r="F664" s="267">
        <f>A660</f>
        <v>93279</v>
      </c>
      <c r="G664" s="268">
        <f>SUM(G663)</f>
        <v>0.26</v>
      </c>
    </row>
    <row r="665" spans="1:7">
      <c r="A665" s="263"/>
      <c r="B665" s="264"/>
      <c r="C665" s="264"/>
      <c r="D665" s="264"/>
      <c r="E665" s="269"/>
      <c r="F665" s="269"/>
      <c r="G665" s="269"/>
    </row>
    <row r="666" spans="1:7" ht="31.5">
      <c r="A666" s="253">
        <v>93280</v>
      </c>
      <c r="B666" s="254" t="s">
        <v>1225</v>
      </c>
      <c r="C666" s="254"/>
      <c r="D666" s="254"/>
      <c r="E666" s="254"/>
      <c r="F666" s="254"/>
      <c r="G666" s="254"/>
    </row>
    <row r="667" spans="1:7" ht="21">
      <c r="A667" s="255" t="s">
        <v>584</v>
      </c>
      <c r="B667" s="256"/>
      <c r="C667" s="257" t="s">
        <v>4</v>
      </c>
      <c r="D667" s="257" t="s">
        <v>243</v>
      </c>
      <c r="E667" s="257" t="s">
        <v>244</v>
      </c>
      <c r="F667" s="257" t="s">
        <v>245</v>
      </c>
      <c r="G667" s="257" t="s">
        <v>246</v>
      </c>
    </row>
    <row r="668" spans="1:7">
      <c r="A668" s="258" t="s">
        <v>582</v>
      </c>
      <c r="B668" s="259" t="s">
        <v>583</v>
      </c>
      <c r="C668" s="260" t="s">
        <v>26</v>
      </c>
      <c r="D668" s="260" t="s">
        <v>585</v>
      </c>
      <c r="E668" s="330">
        <v>0.78</v>
      </c>
      <c r="F668" s="301">
        <v>0.75</v>
      </c>
      <c r="G668" s="262">
        <f>TRUNC(TRUNC(E668,8)*F668,2)</f>
        <v>0.57999999999999996</v>
      </c>
    </row>
    <row r="669" spans="1:7" ht="21">
      <c r="A669" s="263"/>
      <c r="B669" s="264"/>
      <c r="C669" s="264"/>
      <c r="D669" s="264"/>
      <c r="E669" s="265" t="s">
        <v>1042</v>
      </c>
      <c r="F669" s="265"/>
      <c r="G669" s="266">
        <f>SUM(G668:G668)</f>
        <v>0.57999999999999996</v>
      </c>
    </row>
    <row r="670" spans="1:7">
      <c r="A670" s="263"/>
      <c r="B670" s="264"/>
      <c r="C670" s="264"/>
      <c r="D670" s="264"/>
      <c r="E670" s="267" t="s">
        <v>255</v>
      </c>
      <c r="F670" s="267">
        <f>A666</f>
        <v>93280</v>
      </c>
      <c r="G670" s="268">
        <f>SUM(G669)</f>
        <v>0.57999999999999996</v>
      </c>
    </row>
    <row r="671" spans="1:7">
      <c r="A671" s="263"/>
      <c r="B671" s="264"/>
      <c r="C671" s="264"/>
      <c r="D671" s="264"/>
      <c r="E671" s="269"/>
      <c r="F671" s="269"/>
      <c r="G671" s="269"/>
    </row>
    <row r="672" spans="1:7" ht="31.5">
      <c r="A672" s="253">
        <v>93288</v>
      </c>
      <c r="B672" s="254" t="s">
        <v>1226</v>
      </c>
      <c r="C672" s="254"/>
      <c r="D672" s="254"/>
      <c r="E672" s="254"/>
      <c r="F672" s="254"/>
      <c r="G672" s="254"/>
    </row>
    <row r="673" spans="1:7" ht="21">
      <c r="A673" s="255" t="s">
        <v>242</v>
      </c>
      <c r="B673" s="256"/>
      <c r="C673" s="257" t="s">
        <v>4</v>
      </c>
      <c r="D673" s="257" t="s">
        <v>243</v>
      </c>
      <c r="E673" s="257" t="s">
        <v>244</v>
      </c>
      <c r="F673" s="257" t="s">
        <v>245</v>
      </c>
      <c r="G673" s="257" t="s">
        <v>246</v>
      </c>
    </row>
    <row r="674" spans="1:7">
      <c r="A674" s="258" t="s">
        <v>1043</v>
      </c>
      <c r="B674" s="259" t="s">
        <v>1044</v>
      </c>
      <c r="C674" s="260" t="s">
        <v>26</v>
      </c>
      <c r="D674" s="260" t="s">
        <v>265</v>
      </c>
      <c r="E674" s="262">
        <v>1</v>
      </c>
      <c r="F674" s="301">
        <v>29.41</v>
      </c>
      <c r="G674" s="262">
        <f>TRUNC(TRUNC(E674,8)*F674,2)</f>
        <v>29.41</v>
      </c>
    </row>
    <row r="675" spans="1:7">
      <c r="A675" s="263"/>
      <c r="B675" s="264"/>
      <c r="C675" s="264"/>
      <c r="D675" s="264"/>
      <c r="E675" s="265" t="s">
        <v>1299</v>
      </c>
      <c r="F675" s="265"/>
      <c r="G675" s="266">
        <f>SUM(G674:G674)</f>
        <v>29.41</v>
      </c>
    </row>
    <row r="676" spans="1:7" ht="21">
      <c r="A676" s="255" t="s">
        <v>250</v>
      </c>
      <c r="B676" s="256"/>
      <c r="C676" s="257" t="s">
        <v>4</v>
      </c>
      <c r="D676" s="257" t="s">
        <v>243</v>
      </c>
      <c r="E676" s="257" t="s">
        <v>244</v>
      </c>
      <c r="F676" s="257" t="s">
        <v>245</v>
      </c>
      <c r="G676" s="257" t="s">
        <v>246</v>
      </c>
    </row>
    <row r="677" spans="1:7" ht="30">
      <c r="A677" s="258" t="s">
        <v>1045</v>
      </c>
      <c r="B677" s="259" t="s">
        <v>1046</v>
      </c>
      <c r="C677" s="260" t="s">
        <v>26</v>
      </c>
      <c r="D677" s="260" t="s">
        <v>265</v>
      </c>
      <c r="E677" s="262">
        <v>1</v>
      </c>
      <c r="F677" s="301">
        <v>99.43</v>
      </c>
      <c r="G677" s="262">
        <f>TRUNC(TRUNC(E677,8)*F677,2)</f>
        <v>99.43</v>
      </c>
    </row>
    <row r="678" spans="1:7" ht="30">
      <c r="A678" s="258" t="s">
        <v>1047</v>
      </c>
      <c r="B678" s="259" t="s">
        <v>1048</v>
      </c>
      <c r="C678" s="260" t="s">
        <v>26</v>
      </c>
      <c r="D678" s="260" t="s">
        <v>265</v>
      </c>
      <c r="E678" s="262">
        <v>1</v>
      </c>
      <c r="F678" s="301">
        <v>14.16</v>
      </c>
      <c r="G678" s="262">
        <f>TRUNC(TRUNC(E678,8)*F678,2)</f>
        <v>14.16</v>
      </c>
    </row>
    <row r="679" spans="1:7" ht="30">
      <c r="A679" s="258" t="s">
        <v>1049</v>
      </c>
      <c r="B679" s="259" t="s">
        <v>1050</v>
      </c>
      <c r="C679" s="260" t="s">
        <v>26</v>
      </c>
      <c r="D679" s="260" t="s">
        <v>265</v>
      </c>
      <c r="E679" s="262">
        <v>1</v>
      </c>
      <c r="F679" s="301">
        <v>35.049999999999997</v>
      </c>
      <c r="G679" s="262">
        <f>TRUNC(TRUNC(E679,8)*F679,2)</f>
        <v>35.049999999999997</v>
      </c>
    </row>
    <row r="680" spans="1:7">
      <c r="A680" s="263"/>
      <c r="B680" s="264"/>
      <c r="C680" s="264"/>
      <c r="D680" s="264"/>
      <c r="E680" s="265" t="s">
        <v>1301</v>
      </c>
      <c r="F680" s="265"/>
      <c r="G680" s="266">
        <f>SUM(G677:G679)</f>
        <v>148.63999999999999</v>
      </c>
    </row>
    <row r="681" spans="1:7">
      <c r="A681" s="263"/>
      <c r="B681" s="264"/>
      <c r="C681" s="264"/>
      <c r="D681" s="264"/>
      <c r="E681" s="267" t="s">
        <v>255</v>
      </c>
      <c r="F681" s="267">
        <f>A672</f>
        <v>93288</v>
      </c>
      <c r="G681" s="268">
        <f>SUM(G675,G680)</f>
        <v>178.04999999999998</v>
      </c>
    </row>
    <row r="682" spans="1:7">
      <c r="A682" s="263"/>
      <c r="B682" s="264"/>
      <c r="C682" s="264"/>
      <c r="D682" s="264"/>
      <c r="E682" s="269"/>
      <c r="F682" s="269"/>
      <c r="G682" s="269"/>
    </row>
    <row r="683" spans="1:7" ht="31.5">
      <c r="A683" s="253">
        <v>93287</v>
      </c>
      <c r="B683" s="254" t="s">
        <v>1227</v>
      </c>
      <c r="C683" s="254"/>
      <c r="D683" s="254"/>
      <c r="E683" s="254"/>
      <c r="F683" s="254"/>
      <c r="G683" s="254"/>
    </row>
    <row r="684" spans="1:7" ht="21">
      <c r="A684" s="255" t="s">
        <v>242</v>
      </c>
      <c r="B684" s="256"/>
      <c r="C684" s="257" t="s">
        <v>4</v>
      </c>
      <c r="D684" s="257" t="s">
        <v>243</v>
      </c>
      <c r="E684" s="257" t="s">
        <v>244</v>
      </c>
      <c r="F684" s="257" t="s">
        <v>245</v>
      </c>
      <c r="G684" s="257" t="s">
        <v>246</v>
      </c>
    </row>
    <row r="685" spans="1:7">
      <c r="A685" s="258" t="s">
        <v>1043</v>
      </c>
      <c r="B685" s="259" t="s">
        <v>1044</v>
      </c>
      <c r="C685" s="260" t="s">
        <v>26</v>
      </c>
      <c r="D685" s="260" t="s">
        <v>265</v>
      </c>
      <c r="E685" s="262">
        <v>1</v>
      </c>
      <c r="F685" s="301">
        <v>29.41</v>
      </c>
      <c r="G685" s="262">
        <f>TRUNC(TRUNC(E685,8)*F685,2)</f>
        <v>29.41</v>
      </c>
    </row>
    <row r="686" spans="1:7">
      <c r="A686" s="263"/>
      <c r="B686" s="264"/>
      <c r="C686" s="264"/>
      <c r="D686" s="264"/>
      <c r="E686" s="265" t="s">
        <v>1299</v>
      </c>
      <c r="F686" s="265"/>
      <c r="G686" s="266">
        <f>SUM(G685:G685)</f>
        <v>29.41</v>
      </c>
    </row>
    <row r="687" spans="1:7" ht="21">
      <c r="A687" s="255" t="s">
        <v>250</v>
      </c>
      <c r="B687" s="256"/>
      <c r="C687" s="257" t="s">
        <v>4</v>
      </c>
      <c r="D687" s="257" t="s">
        <v>243</v>
      </c>
      <c r="E687" s="257" t="s">
        <v>244</v>
      </c>
      <c r="F687" s="257" t="s">
        <v>245</v>
      </c>
      <c r="G687" s="257" t="s">
        <v>246</v>
      </c>
    </row>
    <row r="688" spans="1:7" ht="30">
      <c r="A688" s="258" t="s">
        <v>1045</v>
      </c>
      <c r="B688" s="259" t="s">
        <v>1046</v>
      </c>
      <c r="C688" s="260" t="s">
        <v>26</v>
      </c>
      <c r="D688" s="260" t="s">
        <v>265</v>
      </c>
      <c r="E688" s="262">
        <v>1</v>
      </c>
      <c r="F688" s="301">
        <v>99.43</v>
      </c>
      <c r="G688" s="262">
        <f>TRUNC(TRUNC(E688,8)*F688,2)</f>
        <v>99.43</v>
      </c>
    </row>
    <row r="689" spans="1:7" ht="30">
      <c r="A689" s="258" t="s">
        <v>1047</v>
      </c>
      <c r="B689" s="259" t="s">
        <v>1048</v>
      </c>
      <c r="C689" s="260" t="s">
        <v>26</v>
      </c>
      <c r="D689" s="260" t="s">
        <v>265</v>
      </c>
      <c r="E689" s="262">
        <v>1</v>
      </c>
      <c r="F689" s="301">
        <v>14.16</v>
      </c>
      <c r="G689" s="262">
        <f>TRUNC(TRUNC(E689,8)*F689,2)</f>
        <v>14.16</v>
      </c>
    </row>
    <row r="690" spans="1:7" ht="30">
      <c r="A690" s="258" t="s">
        <v>1049</v>
      </c>
      <c r="B690" s="259" t="s">
        <v>1050</v>
      </c>
      <c r="C690" s="260" t="s">
        <v>26</v>
      </c>
      <c r="D690" s="260" t="s">
        <v>265</v>
      </c>
      <c r="E690" s="262">
        <v>1</v>
      </c>
      <c r="F690" s="301">
        <v>35.049999999999997</v>
      </c>
      <c r="G690" s="262">
        <f>TRUNC(TRUNC(E690,8)*F690,2)</f>
        <v>35.049999999999997</v>
      </c>
    </row>
    <row r="691" spans="1:7" ht="30">
      <c r="A691" s="258" t="s">
        <v>1051</v>
      </c>
      <c r="B691" s="259" t="s">
        <v>1052</v>
      </c>
      <c r="C691" s="260" t="s">
        <v>26</v>
      </c>
      <c r="D691" s="260" t="s">
        <v>265</v>
      </c>
      <c r="E691" s="262">
        <v>1</v>
      </c>
      <c r="F691" s="301">
        <v>159.83000000000001</v>
      </c>
      <c r="G691" s="262">
        <f>TRUNC(TRUNC(E691,8)*F691,2)</f>
        <v>159.83000000000001</v>
      </c>
    </row>
    <row r="692" spans="1:7" ht="30">
      <c r="A692" s="258" t="s">
        <v>1053</v>
      </c>
      <c r="B692" s="259" t="s">
        <v>1054</v>
      </c>
      <c r="C692" s="260" t="s">
        <v>26</v>
      </c>
      <c r="D692" s="260" t="s">
        <v>265</v>
      </c>
      <c r="E692" s="262">
        <v>1</v>
      </c>
      <c r="F692" s="301">
        <v>9.75</v>
      </c>
      <c r="G692" s="262">
        <f>TRUNC(TRUNC(E692,8)*F692,2)</f>
        <v>9.75</v>
      </c>
    </row>
    <row r="693" spans="1:7">
      <c r="A693" s="263"/>
      <c r="B693" s="264"/>
      <c r="C693" s="264"/>
      <c r="D693" s="264"/>
      <c r="E693" s="265" t="s">
        <v>1301</v>
      </c>
      <c r="F693" s="265"/>
      <c r="G693" s="266">
        <f>SUM(G688:G692)</f>
        <v>318.22000000000003</v>
      </c>
    </row>
    <row r="694" spans="1:7">
      <c r="A694" s="263"/>
      <c r="B694" s="264"/>
      <c r="C694" s="264"/>
      <c r="D694" s="264"/>
      <c r="E694" s="267" t="s">
        <v>255</v>
      </c>
      <c r="F694" s="267">
        <f>A683</f>
        <v>93287</v>
      </c>
      <c r="G694" s="268">
        <f>SUM(G686,G693)</f>
        <v>347.63000000000005</v>
      </c>
    </row>
    <row r="695" spans="1:7">
      <c r="A695" s="263"/>
      <c r="B695" s="264"/>
      <c r="C695" s="264"/>
      <c r="D695" s="264"/>
      <c r="E695" s="269"/>
      <c r="F695" s="269"/>
      <c r="G695" s="269"/>
    </row>
    <row r="696" spans="1:7" ht="31.5">
      <c r="A696" s="253">
        <v>93283</v>
      </c>
      <c r="B696" s="254" t="s">
        <v>1228</v>
      </c>
      <c r="C696" s="254"/>
      <c r="D696" s="254"/>
      <c r="E696" s="254"/>
      <c r="F696" s="254"/>
      <c r="G696" s="254"/>
    </row>
    <row r="697" spans="1:7" ht="21">
      <c r="A697" s="255" t="s">
        <v>268</v>
      </c>
      <c r="B697" s="256"/>
      <c r="C697" s="257" t="s">
        <v>4</v>
      </c>
      <c r="D697" s="257" t="s">
        <v>243</v>
      </c>
      <c r="E697" s="257" t="s">
        <v>244</v>
      </c>
      <c r="F697" s="257" t="s">
        <v>245</v>
      </c>
      <c r="G697" s="257" t="s">
        <v>246</v>
      </c>
    </row>
    <row r="698" spans="1:7" ht="30">
      <c r="A698" s="258" t="s">
        <v>497</v>
      </c>
      <c r="B698" s="259" t="s">
        <v>498</v>
      </c>
      <c r="C698" s="260" t="s">
        <v>26</v>
      </c>
      <c r="D698" s="260" t="s">
        <v>14</v>
      </c>
      <c r="E698" s="329">
        <v>4.0000000000000003E-5</v>
      </c>
      <c r="F698" s="301">
        <v>2485831.6</v>
      </c>
      <c r="G698" s="262">
        <f>TRUNC(TRUNC(E698,8)*F698,2)</f>
        <v>99.43</v>
      </c>
    </row>
    <row r="699" spans="1:7">
      <c r="A699" s="263"/>
      <c r="B699" s="264"/>
      <c r="C699" s="264"/>
      <c r="D699" s="264"/>
      <c r="E699" s="265" t="s">
        <v>1300</v>
      </c>
      <c r="F699" s="265"/>
      <c r="G699" s="266">
        <f>SUM(G698:G698)</f>
        <v>99.43</v>
      </c>
    </row>
    <row r="700" spans="1:7">
      <c r="A700" s="263"/>
      <c r="B700" s="264"/>
      <c r="C700" s="264"/>
      <c r="D700" s="264"/>
      <c r="E700" s="267" t="s">
        <v>255</v>
      </c>
      <c r="F700" s="267">
        <f>A696</f>
        <v>93283</v>
      </c>
      <c r="G700" s="268">
        <f>SUM(G699)</f>
        <v>99.43</v>
      </c>
    </row>
    <row r="701" spans="1:7">
      <c r="A701" s="263"/>
      <c r="B701" s="264"/>
      <c r="C701" s="264"/>
      <c r="D701" s="264"/>
      <c r="E701" s="269"/>
      <c r="F701" s="269"/>
      <c r="G701" s="269"/>
    </row>
    <row r="702" spans="1:7" ht="31.5">
      <c r="A702" s="253">
        <v>93296</v>
      </c>
      <c r="B702" s="254" t="s">
        <v>1229</v>
      </c>
      <c r="C702" s="254"/>
      <c r="D702" s="254"/>
      <c r="E702" s="254"/>
      <c r="F702" s="254"/>
      <c r="G702" s="254"/>
    </row>
    <row r="703" spans="1:7" ht="21">
      <c r="A703" s="255" t="s">
        <v>268</v>
      </c>
      <c r="B703" s="256"/>
      <c r="C703" s="257" t="s">
        <v>4</v>
      </c>
      <c r="D703" s="257" t="s">
        <v>243</v>
      </c>
      <c r="E703" s="257" t="s">
        <v>244</v>
      </c>
      <c r="F703" s="257" t="s">
        <v>245</v>
      </c>
      <c r="G703" s="257" t="s">
        <v>246</v>
      </c>
    </row>
    <row r="704" spans="1:7" ht="30">
      <c r="A704" s="258" t="s">
        <v>497</v>
      </c>
      <c r="B704" s="259" t="s">
        <v>498</v>
      </c>
      <c r="C704" s="260" t="s">
        <v>26</v>
      </c>
      <c r="D704" s="260" t="s">
        <v>14</v>
      </c>
      <c r="E704" s="328">
        <v>5.6999999999999996E-6</v>
      </c>
      <c r="F704" s="301">
        <v>2485831.6</v>
      </c>
      <c r="G704" s="262">
        <f>TRUNC(TRUNC(E704,8)*F704,2)</f>
        <v>14.16</v>
      </c>
    </row>
    <row r="705" spans="1:7">
      <c r="A705" s="263"/>
      <c r="B705" s="264"/>
      <c r="C705" s="264"/>
      <c r="D705" s="264"/>
      <c r="E705" s="265" t="s">
        <v>1300</v>
      </c>
      <c r="F705" s="265"/>
      <c r="G705" s="266">
        <f>SUM(G704:G704)</f>
        <v>14.16</v>
      </c>
    </row>
    <row r="706" spans="1:7">
      <c r="A706" s="263"/>
      <c r="B706" s="264"/>
      <c r="C706" s="264"/>
      <c r="D706" s="264"/>
      <c r="E706" s="267" t="s">
        <v>255</v>
      </c>
      <c r="F706" s="267">
        <f>A702</f>
        <v>93296</v>
      </c>
      <c r="G706" s="268">
        <f>SUM(G705)</f>
        <v>14.16</v>
      </c>
    </row>
    <row r="707" spans="1:7">
      <c r="A707" s="263"/>
      <c r="B707" s="264"/>
      <c r="C707" s="264"/>
      <c r="D707" s="264"/>
      <c r="E707" s="269"/>
      <c r="F707" s="269"/>
      <c r="G707" s="269"/>
    </row>
    <row r="708" spans="1:7" ht="31.5">
      <c r="A708" s="253">
        <v>93284</v>
      </c>
      <c r="B708" s="254" t="s">
        <v>1230</v>
      </c>
      <c r="C708" s="254"/>
      <c r="D708" s="254"/>
      <c r="E708" s="254"/>
      <c r="F708" s="254"/>
      <c r="G708" s="254"/>
    </row>
    <row r="709" spans="1:7" ht="21">
      <c r="A709" s="255" t="s">
        <v>268</v>
      </c>
      <c r="B709" s="256"/>
      <c r="C709" s="257" t="s">
        <v>4</v>
      </c>
      <c r="D709" s="257" t="s">
        <v>243</v>
      </c>
      <c r="E709" s="257" t="s">
        <v>244</v>
      </c>
      <c r="F709" s="257" t="s">
        <v>245</v>
      </c>
      <c r="G709" s="257" t="s">
        <v>246</v>
      </c>
    </row>
    <row r="710" spans="1:7" ht="30">
      <c r="A710" s="258" t="s">
        <v>497</v>
      </c>
      <c r="B710" s="259" t="s">
        <v>498</v>
      </c>
      <c r="C710" s="260" t="s">
        <v>26</v>
      </c>
      <c r="D710" s="260" t="s">
        <v>14</v>
      </c>
      <c r="E710" s="328">
        <v>1.4100000000000001E-5</v>
      </c>
      <c r="F710" s="301">
        <v>2485831.6</v>
      </c>
      <c r="G710" s="262">
        <f>TRUNC(TRUNC(E710,8)*F710,2)</f>
        <v>35.049999999999997</v>
      </c>
    </row>
    <row r="711" spans="1:7">
      <c r="A711" s="263"/>
      <c r="B711" s="264"/>
      <c r="C711" s="264"/>
      <c r="D711" s="264"/>
      <c r="E711" s="265" t="s">
        <v>1300</v>
      </c>
      <c r="F711" s="265"/>
      <c r="G711" s="266">
        <f>SUM(G710:G710)</f>
        <v>35.049999999999997</v>
      </c>
    </row>
    <row r="712" spans="1:7">
      <c r="A712" s="263"/>
      <c r="B712" s="264"/>
      <c r="C712" s="264"/>
      <c r="D712" s="264"/>
      <c r="E712" s="267" t="s">
        <v>255</v>
      </c>
      <c r="F712" s="267">
        <f>A708</f>
        <v>93284</v>
      </c>
      <c r="G712" s="268">
        <f>SUM(G711)</f>
        <v>35.049999999999997</v>
      </c>
    </row>
    <row r="713" spans="1:7">
      <c r="A713" s="263"/>
      <c r="B713" s="264"/>
      <c r="C713" s="264"/>
      <c r="D713" s="264"/>
      <c r="E713" s="269"/>
      <c r="F713" s="269"/>
      <c r="G713" s="269"/>
    </row>
    <row r="714" spans="1:7" ht="31.5">
      <c r="A714" s="253">
        <v>93285</v>
      </c>
      <c r="B714" s="254" t="s">
        <v>1231</v>
      </c>
      <c r="C714" s="254"/>
      <c r="D714" s="254"/>
      <c r="E714" s="254"/>
      <c r="F714" s="254"/>
      <c r="G714" s="254"/>
    </row>
    <row r="715" spans="1:7" ht="21">
      <c r="A715" s="255" t="s">
        <v>268</v>
      </c>
      <c r="B715" s="256"/>
      <c r="C715" s="257" t="s">
        <v>4</v>
      </c>
      <c r="D715" s="257" t="s">
        <v>243</v>
      </c>
      <c r="E715" s="257" t="s">
        <v>244</v>
      </c>
      <c r="F715" s="257" t="s">
        <v>245</v>
      </c>
      <c r="G715" s="257" t="s">
        <v>246</v>
      </c>
    </row>
    <row r="716" spans="1:7" ht="30">
      <c r="A716" s="258" t="s">
        <v>497</v>
      </c>
      <c r="B716" s="259" t="s">
        <v>498</v>
      </c>
      <c r="C716" s="260" t="s">
        <v>26</v>
      </c>
      <c r="D716" s="260" t="s">
        <v>14</v>
      </c>
      <c r="E716" s="328">
        <v>6.4300000000000004E-5</v>
      </c>
      <c r="F716" s="301">
        <v>2485831.6</v>
      </c>
      <c r="G716" s="262">
        <f>TRUNC(TRUNC(E716,8)*F716,2)</f>
        <v>159.83000000000001</v>
      </c>
    </row>
    <row r="717" spans="1:7">
      <c r="A717" s="263"/>
      <c r="B717" s="264"/>
      <c r="C717" s="264"/>
      <c r="D717" s="264"/>
      <c r="E717" s="265" t="s">
        <v>1300</v>
      </c>
      <c r="F717" s="265"/>
      <c r="G717" s="266">
        <f>SUM(G716:G716)</f>
        <v>159.83000000000001</v>
      </c>
    </row>
    <row r="718" spans="1:7">
      <c r="A718" s="263"/>
      <c r="B718" s="264"/>
      <c r="C718" s="264"/>
      <c r="D718" s="264"/>
      <c r="E718" s="267" t="s">
        <v>255</v>
      </c>
      <c r="F718" s="267">
        <f>A714</f>
        <v>93285</v>
      </c>
      <c r="G718" s="268">
        <f>SUM(G717)</f>
        <v>159.83000000000001</v>
      </c>
    </row>
    <row r="719" spans="1:7">
      <c r="A719" s="263"/>
      <c r="B719" s="264"/>
      <c r="C719" s="264"/>
      <c r="D719" s="264"/>
      <c r="E719" s="269"/>
      <c r="F719" s="269"/>
      <c r="G719" s="269"/>
    </row>
    <row r="720" spans="1:7" ht="31.5">
      <c r="A720" s="253">
        <v>93286</v>
      </c>
      <c r="B720" s="254" t="s">
        <v>1232</v>
      </c>
      <c r="C720" s="254"/>
      <c r="D720" s="254"/>
      <c r="E720" s="254"/>
      <c r="F720" s="254"/>
      <c r="G720" s="254"/>
    </row>
    <row r="721" spans="1:7" ht="21">
      <c r="A721" s="255" t="s">
        <v>584</v>
      </c>
      <c r="B721" s="256"/>
      <c r="C721" s="257" t="s">
        <v>4</v>
      </c>
      <c r="D721" s="257" t="s">
        <v>243</v>
      </c>
      <c r="E721" s="257" t="s">
        <v>244</v>
      </c>
      <c r="F721" s="257" t="s">
        <v>245</v>
      </c>
      <c r="G721" s="257" t="s">
        <v>246</v>
      </c>
    </row>
    <row r="722" spans="1:7">
      <c r="A722" s="258" t="s">
        <v>582</v>
      </c>
      <c r="B722" s="259" t="s">
        <v>583</v>
      </c>
      <c r="C722" s="260" t="s">
        <v>26</v>
      </c>
      <c r="D722" s="260" t="s">
        <v>585</v>
      </c>
      <c r="E722" s="262">
        <v>13</v>
      </c>
      <c r="F722" s="301">
        <v>0.75</v>
      </c>
      <c r="G722" s="262">
        <f>TRUNC(TRUNC(E722,8)*F722,2)</f>
        <v>9.75</v>
      </c>
    </row>
    <row r="723" spans="1:7" ht="21">
      <c r="A723" s="263"/>
      <c r="B723" s="264"/>
      <c r="C723" s="264"/>
      <c r="D723" s="264"/>
      <c r="E723" s="265" t="s">
        <v>1042</v>
      </c>
      <c r="F723" s="265"/>
      <c r="G723" s="266">
        <f>SUM(G722:G722)</f>
        <v>9.75</v>
      </c>
    </row>
    <row r="724" spans="1:7">
      <c r="A724" s="263"/>
      <c r="B724" s="264"/>
      <c r="C724" s="264"/>
      <c r="D724" s="264"/>
      <c r="E724" s="267" t="s">
        <v>255</v>
      </c>
      <c r="F724" s="267">
        <f>A720</f>
        <v>93286</v>
      </c>
      <c r="G724" s="268">
        <f>SUM(G723)</f>
        <v>9.75</v>
      </c>
    </row>
    <row r="725" spans="1:7">
      <c r="A725" s="263"/>
      <c r="B725" s="264"/>
      <c r="C725" s="264"/>
      <c r="D725" s="264"/>
      <c r="E725" s="269"/>
      <c r="F725" s="269"/>
      <c r="G725" s="269"/>
    </row>
    <row r="726" spans="1:7" ht="42">
      <c r="A726" s="253">
        <v>93402</v>
      </c>
      <c r="B726" s="254" t="s">
        <v>1233</v>
      </c>
      <c r="C726" s="254"/>
      <c r="D726" s="254"/>
      <c r="E726" s="254"/>
      <c r="F726" s="254"/>
      <c r="G726" s="254"/>
    </row>
    <row r="727" spans="1:7" ht="21">
      <c r="A727" s="255" t="s">
        <v>242</v>
      </c>
      <c r="B727" s="256"/>
      <c r="C727" s="257" t="s">
        <v>4</v>
      </c>
      <c r="D727" s="257" t="s">
        <v>243</v>
      </c>
      <c r="E727" s="257" t="s">
        <v>244</v>
      </c>
      <c r="F727" s="257" t="s">
        <v>245</v>
      </c>
      <c r="G727" s="257" t="s">
        <v>246</v>
      </c>
    </row>
    <row r="728" spans="1:7" ht="20">
      <c r="A728" s="258" t="s">
        <v>424</v>
      </c>
      <c r="B728" s="259" t="s">
        <v>425</v>
      </c>
      <c r="C728" s="260" t="s">
        <v>26</v>
      </c>
      <c r="D728" s="260" t="s">
        <v>265</v>
      </c>
      <c r="E728" s="262">
        <v>1</v>
      </c>
      <c r="F728" s="301">
        <v>27.96</v>
      </c>
      <c r="G728" s="262">
        <f>TRUNC(TRUNC(E728,8)*F728,2)</f>
        <v>27.96</v>
      </c>
    </row>
    <row r="729" spans="1:7">
      <c r="A729" s="263"/>
      <c r="B729" s="264"/>
      <c r="C729" s="264"/>
      <c r="D729" s="264"/>
      <c r="E729" s="265" t="s">
        <v>1299</v>
      </c>
      <c r="F729" s="265"/>
      <c r="G729" s="266">
        <f>SUM(G728:G728)</f>
        <v>27.96</v>
      </c>
    </row>
    <row r="730" spans="1:7" ht="21">
      <c r="A730" s="255" t="s">
        <v>250</v>
      </c>
      <c r="B730" s="256"/>
      <c r="C730" s="257" t="s">
        <v>4</v>
      </c>
      <c r="D730" s="257" t="s">
        <v>243</v>
      </c>
      <c r="E730" s="257" t="s">
        <v>244</v>
      </c>
      <c r="F730" s="257" t="s">
        <v>245</v>
      </c>
      <c r="G730" s="257" t="s">
        <v>246</v>
      </c>
    </row>
    <row r="731" spans="1:7" ht="40">
      <c r="A731" s="258" t="s">
        <v>1055</v>
      </c>
      <c r="B731" s="259" t="s">
        <v>1056</v>
      </c>
      <c r="C731" s="260" t="s">
        <v>26</v>
      </c>
      <c r="D731" s="260" t="s">
        <v>265</v>
      </c>
      <c r="E731" s="262">
        <v>1</v>
      </c>
      <c r="F731" s="301">
        <v>25.43</v>
      </c>
      <c r="G731" s="262">
        <f>TRUNC(TRUNC(E731,8)*F731,2)</f>
        <v>25.43</v>
      </c>
    </row>
    <row r="732" spans="1:7" ht="40">
      <c r="A732" s="258" t="s">
        <v>1057</v>
      </c>
      <c r="B732" s="259" t="s">
        <v>1058</v>
      </c>
      <c r="C732" s="260" t="s">
        <v>26</v>
      </c>
      <c r="D732" s="260" t="s">
        <v>265</v>
      </c>
      <c r="E732" s="262">
        <v>1</v>
      </c>
      <c r="F732" s="301">
        <v>3.88</v>
      </c>
      <c r="G732" s="262">
        <f>TRUNC(TRUNC(E732,8)*F732,2)</f>
        <v>3.88</v>
      </c>
    </row>
    <row r="733" spans="1:7" ht="40">
      <c r="A733" s="258" t="s">
        <v>1059</v>
      </c>
      <c r="B733" s="259" t="s">
        <v>1060</v>
      </c>
      <c r="C733" s="260" t="s">
        <v>26</v>
      </c>
      <c r="D733" s="260" t="s">
        <v>265</v>
      </c>
      <c r="E733" s="262">
        <v>1</v>
      </c>
      <c r="F733" s="301">
        <v>9.6</v>
      </c>
      <c r="G733" s="262">
        <f>TRUNC(TRUNC(E733,8)*F733,2)</f>
        <v>9.6</v>
      </c>
    </row>
    <row r="734" spans="1:7" ht="40">
      <c r="A734" s="258" t="s">
        <v>1061</v>
      </c>
      <c r="B734" s="259" t="s">
        <v>1062</v>
      </c>
      <c r="C734" s="260" t="s">
        <v>26</v>
      </c>
      <c r="D734" s="260" t="s">
        <v>265</v>
      </c>
      <c r="E734" s="262">
        <v>1</v>
      </c>
      <c r="F734" s="301">
        <v>44.18</v>
      </c>
      <c r="G734" s="262">
        <f>TRUNC(TRUNC(E734,8)*F734,2)</f>
        <v>44.18</v>
      </c>
    </row>
    <row r="735" spans="1:7" ht="40">
      <c r="A735" s="258" t="s">
        <v>1063</v>
      </c>
      <c r="B735" s="259" t="s">
        <v>1064</v>
      </c>
      <c r="C735" s="260" t="s">
        <v>26</v>
      </c>
      <c r="D735" s="260" t="s">
        <v>265</v>
      </c>
      <c r="E735" s="262">
        <v>1</v>
      </c>
      <c r="F735" s="301">
        <v>166.24</v>
      </c>
      <c r="G735" s="262">
        <f>TRUNC(TRUNC(E735,8)*F735,2)</f>
        <v>166.24</v>
      </c>
    </row>
    <row r="736" spans="1:7">
      <c r="A736" s="263"/>
      <c r="B736" s="264"/>
      <c r="C736" s="264"/>
      <c r="D736" s="264"/>
      <c r="E736" s="265" t="s">
        <v>1301</v>
      </c>
      <c r="F736" s="265"/>
      <c r="G736" s="266">
        <f>SUM(G731:G735)</f>
        <v>249.33</v>
      </c>
    </row>
    <row r="737" spans="1:7">
      <c r="A737" s="263"/>
      <c r="B737" s="264"/>
      <c r="C737" s="264"/>
      <c r="D737" s="264"/>
      <c r="E737" s="267" t="s">
        <v>255</v>
      </c>
      <c r="F737" s="267">
        <f>A726</f>
        <v>93402</v>
      </c>
      <c r="G737" s="268">
        <f>SUM(G729,G736)</f>
        <v>277.29000000000002</v>
      </c>
    </row>
    <row r="738" spans="1:7">
      <c r="A738" s="263"/>
      <c r="B738" s="264"/>
      <c r="C738" s="264"/>
      <c r="D738" s="264"/>
      <c r="E738" s="269"/>
      <c r="F738" s="269"/>
      <c r="G738" s="269"/>
    </row>
    <row r="739" spans="1:7" ht="42">
      <c r="A739" s="253">
        <v>93397</v>
      </c>
      <c r="B739" s="254" t="s">
        <v>1234</v>
      </c>
      <c r="C739" s="254"/>
      <c r="D739" s="254"/>
      <c r="E739" s="254"/>
      <c r="F739" s="254"/>
      <c r="G739" s="254"/>
    </row>
    <row r="740" spans="1:7" ht="21">
      <c r="A740" s="255" t="s">
        <v>268</v>
      </c>
      <c r="B740" s="256"/>
      <c r="C740" s="257" t="s">
        <v>4</v>
      </c>
      <c r="D740" s="257" t="s">
        <v>243</v>
      </c>
      <c r="E740" s="257" t="s">
        <v>244</v>
      </c>
      <c r="F740" s="257" t="s">
        <v>245</v>
      </c>
      <c r="G740" s="257" t="s">
        <v>246</v>
      </c>
    </row>
    <row r="741" spans="1:7" ht="30">
      <c r="A741" s="258" t="s">
        <v>524</v>
      </c>
      <c r="B741" s="259" t="s">
        <v>525</v>
      </c>
      <c r="C741" s="260" t="s">
        <v>26</v>
      </c>
      <c r="D741" s="260" t="s">
        <v>14</v>
      </c>
      <c r="E741" s="328">
        <v>3.43E-5</v>
      </c>
      <c r="F741" s="301">
        <v>578010.79</v>
      </c>
      <c r="G741" s="262">
        <f>TRUNC(TRUNC(E741,8)*F741,2)</f>
        <v>19.82</v>
      </c>
    </row>
    <row r="742" spans="1:7" ht="40">
      <c r="A742" s="258" t="s">
        <v>503</v>
      </c>
      <c r="B742" s="259" t="s">
        <v>504</v>
      </c>
      <c r="C742" s="260" t="s">
        <v>26</v>
      </c>
      <c r="D742" s="260" t="s">
        <v>14</v>
      </c>
      <c r="E742" s="328">
        <v>5.5099999999999998E-5</v>
      </c>
      <c r="F742" s="301">
        <v>101983.98</v>
      </c>
      <c r="G742" s="262">
        <f>TRUNC(TRUNC(E742,8)*F742,2)</f>
        <v>5.61</v>
      </c>
    </row>
    <row r="743" spans="1:7">
      <c r="A743" s="263"/>
      <c r="B743" s="264"/>
      <c r="C743" s="264"/>
      <c r="D743" s="264"/>
      <c r="E743" s="265" t="s">
        <v>1300</v>
      </c>
      <c r="F743" s="265"/>
      <c r="G743" s="266">
        <f>SUM(G741:G742)</f>
        <v>25.43</v>
      </c>
    </row>
    <row r="744" spans="1:7">
      <c r="A744" s="263"/>
      <c r="B744" s="264"/>
      <c r="C744" s="264"/>
      <c r="D744" s="264"/>
      <c r="E744" s="267" t="s">
        <v>255</v>
      </c>
      <c r="F744" s="267">
        <f>A739</f>
        <v>93397</v>
      </c>
      <c r="G744" s="268">
        <f>SUM(G743)</f>
        <v>25.43</v>
      </c>
    </row>
    <row r="745" spans="1:7">
      <c r="A745" s="263"/>
      <c r="B745" s="264"/>
      <c r="C745" s="264"/>
      <c r="D745" s="264"/>
      <c r="E745" s="269"/>
      <c r="F745" s="269"/>
      <c r="G745" s="269"/>
    </row>
    <row r="746" spans="1:7" ht="42">
      <c r="A746" s="253">
        <v>93399</v>
      </c>
      <c r="B746" s="254" t="s">
        <v>1235</v>
      </c>
      <c r="C746" s="254"/>
      <c r="D746" s="254"/>
      <c r="E746" s="254"/>
      <c r="F746" s="254"/>
      <c r="G746" s="254"/>
    </row>
    <row r="747" spans="1:7" ht="21">
      <c r="A747" s="255" t="s">
        <v>268</v>
      </c>
      <c r="B747" s="256"/>
      <c r="C747" s="257" t="s">
        <v>4</v>
      </c>
      <c r="D747" s="257" t="s">
        <v>243</v>
      </c>
      <c r="E747" s="257" t="s">
        <v>244</v>
      </c>
      <c r="F747" s="257" t="s">
        <v>245</v>
      </c>
      <c r="G747" s="257" t="s">
        <v>246</v>
      </c>
    </row>
    <row r="748" spans="1:7" ht="30">
      <c r="A748" s="258" t="s">
        <v>524</v>
      </c>
      <c r="B748" s="259" t="s">
        <v>525</v>
      </c>
      <c r="C748" s="260" t="s">
        <v>26</v>
      </c>
      <c r="D748" s="260" t="s">
        <v>14</v>
      </c>
      <c r="E748" s="328">
        <v>5.6999999999999996E-6</v>
      </c>
      <c r="F748" s="301">
        <v>578010.79</v>
      </c>
      <c r="G748" s="262">
        <f>TRUNC(TRUNC(E748,8)*F748,2)</f>
        <v>3.29</v>
      </c>
    </row>
    <row r="749" spans="1:7" ht="40">
      <c r="A749" s="258" t="s">
        <v>503</v>
      </c>
      <c r="B749" s="259" t="s">
        <v>504</v>
      </c>
      <c r="C749" s="260" t="s">
        <v>26</v>
      </c>
      <c r="D749" s="260" t="s">
        <v>14</v>
      </c>
      <c r="E749" s="328">
        <v>5.8000000000000004E-6</v>
      </c>
      <c r="F749" s="301">
        <v>101983.98</v>
      </c>
      <c r="G749" s="262">
        <f>TRUNC(TRUNC(E749,8)*F749,2)</f>
        <v>0.59</v>
      </c>
    </row>
    <row r="750" spans="1:7">
      <c r="A750" s="263"/>
      <c r="B750" s="264"/>
      <c r="C750" s="264"/>
      <c r="D750" s="264"/>
      <c r="E750" s="265" t="s">
        <v>1300</v>
      </c>
      <c r="F750" s="265"/>
      <c r="G750" s="266">
        <f>SUM(G748:G749)</f>
        <v>3.88</v>
      </c>
    </row>
    <row r="751" spans="1:7">
      <c r="A751" s="263"/>
      <c r="B751" s="264"/>
      <c r="C751" s="264"/>
      <c r="D751" s="264"/>
      <c r="E751" s="267" t="s">
        <v>255</v>
      </c>
      <c r="F751" s="267">
        <f>A746</f>
        <v>93399</v>
      </c>
      <c r="G751" s="268">
        <f>SUM(G750)</f>
        <v>3.88</v>
      </c>
    </row>
    <row r="752" spans="1:7">
      <c r="A752" s="263"/>
      <c r="B752" s="264"/>
      <c r="C752" s="264"/>
      <c r="D752" s="264"/>
      <c r="E752" s="269"/>
      <c r="F752" s="269"/>
      <c r="G752" s="269"/>
    </row>
    <row r="753" spans="1:7" ht="42">
      <c r="A753" s="253">
        <v>93398</v>
      </c>
      <c r="B753" s="254" t="s">
        <v>1236</v>
      </c>
      <c r="C753" s="254"/>
      <c r="D753" s="254"/>
      <c r="E753" s="254"/>
      <c r="F753" s="254"/>
      <c r="G753" s="254"/>
    </row>
    <row r="754" spans="1:7" ht="21">
      <c r="A754" s="255" t="s">
        <v>268</v>
      </c>
      <c r="B754" s="256"/>
      <c r="C754" s="257" t="s">
        <v>4</v>
      </c>
      <c r="D754" s="257" t="s">
        <v>243</v>
      </c>
      <c r="E754" s="257" t="s">
        <v>244</v>
      </c>
      <c r="F754" s="257" t="s">
        <v>245</v>
      </c>
      <c r="G754" s="257" t="s">
        <v>246</v>
      </c>
    </row>
    <row r="755" spans="1:7" ht="30">
      <c r="A755" s="258" t="s">
        <v>524</v>
      </c>
      <c r="B755" s="259" t="s">
        <v>525</v>
      </c>
      <c r="C755" s="260" t="s">
        <v>26</v>
      </c>
      <c r="D755" s="260" t="s">
        <v>14</v>
      </c>
      <c r="E755" s="328">
        <v>1.4100000000000001E-5</v>
      </c>
      <c r="F755" s="301">
        <v>578010.79</v>
      </c>
      <c r="G755" s="262">
        <f>TRUNC(TRUNC(E755,8)*F755,2)</f>
        <v>8.14</v>
      </c>
    </row>
    <row r="756" spans="1:7" ht="40">
      <c r="A756" s="258" t="s">
        <v>503</v>
      </c>
      <c r="B756" s="259" t="s">
        <v>504</v>
      </c>
      <c r="C756" s="260" t="s">
        <v>26</v>
      </c>
      <c r="D756" s="260" t="s">
        <v>14</v>
      </c>
      <c r="E756" s="328">
        <v>1.4399999999999999E-5</v>
      </c>
      <c r="F756" s="301">
        <v>101983.98</v>
      </c>
      <c r="G756" s="262">
        <f>TRUNC(TRUNC(E756,8)*F756,2)</f>
        <v>1.46</v>
      </c>
    </row>
    <row r="757" spans="1:7">
      <c r="A757" s="263"/>
      <c r="B757" s="264"/>
      <c r="C757" s="264"/>
      <c r="D757" s="264"/>
      <c r="E757" s="265" t="s">
        <v>1300</v>
      </c>
      <c r="F757" s="265"/>
      <c r="G757" s="266">
        <f>SUM(G755:G756)</f>
        <v>9.6000000000000014</v>
      </c>
    </row>
    <row r="758" spans="1:7">
      <c r="A758" s="263"/>
      <c r="B758" s="264"/>
      <c r="C758" s="264"/>
      <c r="D758" s="264"/>
      <c r="E758" s="267" t="s">
        <v>255</v>
      </c>
      <c r="F758" s="267">
        <f>A753</f>
        <v>93398</v>
      </c>
      <c r="G758" s="268">
        <f>SUM(G757)</f>
        <v>9.6000000000000014</v>
      </c>
    </row>
    <row r="759" spans="1:7">
      <c r="A759" s="263"/>
      <c r="B759" s="264"/>
      <c r="C759" s="264"/>
      <c r="D759" s="264"/>
      <c r="E759" s="269"/>
      <c r="F759" s="269"/>
      <c r="G759" s="269"/>
    </row>
    <row r="760" spans="1:7" ht="42">
      <c r="A760" s="253">
        <v>93400</v>
      </c>
      <c r="B760" s="254" t="s">
        <v>1237</v>
      </c>
      <c r="C760" s="254"/>
      <c r="D760" s="254"/>
      <c r="E760" s="254"/>
      <c r="F760" s="254"/>
      <c r="G760" s="254"/>
    </row>
    <row r="761" spans="1:7" ht="21">
      <c r="A761" s="255" t="s">
        <v>268</v>
      </c>
      <c r="B761" s="256"/>
      <c r="C761" s="257" t="s">
        <v>4</v>
      </c>
      <c r="D761" s="257" t="s">
        <v>243</v>
      </c>
      <c r="E761" s="257" t="s">
        <v>244</v>
      </c>
      <c r="F761" s="257" t="s">
        <v>245</v>
      </c>
      <c r="G761" s="257" t="s">
        <v>246</v>
      </c>
    </row>
    <row r="762" spans="1:7" ht="30">
      <c r="A762" s="258" t="s">
        <v>524</v>
      </c>
      <c r="B762" s="259" t="s">
        <v>525</v>
      </c>
      <c r="C762" s="260" t="s">
        <v>26</v>
      </c>
      <c r="D762" s="260" t="s">
        <v>14</v>
      </c>
      <c r="E762" s="328">
        <v>6.4300000000000004E-5</v>
      </c>
      <c r="F762" s="301">
        <v>578010.79</v>
      </c>
      <c r="G762" s="262">
        <f>TRUNC(TRUNC(E762,8)*F762,2)</f>
        <v>37.159999999999997</v>
      </c>
    </row>
    <row r="763" spans="1:7" ht="40">
      <c r="A763" s="258" t="s">
        <v>503</v>
      </c>
      <c r="B763" s="259" t="s">
        <v>504</v>
      </c>
      <c r="C763" s="260" t="s">
        <v>26</v>
      </c>
      <c r="D763" s="260" t="s">
        <v>14</v>
      </c>
      <c r="E763" s="328">
        <v>6.8899999999999994E-5</v>
      </c>
      <c r="F763" s="301">
        <v>101983.98</v>
      </c>
      <c r="G763" s="262">
        <f>TRUNC(TRUNC(E763,8)*F763,2)</f>
        <v>7.02</v>
      </c>
    </row>
    <row r="764" spans="1:7">
      <c r="A764" s="263"/>
      <c r="B764" s="264"/>
      <c r="C764" s="264"/>
      <c r="D764" s="264"/>
      <c r="E764" s="265" t="s">
        <v>1300</v>
      </c>
      <c r="F764" s="265"/>
      <c r="G764" s="266">
        <f>SUM(G762:G763)</f>
        <v>44.179999999999993</v>
      </c>
    </row>
    <row r="765" spans="1:7">
      <c r="A765" s="263"/>
      <c r="B765" s="264"/>
      <c r="C765" s="264"/>
      <c r="D765" s="264"/>
      <c r="E765" s="267" t="s">
        <v>255</v>
      </c>
      <c r="F765" s="267">
        <f>A760</f>
        <v>93400</v>
      </c>
      <c r="G765" s="268">
        <f>SUM(G764)</f>
        <v>44.179999999999993</v>
      </c>
    </row>
    <row r="766" spans="1:7">
      <c r="A766" s="263"/>
      <c r="B766" s="264"/>
      <c r="C766" s="264"/>
      <c r="D766" s="264"/>
      <c r="E766" s="269"/>
      <c r="F766" s="269"/>
      <c r="G766" s="269"/>
    </row>
    <row r="767" spans="1:7" ht="42">
      <c r="A767" s="253">
        <v>93401</v>
      </c>
      <c r="B767" s="254" t="s">
        <v>1238</v>
      </c>
      <c r="C767" s="254"/>
      <c r="D767" s="254"/>
      <c r="E767" s="254"/>
      <c r="F767" s="254"/>
      <c r="G767" s="254"/>
    </row>
    <row r="768" spans="1:7" ht="21">
      <c r="A768" s="255" t="s">
        <v>256</v>
      </c>
      <c r="B768" s="256"/>
      <c r="C768" s="257" t="s">
        <v>4</v>
      </c>
      <c r="D768" s="257" t="s">
        <v>243</v>
      </c>
      <c r="E768" s="257" t="s">
        <v>244</v>
      </c>
      <c r="F768" s="257" t="s">
        <v>245</v>
      </c>
      <c r="G768" s="257" t="s">
        <v>246</v>
      </c>
    </row>
    <row r="769" spans="1:7">
      <c r="A769" s="258" t="s">
        <v>458</v>
      </c>
      <c r="B769" s="259" t="s">
        <v>459</v>
      </c>
      <c r="C769" s="260" t="s">
        <v>26</v>
      </c>
      <c r="D769" s="260" t="s">
        <v>335</v>
      </c>
      <c r="E769" s="262">
        <v>26.43</v>
      </c>
      <c r="F769" s="301">
        <v>6.29</v>
      </c>
      <c r="G769" s="262">
        <f>TRUNC(TRUNC(E769,8)*F769,2)</f>
        <v>166.24</v>
      </c>
    </row>
    <row r="770" spans="1:7" ht="21">
      <c r="A770" s="263"/>
      <c r="B770" s="264"/>
      <c r="C770" s="264"/>
      <c r="D770" s="264"/>
      <c r="E770" s="265" t="s">
        <v>259</v>
      </c>
      <c r="F770" s="265"/>
      <c r="G770" s="266">
        <f>SUM(G769:G769)</f>
        <v>166.24</v>
      </c>
    </row>
    <row r="771" spans="1:7">
      <c r="A771" s="263"/>
      <c r="B771" s="264"/>
      <c r="C771" s="264"/>
      <c r="D771" s="264"/>
      <c r="E771" s="267" t="s">
        <v>255</v>
      </c>
      <c r="F771" s="267">
        <f>A767</f>
        <v>93401</v>
      </c>
      <c r="G771" s="268">
        <f>SUM(G770)</f>
        <v>166.24</v>
      </c>
    </row>
    <row r="772" spans="1:7">
      <c r="A772" s="263"/>
      <c r="B772" s="264"/>
      <c r="C772" s="264"/>
      <c r="D772" s="264"/>
      <c r="E772" s="269"/>
      <c r="F772" s="269"/>
      <c r="G772" s="269"/>
    </row>
    <row r="773" spans="1:7" ht="42">
      <c r="A773" s="253">
        <v>5930</v>
      </c>
      <c r="B773" s="254" t="s">
        <v>1239</v>
      </c>
      <c r="C773" s="254"/>
      <c r="D773" s="254"/>
      <c r="E773" s="254"/>
      <c r="F773" s="254"/>
      <c r="G773" s="254"/>
    </row>
    <row r="774" spans="1:7" ht="21">
      <c r="A774" s="255" t="s">
        <v>242</v>
      </c>
      <c r="B774" s="256"/>
      <c r="C774" s="257" t="s">
        <v>4</v>
      </c>
      <c r="D774" s="257" t="s">
        <v>243</v>
      </c>
      <c r="E774" s="257" t="s">
        <v>244</v>
      </c>
      <c r="F774" s="257" t="s">
        <v>245</v>
      </c>
      <c r="G774" s="257" t="s">
        <v>246</v>
      </c>
    </row>
    <row r="775" spans="1:7" ht="20">
      <c r="A775" s="258" t="s">
        <v>424</v>
      </c>
      <c r="B775" s="259" t="s">
        <v>425</v>
      </c>
      <c r="C775" s="260" t="s">
        <v>26</v>
      </c>
      <c r="D775" s="260" t="s">
        <v>265</v>
      </c>
      <c r="E775" s="262">
        <v>1</v>
      </c>
      <c r="F775" s="301">
        <v>27.96</v>
      </c>
      <c r="G775" s="262">
        <f>TRUNC(TRUNC(E775,8)*F775,2)</f>
        <v>27.96</v>
      </c>
    </row>
    <row r="776" spans="1:7">
      <c r="A776" s="263"/>
      <c r="B776" s="264"/>
      <c r="C776" s="264"/>
      <c r="D776" s="264"/>
      <c r="E776" s="265" t="s">
        <v>1299</v>
      </c>
      <c r="F776" s="265"/>
      <c r="G776" s="266">
        <f>SUM(G775:G775)</f>
        <v>27.96</v>
      </c>
    </row>
    <row r="777" spans="1:7" ht="21">
      <c r="A777" s="255" t="s">
        <v>250</v>
      </c>
      <c r="B777" s="256"/>
      <c r="C777" s="257" t="s">
        <v>4</v>
      </c>
      <c r="D777" s="257" t="s">
        <v>243</v>
      </c>
      <c r="E777" s="257" t="s">
        <v>244</v>
      </c>
      <c r="F777" s="257" t="s">
        <v>245</v>
      </c>
      <c r="G777" s="257" t="s">
        <v>246</v>
      </c>
    </row>
    <row r="778" spans="1:7" ht="40">
      <c r="A778" s="258" t="s">
        <v>1065</v>
      </c>
      <c r="B778" s="259" t="s">
        <v>1066</v>
      </c>
      <c r="C778" s="260" t="s">
        <v>26</v>
      </c>
      <c r="D778" s="260" t="s">
        <v>265</v>
      </c>
      <c r="E778" s="262">
        <v>1</v>
      </c>
      <c r="F778" s="301">
        <v>27.72</v>
      </c>
      <c r="G778" s="262">
        <f>TRUNC(TRUNC(E778,8)*F778,2)</f>
        <v>27.72</v>
      </c>
    </row>
    <row r="779" spans="1:7" ht="40">
      <c r="A779" s="258" t="s">
        <v>1067</v>
      </c>
      <c r="B779" s="259" t="s">
        <v>1068</v>
      </c>
      <c r="C779" s="260" t="s">
        <v>26</v>
      </c>
      <c r="D779" s="260" t="s">
        <v>265</v>
      </c>
      <c r="E779" s="262">
        <v>1</v>
      </c>
      <c r="F779" s="301">
        <v>4.12</v>
      </c>
      <c r="G779" s="262">
        <f>TRUNC(TRUNC(E779,8)*F779,2)</f>
        <v>4.12</v>
      </c>
    </row>
    <row r="780" spans="1:7" ht="40">
      <c r="A780" s="258" t="s">
        <v>1069</v>
      </c>
      <c r="B780" s="259" t="s">
        <v>1070</v>
      </c>
      <c r="C780" s="260" t="s">
        <v>26</v>
      </c>
      <c r="D780" s="260" t="s">
        <v>265</v>
      </c>
      <c r="E780" s="262">
        <v>1</v>
      </c>
      <c r="F780" s="301">
        <v>10.199999999999999</v>
      </c>
      <c r="G780" s="262">
        <f>TRUNC(TRUNC(E780,8)*F780,2)</f>
        <v>10.199999999999999</v>
      </c>
    </row>
    <row r="781" spans="1:7">
      <c r="A781" s="263"/>
      <c r="B781" s="264"/>
      <c r="C781" s="264"/>
      <c r="D781" s="264"/>
      <c r="E781" s="265" t="s">
        <v>1301</v>
      </c>
      <c r="F781" s="265"/>
      <c r="G781" s="266">
        <f>SUM(G778:G780)</f>
        <v>42.04</v>
      </c>
    </row>
    <row r="782" spans="1:7">
      <c r="A782" s="263"/>
      <c r="B782" s="264"/>
      <c r="C782" s="264"/>
      <c r="D782" s="264"/>
      <c r="E782" s="267" t="s">
        <v>255</v>
      </c>
      <c r="F782" s="267">
        <f>A773</f>
        <v>5930</v>
      </c>
      <c r="G782" s="268">
        <f>SUM(G776,G781)</f>
        <v>70</v>
      </c>
    </row>
    <row r="783" spans="1:7">
      <c r="A783" s="263"/>
      <c r="B783" s="264"/>
      <c r="C783" s="264"/>
      <c r="D783" s="264"/>
      <c r="E783" s="269"/>
      <c r="F783" s="269"/>
      <c r="G783" s="269"/>
    </row>
    <row r="784" spans="1:7" ht="42">
      <c r="A784" s="253">
        <v>5928</v>
      </c>
      <c r="B784" s="254" t="s">
        <v>1240</v>
      </c>
      <c r="C784" s="254"/>
      <c r="D784" s="254"/>
      <c r="E784" s="254"/>
      <c r="F784" s="254"/>
      <c r="G784" s="254"/>
    </row>
    <row r="785" spans="1:7" ht="21">
      <c r="A785" s="255" t="s">
        <v>242</v>
      </c>
      <c r="B785" s="256"/>
      <c r="C785" s="257" t="s">
        <v>4</v>
      </c>
      <c r="D785" s="257" t="s">
        <v>243</v>
      </c>
      <c r="E785" s="257" t="s">
        <v>244</v>
      </c>
      <c r="F785" s="257" t="s">
        <v>245</v>
      </c>
      <c r="G785" s="257" t="s">
        <v>246</v>
      </c>
    </row>
    <row r="786" spans="1:7" ht="20">
      <c r="A786" s="258" t="s">
        <v>424</v>
      </c>
      <c r="B786" s="259" t="s">
        <v>425</v>
      </c>
      <c r="C786" s="260" t="s">
        <v>26</v>
      </c>
      <c r="D786" s="260" t="s">
        <v>265</v>
      </c>
      <c r="E786" s="262">
        <v>1</v>
      </c>
      <c r="F786" s="301">
        <v>27.96</v>
      </c>
      <c r="G786" s="262">
        <f>TRUNC(TRUNC(E786,8)*F786,2)</f>
        <v>27.96</v>
      </c>
    </row>
    <row r="787" spans="1:7">
      <c r="A787" s="263"/>
      <c r="B787" s="264"/>
      <c r="C787" s="264"/>
      <c r="D787" s="264"/>
      <c r="E787" s="265" t="s">
        <v>1299</v>
      </c>
      <c r="F787" s="265"/>
      <c r="G787" s="266">
        <f>SUM(G786:G786)</f>
        <v>27.96</v>
      </c>
    </row>
    <row r="788" spans="1:7" ht="21">
      <c r="A788" s="255" t="s">
        <v>250</v>
      </c>
      <c r="B788" s="256"/>
      <c r="C788" s="257" t="s">
        <v>4</v>
      </c>
      <c r="D788" s="257" t="s">
        <v>243</v>
      </c>
      <c r="E788" s="257" t="s">
        <v>244</v>
      </c>
      <c r="F788" s="257" t="s">
        <v>245</v>
      </c>
      <c r="G788" s="257" t="s">
        <v>246</v>
      </c>
    </row>
    <row r="789" spans="1:7" ht="40">
      <c r="A789" s="258" t="s">
        <v>1065</v>
      </c>
      <c r="B789" s="259" t="s">
        <v>1066</v>
      </c>
      <c r="C789" s="260" t="s">
        <v>26</v>
      </c>
      <c r="D789" s="260" t="s">
        <v>265</v>
      </c>
      <c r="E789" s="262">
        <v>1</v>
      </c>
      <c r="F789" s="301">
        <v>27.72</v>
      </c>
      <c r="G789" s="262">
        <f>TRUNC(TRUNC(E789,8)*F789,2)</f>
        <v>27.72</v>
      </c>
    </row>
    <row r="790" spans="1:7" ht="40">
      <c r="A790" s="258" t="s">
        <v>1067</v>
      </c>
      <c r="B790" s="259" t="s">
        <v>1068</v>
      </c>
      <c r="C790" s="260" t="s">
        <v>26</v>
      </c>
      <c r="D790" s="260" t="s">
        <v>265</v>
      </c>
      <c r="E790" s="262">
        <v>1</v>
      </c>
      <c r="F790" s="301">
        <v>4.12</v>
      </c>
      <c r="G790" s="262">
        <f>TRUNC(TRUNC(E790,8)*F790,2)</f>
        <v>4.12</v>
      </c>
    </row>
    <row r="791" spans="1:7" ht="40">
      <c r="A791" s="258" t="s">
        <v>1069</v>
      </c>
      <c r="B791" s="259" t="s">
        <v>1070</v>
      </c>
      <c r="C791" s="260" t="s">
        <v>26</v>
      </c>
      <c r="D791" s="260" t="s">
        <v>265</v>
      </c>
      <c r="E791" s="262">
        <v>1</v>
      </c>
      <c r="F791" s="301">
        <v>10.199999999999999</v>
      </c>
      <c r="G791" s="262">
        <f>TRUNC(TRUNC(E791,8)*F791,2)</f>
        <v>10.199999999999999</v>
      </c>
    </row>
    <row r="792" spans="1:7" ht="40">
      <c r="A792" s="258" t="s">
        <v>1071</v>
      </c>
      <c r="B792" s="259" t="s">
        <v>1072</v>
      </c>
      <c r="C792" s="260" t="s">
        <v>26</v>
      </c>
      <c r="D792" s="260" t="s">
        <v>265</v>
      </c>
      <c r="E792" s="262">
        <v>1</v>
      </c>
      <c r="F792" s="301">
        <v>47.04</v>
      </c>
      <c r="G792" s="262">
        <f>TRUNC(TRUNC(E792,8)*F792,2)</f>
        <v>47.04</v>
      </c>
    </row>
    <row r="793" spans="1:7" ht="40">
      <c r="A793" s="258" t="s">
        <v>1073</v>
      </c>
      <c r="B793" s="259" t="s">
        <v>1074</v>
      </c>
      <c r="C793" s="260" t="s">
        <v>26</v>
      </c>
      <c r="D793" s="260" t="s">
        <v>265</v>
      </c>
      <c r="E793" s="262">
        <v>1</v>
      </c>
      <c r="F793" s="301">
        <v>166.24</v>
      </c>
      <c r="G793" s="262">
        <f>TRUNC(TRUNC(E793,8)*F793,2)</f>
        <v>166.24</v>
      </c>
    </row>
    <row r="794" spans="1:7">
      <c r="A794" s="263"/>
      <c r="B794" s="264"/>
      <c r="C794" s="264"/>
      <c r="D794" s="264"/>
      <c r="E794" s="265" t="s">
        <v>1301</v>
      </c>
      <c r="F794" s="265"/>
      <c r="G794" s="266">
        <f>SUM(G789:G793)</f>
        <v>255.32</v>
      </c>
    </row>
    <row r="795" spans="1:7">
      <c r="A795" s="263"/>
      <c r="B795" s="264"/>
      <c r="C795" s="264"/>
      <c r="D795" s="264"/>
      <c r="E795" s="267" t="s">
        <v>255</v>
      </c>
      <c r="F795" s="267">
        <f>A784</f>
        <v>5928</v>
      </c>
      <c r="G795" s="268">
        <f>SUM(G787,G794)</f>
        <v>283.27999999999997</v>
      </c>
    </row>
    <row r="796" spans="1:7">
      <c r="A796" s="263"/>
      <c r="B796" s="264"/>
      <c r="C796" s="264"/>
      <c r="D796" s="264"/>
      <c r="E796" s="269"/>
      <c r="F796" s="269"/>
      <c r="G796" s="269"/>
    </row>
    <row r="797" spans="1:7" ht="42">
      <c r="A797" s="253">
        <v>89259</v>
      </c>
      <c r="B797" s="254" t="s">
        <v>1241</v>
      </c>
      <c r="C797" s="254"/>
      <c r="D797" s="254"/>
      <c r="E797" s="254"/>
      <c r="F797" s="254"/>
      <c r="G797" s="254"/>
    </row>
    <row r="798" spans="1:7" ht="21">
      <c r="A798" s="255" t="s">
        <v>268</v>
      </c>
      <c r="B798" s="256"/>
      <c r="C798" s="257" t="s">
        <v>4</v>
      </c>
      <c r="D798" s="257" t="s">
        <v>243</v>
      </c>
      <c r="E798" s="257" t="s">
        <v>244</v>
      </c>
      <c r="F798" s="257" t="s">
        <v>245</v>
      </c>
      <c r="G798" s="257" t="s">
        <v>246</v>
      </c>
    </row>
    <row r="799" spans="1:7" ht="30">
      <c r="A799" s="258" t="s">
        <v>524</v>
      </c>
      <c r="B799" s="259" t="s">
        <v>525</v>
      </c>
      <c r="C799" s="260" t="s">
        <v>26</v>
      </c>
      <c r="D799" s="260" t="s">
        <v>14</v>
      </c>
      <c r="E799" s="328">
        <v>3.43E-5</v>
      </c>
      <c r="F799" s="301">
        <v>578010.79</v>
      </c>
      <c r="G799" s="262">
        <f>TRUNC(TRUNC(E799,8)*F799,2)</f>
        <v>19.82</v>
      </c>
    </row>
    <row r="800" spans="1:7" ht="40">
      <c r="A800" s="258" t="s">
        <v>572</v>
      </c>
      <c r="B800" s="259" t="s">
        <v>573</v>
      </c>
      <c r="C800" s="260" t="s">
        <v>26</v>
      </c>
      <c r="D800" s="260" t="s">
        <v>14</v>
      </c>
      <c r="E800" s="328">
        <v>5.5099999999999998E-5</v>
      </c>
      <c r="F800" s="301">
        <v>143450</v>
      </c>
      <c r="G800" s="262">
        <f>TRUNC(TRUNC(E800,8)*F800,2)</f>
        <v>7.9</v>
      </c>
    </row>
    <row r="801" spans="1:7">
      <c r="A801" s="263"/>
      <c r="B801" s="264"/>
      <c r="C801" s="264"/>
      <c r="D801" s="264"/>
      <c r="E801" s="265" t="s">
        <v>1300</v>
      </c>
      <c r="F801" s="265"/>
      <c r="G801" s="266">
        <f>SUM(G799:G800)</f>
        <v>27.72</v>
      </c>
    </row>
    <row r="802" spans="1:7">
      <c r="A802" s="263"/>
      <c r="B802" s="264"/>
      <c r="C802" s="264"/>
      <c r="D802" s="264"/>
      <c r="E802" s="267" t="s">
        <v>255</v>
      </c>
      <c r="F802" s="267">
        <f>A797</f>
        <v>89259</v>
      </c>
      <c r="G802" s="268">
        <f>SUM(G801)</f>
        <v>27.72</v>
      </c>
    </row>
    <row r="803" spans="1:7">
      <c r="A803" s="263"/>
      <c r="B803" s="264"/>
      <c r="C803" s="264"/>
      <c r="D803" s="264"/>
      <c r="E803" s="269"/>
      <c r="F803" s="269"/>
      <c r="G803" s="269"/>
    </row>
    <row r="804" spans="1:7" ht="42">
      <c r="A804" s="253">
        <v>91466</v>
      </c>
      <c r="B804" s="254" t="s">
        <v>1242</v>
      </c>
      <c r="C804" s="254"/>
      <c r="D804" s="254"/>
      <c r="E804" s="254"/>
      <c r="F804" s="254"/>
      <c r="G804" s="254"/>
    </row>
    <row r="805" spans="1:7" ht="21">
      <c r="A805" s="255" t="s">
        <v>268</v>
      </c>
      <c r="B805" s="256"/>
      <c r="C805" s="257" t="s">
        <v>4</v>
      </c>
      <c r="D805" s="257" t="s">
        <v>243</v>
      </c>
      <c r="E805" s="257" t="s">
        <v>244</v>
      </c>
      <c r="F805" s="257" t="s">
        <v>245</v>
      </c>
      <c r="G805" s="257" t="s">
        <v>246</v>
      </c>
    </row>
    <row r="806" spans="1:7" ht="30">
      <c r="A806" s="258" t="s">
        <v>524</v>
      </c>
      <c r="B806" s="259" t="s">
        <v>525</v>
      </c>
      <c r="C806" s="260" t="s">
        <v>26</v>
      </c>
      <c r="D806" s="260" t="s">
        <v>14</v>
      </c>
      <c r="E806" s="261">
        <v>5.6999999999999996E-6</v>
      </c>
      <c r="F806" s="301">
        <v>578010.79</v>
      </c>
      <c r="G806" s="262">
        <f>TRUNC(TRUNC(E806,8)*F806,2)</f>
        <v>3.29</v>
      </c>
    </row>
    <row r="807" spans="1:7" ht="40">
      <c r="A807" s="258" t="s">
        <v>572</v>
      </c>
      <c r="B807" s="259" t="s">
        <v>573</v>
      </c>
      <c r="C807" s="260" t="s">
        <v>26</v>
      </c>
      <c r="D807" s="260" t="s">
        <v>14</v>
      </c>
      <c r="E807" s="261">
        <v>5.8000000000000004E-6</v>
      </c>
      <c r="F807" s="301">
        <v>143450</v>
      </c>
      <c r="G807" s="262">
        <f>TRUNC(TRUNC(E807,8)*F807,2)</f>
        <v>0.83</v>
      </c>
    </row>
    <row r="808" spans="1:7">
      <c r="A808" s="263"/>
      <c r="B808" s="264"/>
      <c r="C808" s="264"/>
      <c r="D808" s="264"/>
      <c r="E808" s="265" t="s">
        <v>1300</v>
      </c>
      <c r="F808" s="265"/>
      <c r="G808" s="266">
        <f>SUM(G806:G807)</f>
        <v>4.12</v>
      </c>
    </row>
    <row r="809" spans="1:7">
      <c r="A809" s="263"/>
      <c r="B809" s="264"/>
      <c r="C809" s="264"/>
      <c r="D809" s="264"/>
      <c r="E809" s="267" t="s">
        <v>255</v>
      </c>
      <c r="F809" s="267">
        <f>A804</f>
        <v>91466</v>
      </c>
      <c r="G809" s="268">
        <f>SUM(G808)</f>
        <v>4.12</v>
      </c>
    </row>
    <row r="810" spans="1:7">
      <c r="A810" s="263"/>
      <c r="B810" s="264"/>
      <c r="C810" s="264"/>
      <c r="D810" s="264"/>
      <c r="E810" s="269"/>
      <c r="F810" s="269"/>
      <c r="G810" s="269"/>
    </row>
    <row r="811" spans="1:7" ht="42">
      <c r="A811" s="253">
        <v>89260</v>
      </c>
      <c r="B811" s="254" t="s">
        <v>1243</v>
      </c>
      <c r="C811" s="254"/>
      <c r="D811" s="254"/>
      <c r="E811" s="254"/>
      <c r="F811" s="254"/>
      <c r="G811" s="254"/>
    </row>
    <row r="812" spans="1:7" ht="21">
      <c r="A812" s="255" t="s">
        <v>268</v>
      </c>
      <c r="B812" s="256"/>
      <c r="C812" s="257" t="s">
        <v>4</v>
      </c>
      <c r="D812" s="257" t="s">
        <v>243</v>
      </c>
      <c r="E812" s="257" t="s">
        <v>244</v>
      </c>
      <c r="F812" s="257" t="s">
        <v>245</v>
      </c>
      <c r="G812" s="257" t="s">
        <v>246</v>
      </c>
    </row>
    <row r="813" spans="1:7" ht="30">
      <c r="A813" s="258" t="s">
        <v>524</v>
      </c>
      <c r="B813" s="259" t="s">
        <v>525</v>
      </c>
      <c r="C813" s="260" t="s">
        <v>26</v>
      </c>
      <c r="D813" s="260" t="s">
        <v>14</v>
      </c>
      <c r="E813" s="328">
        <v>1.4100000000000001E-5</v>
      </c>
      <c r="F813" s="301">
        <v>578010.79</v>
      </c>
      <c r="G813" s="262">
        <f>TRUNC(TRUNC(E813,8)*F813,2)</f>
        <v>8.14</v>
      </c>
    </row>
    <row r="814" spans="1:7" ht="40">
      <c r="A814" s="258" t="s">
        <v>572</v>
      </c>
      <c r="B814" s="259" t="s">
        <v>573</v>
      </c>
      <c r="C814" s="260" t="s">
        <v>26</v>
      </c>
      <c r="D814" s="260" t="s">
        <v>14</v>
      </c>
      <c r="E814" s="328">
        <v>1.4399999999999999E-5</v>
      </c>
      <c r="F814" s="301">
        <v>143450</v>
      </c>
      <c r="G814" s="262">
        <f>TRUNC(TRUNC(E814,8)*F814,2)</f>
        <v>2.06</v>
      </c>
    </row>
    <row r="815" spans="1:7">
      <c r="A815" s="263"/>
      <c r="B815" s="264"/>
      <c r="C815" s="264"/>
      <c r="D815" s="264"/>
      <c r="E815" s="265" t="s">
        <v>1300</v>
      </c>
      <c r="F815" s="265"/>
      <c r="G815" s="266">
        <f>SUM(G813:G814)</f>
        <v>10.200000000000001</v>
      </c>
    </row>
    <row r="816" spans="1:7">
      <c r="A816" s="263"/>
      <c r="B816" s="264"/>
      <c r="C816" s="264"/>
      <c r="D816" s="264"/>
      <c r="E816" s="267" t="s">
        <v>255</v>
      </c>
      <c r="F816" s="267">
        <f>A811</f>
        <v>89260</v>
      </c>
      <c r="G816" s="268">
        <f>SUM(G815)</f>
        <v>10.200000000000001</v>
      </c>
    </row>
    <row r="817" spans="1:7">
      <c r="A817" s="263"/>
      <c r="B817" s="264"/>
      <c r="C817" s="264"/>
      <c r="D817" s="264"/>
      <c r="E817" s="269"/>
      <c r="F817" s="269"/>
      <c r="G817" s="269"/>
    </row>
    <row r="818" spans="1:7" ht="42">
      <c r="A818" s="253">
        <v>89262</v>
      </c>
      <c r="B818" s="254" t="s">
        <v>1244</v>
      </c>
      <c r="C818" s="254"/>
      <c r="D818" s="254"/>
      <c r="E818" s="254"/>
      <c r="F818" s="254"/>
      <c r="G818" s="254"/>
    </row>
    <row r="819" spans="1:7" ht="21">
      <c r="A819" s="255" t="s">
        <v>268</v>
      </c>
      <c r="B819" s="256"/>
      <c r="C819" s="257" t="s">
        <v>4</v>
      </c>
      <c r="D819" s="257" t="s">
        <v>243</v>
      </c>
      <c r="E819" s="257" t="s">
        <v>244</v>
      </c>
      <c r="F819" s="257" t="s">
        <v>245</v>
      </c>
      <c r="G819" s="257" t="s">
        <v>246</v>
      </c>
    </row>
    <row r="820" spans="1:7" ht="30">
      <c r="A820" s="258" t="s">
        <v>524</v>
      </c>
      <c r="B820" s="259" t="s">
        <v>525</v>
      </c>
      <c r="C820" s="260" t="s">
        <v>26</v>
      </c>
      <c r="D820" s="260" t="s">
        <v>14</v>
      </c>
      <c r="E820" s="328">
        <v>6.4300000000000004E-5</v>
      </c>
      <c r="F820" s="301">
        <v>578010.79</v>
      </c>
      <c r="G820" s="262">
        <f>TRUNC(TRUNC(E820,8)*F820,2)</f>
        <v>37.159999999999997</v>
      </c>
    </row>
    <row r="821" spans="1:7" ht="40">
      <c r="A821" s="258" t="s">
        <v>572</v>
      </c>
      <c r="B821" s="259" t="s">
        <v>573</v>
      </c>
      <c r="C821" s="260" t="s">
        <v>26</v>
      </c>
      <c r="D821" s="260" t="s">
        <v>14</v>
      </c>
      <c r="E821" s="328">
        <v>6.8899999999999994E-5</v>
      </c>
      <c r="F821" s="301">
        <v>143450</v>
      </c>
      <c r="G821" s="262">
        <f>TRUNC(TRUNC(E821,8)*F821,2)</f>
        <v>9.8800000000000008</v>
      </c>
    </row>
    <row r="822" spans="1:7">
      <c r="A822" s="263"/>
      <c r="B822" s="264"/>
      <c r="C822" s="264"/>
      <c r="D822" s="264"/>
      <c r="E822" s="265" t="s">
        <v>1300</v>
      </c>
      <c r="F822" s="265"/>
      <c r="G822" s="266">
        <f>SUM(G820:G821)</f>
        <v>47.04</v>
      </c>
    </row>
    <row r="823" spans="1:7">
      <c r="A823" s="263"/>
      <c r="B823" s="264"/>
      <c r="C823" s="264"/>
      <c r="D823" s="264"/>
      <c r="E823" s="267" t="s">
        <v>255</v>
      </c>
      <c r="F823" s="267">
        <f>A818</f>
        <v>89262</v>
      </c>
      <c r="G823" s="268">
        <f>SUM(G822)</f>
        <v>47.04</v>
      </c>
    </row>
    <row r="824" spans="1:7">
      <c r="A824" s="263"/>
      <c r="B824" s="264"/>
      <c r="C824" s="264"/>
      <c r="D824" s="264"/>
      <c r="E824" s="269"/>
      <c r="F824" s="269"/>
      <c r="G824" s="269"/>
    </row>
    <row r="825" spans="1:7" ht="42">
      <c r="A825" s="253">
        <v>91467</v>
      </c>
      <c r="B825" s="254" t="s">
        <v>1245</v>
      </c>
      <c r="C825" s="254"/>
      <c r="D825" s="254"/>
      <c r="E825" s="254"/>
      <c r="F825" s="254"/>
      <c r="G825" s="254"/>
    </row>
    <row r="826" spans="1:7" ht="21">
      <c r="A826" s="255" t="s">
        <v>256</v>
      </c>
      <c r="B826" s="256"/>
      <c r="C826" s="257" t="s">
        <v>4</v>
      </c>
      <c r="D826" s="257" t="s">
        <v>243</v>
      </c>
      <c r="E826" s="257" t="s">
        <v>244</v>
      </c>
      <c r="F826" s="257" t="s">
        <v>245</v>
      </c>
      <c r="G826" s="257" t="s">
        <v>246</v>
      </c>
    </row>
    <row r="827" spans="1:7">
      <c r="A827" s="258" t="s">
        <v>458</v>
      </c>
      <c r="B827" s="259" t="s">
        <v>459</v>
      </c>
      <c r="C827" s="260" t="s">
        <v>26</v>
      </c>
      <c r="D827" s="260" t="s">
        <v>335</v>
      </c>
      <c r="E827" s="262">
        <v>26.43</v>
      </c>
      <c r="F827" s="301">
        <v>6.29</v>
      </c>
      <c r="G827" s="262">
        <f>TRUNC(TRUNC(E827,8)*F827,2)</f>
        <v>166.24</v>
      </c>
    </row>
    <row r="828" spans="1:7" ht="21">
      <c r="A828" s="263"/>
      <c r="B828" s="264"/>
      <c r="C828" s="264"/>
      <c r="D828" s="264"/>
      <c r="E828" s="265" t="s">
        <v>259</v>
      </c>
      <c r="F828" s="265"/>
      <c r="G828" s="266">
        <f>SUM(G827:G827)</f>
        <v>166.24</v>
      </c>
    </row>
    <row r="829" spans="1:7">
      <c r="A829" s="263"/>
      <c r="B829" s="264"/>
      <c r="C829" s="264"/>
      <c r="D829" s="264"/>
      <c r="E829" s="267" t="s">
        <v>255</v>
      </c>
      <c r="F829" s="267">
        <f>A825</f>
        <v>91467</v>
      </c>
      <c r="G829" s="268">
        <f>SUM(G828)</f>
        <v>166.24</v>
      </c>
    </row>
    <row r="830" spans="1:7">
      <c r="A830" s="263"/>
      <c r="B830" s="264"/>
      <c r="C830" s="264"/>
      <c r="D830" s="264"/>
      <c r="E830" s="269"/>
      <c r="F830" s="269"/>
      <c r="G830" s="269"/>
    </row>
    <row r="831" spans="1:7" ht="42">
      <c r="A831" s="253">
        <v>91634</v>
      </c>
      <c r="B831" s="254" t="s">
        <v>952</v>
      </c>
      <c r="C831" s="254"/>
      <c r="D831" s="254"/>
      <c r="E831" s="254"/>
      <c r="F831" s="254"/>
      <c r="G831" s="254"/>
    </row>
    <row r="832" spans="1:7" ht="21">
      <c r="A832" s="255" t="s">
        <v>242</v>
      </c>
      <c r="B832" s="256"/>
      <c r="C832" s="257" t="s">
        <v>4</v>
      </c>
      <c r="D832" s="257" t="s">
        <v>243</v>
      </c>
      <c r="E832" s="257" t="s">
        <v>244</v>
      </c>
      <c r="F832" s="257" t="s">
        <v>245</v>
      </c>
      <c r="G832" s="257" t="s">
        <v>246</v>
      </c>
    </row>
    <row r="833" spans="1:7" ht="20">
      <c r="A833" s="258" t="s">
        <v>424</v>
      </c>
      <c r="B833" s="259" t="s">
        <v>425</v>
      </c>
      <c r="C833" s="260" t="s">
        <v>26</v>
      </c>
      <c r="D833" s="260" t="s">
        <v>265</v>
      </c>
      <c r="E833" s="262">
        <v>1</v>
      </c>
      <c r="F833" s="301">
        <v>27.96</v>
      </c>
      <c r="G833" s="262">
        <f>TRUNC(TRUNC(E833,8)*F833,2)</f>
        <v>27.96</v>
      </c>
    </row>
    <row r="834" spans="1:7">
      <c r="A834" s="263"/>
      <c r="B834" s="264"/>
      <c r="C834" s="264"/>
      <c r="D834" s="264"/>
      <c r="E834" s="265" t="s">
        <v>1299</v>
      </c>
      <c r="F834" s="265"/>
      <c r="G834" s="266">
        <f>SUM(G833:G833)</f>
        <v>27.96</v>
      </c>
    </row>
    <row r="835" spans="1:7" ht="21">
      <c r="A835" s="255" t="s">
        <v>250</v>
      </c>
      <c r="B835" s="256"/>
      <c r="C835" s="257" t="s">
        <v>4</v>
      </c>
      <c r="D835" s="257" t="s">
        <v>243</v>
      </c>
      <c r="E835" s="257" t="s">
        <v>244</v>
      </c>
      <c r="F835" s="257" t="s">
        <v>245</v>
      </c>
      <c r="G835" s="257" t="s">
        <v>246</v>
      </c>
    </row>
    <row r="836" spans="1:7" ht="40">
      <c r="A836" s="258" t="s">
        <v>426</v>
      </c>
      <c r="B836" s="259" t="s">
        <v>427</v>
      </c>
      <c r="C836" s="260" t="s">
        <v>26</v>
      </c>
      <c r="D836" s="260" t="s">
        <v>265</v>
      </c>
      <c r="E836" s="262">
        <v>1</v>
      </c>
      <c r="F836" s="301">
        <v>21.97</v>
      </c>
      <c r="G836" s="262">
        <f>TRUNC(TRUNC(E836,8)*F836,2)</f>
        <v>21.97</v>
      </c>
    </row>
    <row r="837" spans="1:7" ht="40">
      <c r="A837" s="258" t="s">
        <v>428</v>
      </c>
      <c r="B837" s="259" t="s">
        <v>429</v>
      </c>
      <c r="C837" s="260" t="s">
        <v>26</v>
      </c>
      <c r="D837" s="260" t="s">
        <v>265</v>
      </c>
      <c r="E837" s="262">
        <v>1</v>
      </c>
      <c r="F837" s="301">
        <v>3.3</v>
      </c>
      <c r="G837" s="262">
        <f>TRUNC(TRUNC(E837,8)*F837,2)</f>
        <v>3.3</v>
      </c>
    </row>
    <row r="838" spans="1:7" ht="40">
      <c r="A838" s="258" t="s">
        <v>430</v>
      </c>
      <c r="B838" s="259" t="s">
        <v>431</v>
      </c>
      <c r="C838" s="260" t="s">
        <v>26</v>
      </c>
      <c r="D838" s="260" t="s">
        <v>265</v>
      </c>
      <c r="E838" s="262">
        <v>1</v>
      </c>
      <c r="F838" s="301">
        <v>8.18</v>
      </c>
      <c r="G838" s="262">
        <f>TRUNC(TRUNC(E838,8)*F838,2)</f>
        <v>8.18</v>
      </c>
    </row>
    <row r="839" spans="1:7" ht="40">
      <c r="A839" s="258" t="s">
        <v>432</v>
      </c>
      <c r="B839" s="259" t="s">
        <v>433</v>
      </c>
      <c r="C839" s="260" t="s">
        <v>26</v>
      </c>
      <c r="D839" s="260" t="s">
        <v>265</v>
      </c>
      <c r="E839" s="262">
        <v>1</v>
      </c>
      <c r="F839" s="301">
        <v>37.69</v>
      </c>
      <c r="G839" s="262">
        <f>TRUNC(TRUNC(E839,8)*F839,2)</f>
        <v>37.69</v>
      </c>
    </row>
    <row r="840" spans="1:7" ht="40">
      <c r="A840" s="258" t="s">
        <v>434</v>
      </c>
      <c r="B840" s="259" t="s">
        <v>435</v>
      </c>
      <c r="C840" s="260" t="s">
        <v>26</v>
      </c>
      <c r="D840" s="260" t="s">
        <v>265</v>
      </c>
      <c r="E840" s="262">
        <v>1</v>
      </c>
      <c r="F840" s="301">
        <v>140.69999999999999</v>
      </c>
      <c r="G840" s="262">
        <f>TRUNC(TRUNC(E840,8)*F840,2)</f>
        <v>140.69999999999999</v>
      </c>
    </row>
    <row r="841" spans="1:7">
      <c r="A841" s="263"/>
      <c r="B841" s="264"/>
      <c r="C841" s="264"/>
      <c r="D841" s="264"/>
      <c r="E841" s="265" t="s">
        <v>1301</v>
      </c>
      <c r="F841" s="265"/>
      <c r="G841" s="266">
        <f>SUM(G836:G840)</f>
        <v>211.83999999999997</v>
      </c>
    </row>
    <row r="842" spans="1:7">
      <c r="A842" s="263"/>
      <c r="B842" s="264"/>
      <c r="C842" s="264"/>
      <c r="D842" s="264"/>
      <c r="E842" s="267" t="s">
        <v>255</v>
      </c>
      <c r="F842" s="267">
        <f>A831</f>
        <v>91634</v>
      </c>
      <c r="G842" s="268">
        <f>SUM(G834,G841)</f>
        <v>239.79999999999998</v>
      </c>
    </row>
    <row r="843" spans="1:7">
      <c r="A843" s="263"/>
      <c r="B843" s="264"/>
      <c r="C843" s="264"/>
      <c r="D843" s="264"/>
      <c r="E843" s="269"/>
      <c r="F843" s="269"/>
      <c r="G843" s="269"/>
    </row>
    <row r="844" spans="1:7" ht="42">
      <c r="A844" s="253">
        <v>91629</v>
      </c>
      <c r="B844" s="254" t="s">
        <v>1246</v>
      </c>
      <c r="C844" s="254"/>
      <c r="D844" s="254"/>
      <c r="E844" s="254"/>
      <c r="F844" s="254"/>
      <c r="G844" s="254"/>
    </row>
    <row r="845" spans="1:7" ht="21">
      <c r="A845" s="255" t="s">
        <v>268</v>
      </c>
      <c r="B845" s="256"/>
      <c r="C845" s="257" t="s">
        <v>4</v>
      </c>
      <c r="D845" s="257" t="s">
        <v>243</v>
      </c>
      <c r="E845" s="257" t="s">
        <v>244</v>
      </c>
      <c r="F845" s="257" t="s">
        <v>245</v>
      </c>
      <c r="G845" s="257" t="s">
        <v>246</v>
      </c>
    </row>
    <row r="846" spans="1:7" ht="30">
      <c r="A846" s="258" t="s">
        <v>477</v>
      </c>
      <c r="B846" s="259" t="s">
        <v>478</v>
      </c>
      <c r="C846" s="260" t="s">
        <v>26</v>
      </c>
      <c r="D846" s="260" t="s">
        <v>14</v>
      </c>
      <c r="E846" s="328">
        <v>3.43E-5</v>
      </c>
      <c r="F846" s="301">
        <v>477088.26</v>
      </c>
      <c r="G846" s="262">
        <f>TRUNC(TRUNC(E846,8)*F846,2)</f>
        <v>16.36</v>
      </c>
    </row>
    <row r="847" spans="1:7" ht="40">
      <c r="A847" s="258" t="s">
        <v>503</v>
      </c>
      <c r="B847" s="259" t="s">
        <v>504</v>
      </c>
      <c r="C847" s="260" t="s">
        <v>26</v>
      </c>
      <c r="D847" s="260" t="s">
        <v>14</v>
      </c>
      <c r="E847" s="328">
        <v>5.5099999999999998E-5</v>
      </c>
      <c r="F847" s="301">
        <v>101983.98</v>
      </c>
      <c r="G847" s="262">
        <f>TRUNC(TRUNC(E847,8)*F847,2)</f>
        <v>5.61</v>
      </c>
    </row>
    <row r="848" spans="1:7">
      <c r="A848" s="263"/>
      <c r="B848" s="264"/>
      <c r="C848" s="264"/>
      <c r="D848" s="264"/>
      <c r="E848" s="265" t="s">
        <v>1300</v>
      </c>
      <c r="F848" s="265"/>
      <c r="G848" s="266">
        <f>SUM(G846:G847)</f>
        <v>21.97</v>
      </c>
    </row>
    <row r="849" spans="1:7">
      <c r="A849" s="263"/>
      <c r="B849" s="264"/>
      <c r="C849" s="264"/>
      <c r="D849" s="264"/>
      <c r="E849" s="267" t="s">
        <v>255</v>
      </c>
      <c r="F849" s="267">
        <f>A844</f>
        <v>91629</v>
      </c>
      <c r="G849" s="268">
        <f>SUM(G848)</f>
        <v>21.97</v>
      </c>
    </row>
    <row r="850" spans="1:7">
      <c r="A850" s="263"/>
      <c r="B850" s="264"/>
      <c r="C850" s="264"/>
      <c r="D850" s="264"/>
      <c r="E850" s="269"/>
      <c r="F850" s="269"/>
      <c r="G850" s="269"/>
    </row>
    <row r="851" spans="1:7" ht="42">
      <c r="A851" s="253">
        <v>91631</v>
      </c>
      <c r="B851" s="254" t="s">
        <v>1247</v>
      </c>
      <c r="C851" s="254"/>
      <c r="D851" s="254"/>
      <c r="E851" s="254"/>
      <c r="F851" s="254"/>
      <c r="G851" s="254"/>
    </row>
    <row r="852" spans="1:7" ht="21">
      <c r="A852" s="255" t="s">
        <v>268</v>
      </c>
      <c r="B852" s="256"/>
      <c r="C852" s="257" t="s">
        <v>4</v>
      </c>
      <c r="D852" s="257" t="s">
        <v>243</v>
      </c>
      <c r="E852" s="257" t="s">
        <v>244</v>
      </c>
      <c r="F852" s="257" t="s">
        <v>245</v>
      </c>
      <c r="G852" s="257" t="s">
        <v>246</v>
      </c>
    </row>
    <row r="853" spans="1:7" ht="30">
      <c r="A853" s="258" t="s">
        <v>477</v>
      </c>
      <c r="B853" s="259" t="s">
        <v>478</v>
      </c>
      <c r="C853" s="260" t="s">
        <v>26</v>
      </c>
      <c r="D853" s="260" t="s">
        <v>14</v>
      </c>
      <c r="E853" s="328">
        <v>5.6999999999999996E-6</v>
      </c>
      <c r="F853" s="301">
        <v>477088.26</v>
      </c>
      <c r="G853" s="262">
        <f>TRUNC(TRUNC(E853,8)*F853,2)</f>
        <v>2.71</v>
      </c>
    </row>
    <row r="854" spans="1:7" ht="40">
      <c r="A854" s="258" t="s">
        <v>503</v>
      </c>
      <c r="B854" s="259" t="s">
        <v>504</v>
      </c>
      <c r="C854" s="260" t="s">
        <v>26</v>
      </c>
      <c r="D854" s="260" t="s">
        <v>14</v>
      </c>
      <c r="E854" s="328">
        <v>5.8000000000000004E-6</v>
      </c>
      <c r="F854" s="301">
        <v>101983.98</v>
      </c>
      <c r="G854" s="262">
        <f>TRUNC(TRUNC(E854,8)*F854,2)</f>
        <v>0.59</v>
      </c>
    </row>
    <row r="855" spans="1:7">
      <c r="A855" s="263"/>
      <c r="B855" s="264"/>
      <c r="C855" s="264"/>
      <c r="D855" s="264"/>
      <c r="E855" s="265" t="s">
        <v>1300</v>
      </c>
      <c r="F855" s="265"/>
      <c r="G855" s="266">
        <f>SUM(G853:G854)</f>
        <v>3.3</v>
      </c>
    </row>
    <row r="856" spans="1:7">
      <c r="A856" s="263"/>
      <c r="B856" s="264"/>
      <c r="C856" s="264"/>
      <c r="D856" s="264"/>
      <c r="E856" s="267" t="s">
        <v>255</v>
      </c>
      <c r="F856" s="267">
        <f>A851</f>
        <v>91631</v>
      </c>
      <c r="G856" s="268">
        <f>SUM(G855)</f>
        <v>3.3</v>
      </c>
    </row>
    <row r="857" spans="1:7">
      <c r="A857" s="263"/>
      <c r="B857" s="264"/>
      <c r="C857" s="264"/>
      <c r="D857" s="264"/>
      <c r="E857" s="269"/>
      <c r="F857" s="269"/>
      <c r="G857" s="269"/>
    </row>
    <row r="858" spans="1:7" ht="42">
      <c r="A858" s="253">
        <v>91630</v>
      </c>
      <c r="B858" s="254" t="s">
        <v>1248</v>
      </c>
      <c r="C858" s="254"/>
      <c r="D858" s="254"/>
      <c r="E858" s="254"/>
      <c r="F858" s="254"/>
      <c r="G858" s="254"/>
    </row>
    <row r="859" spans="1:7" ht="21">
      <c r="A859" s="255" t="s">
        <v>268</v>
      </c>
      <c r="B859" s="256"/>
      <c r="C859" s="257" t="s">
        <v>4</v>
      </c>
      <c r="D859" s="257" t="s">
        <v>243</v>
      </c>
      <c r="E859" s="257" t="s">
        <v>244</v>
      </c>
      <c r="F859" s="257" t="s">
        <v>245</v>
      </c>
      <c r="G859" s="257" t="s">
        <v>246</v>
      </c>
    </row>
    <row r="860" spans="1:7" ht="30">
      <c r="A860" s="258" t="s">
        <v>477</v>
      </c>
      <c r="B860" s="259" t="s">
        <v>478</v>
      </c>
      <c r="C860" s="260" t="s">
        <v>26</v>
      </c>
      <c r="D860" s="260" t="s">
        <v>14</v>
      </c>
      <c r="E860" s="328">
        <v>1.4100000000000001E-5</v>
      </c>
      <c r="F860" s="301">
        <v>477088.26</v>
      </c>
      <c r="G860" s="262">
        <f>TRUNC(TRUNC(E860,8)*F860,2)</f>
        <v>6.72</v>
      </c>
    </row>
    <row r="861" spans="1:7" ht="40">
      <c r="A861" s="258" t="s">
        <v>503</v>
      </c>
      <c r="B861" s="259" t="s">
        <v>504</v>
      </c>
      <c r="C861" s="260" t="s">
        <v>26</v>
      </c>
      <c r="D861" s="260" t="s">
        <v>14</v>
      </c>
      <c r="E861" s="328">
        <v>1.4399999999999999E-5</v>
      </c>
      <c r="F861" s="301">
        <v>101983.98</v>
      </c>
      <c r="G861" s="262">
        <f>TRUNC(TRUNC(E861,8)*F861,2)</f>
        <v>1.46</v>
      </c>
    </row>
    <row r="862" spans="1:7">
      <c r="A862" s="263"/>
      <c r="B862" s="264"/>
      <c r="C862" s="264"/>
      <c r="D862" s="264"/>
      <c r="E862" s="265" t="s">
        <v>1300</v>
      </c>
      <c r="F862" s="265"/>
      <c r="G862" s="266">
        <f>SUM(G860:G861)</f>
        <v>8.18</v>
      </c>
    </row>
    <row r="863" spans="1:7">
      <c r="A863" s="263"/>
      <c r="B863" s="264"/>
      <c r="C863" s="264"/>
      <c r="D863" s="264"/>
      <c r="E863" s="267" t="s">
        <v>255</v>
      </c>
      <c r="F863" s="267">
        <f>A858</f>
        <v>91630</v>
      </c>
      <c r="G863" s="268">
        <f>SUM(G862)</f>
        <v>8.18</v>
      </c>
    </row>
    <row r="864" spans="1:7">
      <c r="A864" s="263"/>
      <c r="B864" s="264"/>
      <c r="C864" s="264"/>
      <c r="D864" s="264"/>
      <c r="E864" s="269"/>
      <c r="F864" s="269"/>
      <c r="G864" s="269"/>
    </row>
    <row r="865" spans="1:7" ht="42">
      <c r="A865" s="253">
        <v>91632</v>
      </c>
      <c r="B865" s="254" t="s">
        <v>1249</v>
      </c>
      <c r="C865" s="254"/>
      <c r="D865" s="254"/>
      <c r="E865" s="254"/>
      <c r="F865" s="254"/>
      <c r="G865" s="254"/>
    </row>
    <row r="866" spans="1:7" ht="21">
      <c r="A866" s="255" t="s">
        <v>268</v>
      </c>
      <c r="B866" s="256"/>
      <c r="C866" s="257" t="s">
        <v>4</v>
      </c>
      <c r="D866" s="257" t="s">
        <v>243</v>
      </c>
      <c r="E866" s="257" t="s">
        <v>244</v>
      </c>
      <c r="F866" s="257" t="s">
        <v>245</v>
      </c>
      <c r="G866" s="257" t="s">
        <v>246</v>
      </c>
    </row>
    <row r="867" spans="1:7" ht="30">
      <c r="A867" s="258" t="s">
        <v>477</v>
      </c>
      <c r="B867" s="259" t="s">
        <v>478</v>
      </c>
      <c r="C867" s="260" t="s">
        <v>26</v>
      </c>
      <c r="D867" s="260" t="s">
        <v>14</v>
      </c>
      <c r="E867" s="328">
        <v>6.4300000000000004E-5</v>
      </c>
      <c r="F867" s="301">
        <v>477088.26</v>
      </c>
      <c r="G867" s="262">
        <f>TRUNC(TRUNC(E867,8)*F867,2)</f>
        <v>30.67</v>
      </c>
    </row>
    <row r="868" spans="1:7" ht="40">
      <c r="A868" s="258" t="s">
        <v>503</v>
      </c>
      <c r="B868" s="259" t="s">
        <v>504</v>
      </c>
      <c r="C868" s="260" t="s">
        <v>26</v>
      </c>
      <c r="D868" s="260" t="s">
        <v>14</v>
      </c>
      <c r="E868" s="328">
        <v>6.8899999999999994E-5</v>
      </c>
      <c r="F868" s="301">
        <v>101983.98</v>
      </c>
      <c r="G868" s="262">
        <f>TRUNC(TRUNC(E868,8)*F868,2)</f>
        <v>7.02</v>
      </c>
    </row>
    <row r="869" spans="1:7">
      <c r="A869" s="263"/>
      <c r="B869" s="264"/>
      <c r="C869" s="264"/>
      <c r="D869" s="264"/>
      <c r="E869" s="265" t="s">
        <v>1300</v>
      </c>
      <c r="F869" s="265"/>
      <c r="G869" s="266">
        <f>SUM(G867:G868)</f>
        <v>37.69</v>
      </c>
    </row>
    <row r="870" spans="1:7">
      <c r="A870" s="263"/>
      <c r="B870" s="264"/>
      <c r="C870" s="264"/>
      <c r="D870" s="264"/>
      <c r="E870" s="267" t="s">
        <v>255</v>
      </c>
      <c r="F870" s="267">
        <f>A865</f>
        <v>91632</v>
      </c>
      <c r="G870" s="268">
        <f>SUM(G869)</f>
        <v>37.69</v>
      </c>
    </row>
    <row r="871" spans="1:7">
      <c r="A871" s="263"/>
      <c r="B871" s="264"/>
      <c r="C871" s="264"/>
      <c r="D871" s="264"/>
      <c r="E871" s="269"/>
      <c r="F871" s="269"/>
      <c r="G871" s="269"/>
    </row>
    <row r="872" spans="1:7" ht="42">
      <c r="A872" s="253">
        <v>91633</v>
      </c>
      <c r="B872" s="254" t="s">
        <v>1250</v>
      </c>
      <c r="C872" s="254"/>
      <c r="D872" s="254"/>
      <c r="E872" s="254"/>
      <c r="F872" s="254"/>
      <c r="G872" s="254"/>
    </row>
    <row r="873" spans="1:7" ht="21">
      <c r="A873" s="255" t="s">
        <v>256</v>
      </c>
      <c r="B873" s="256"/>
      <c r="C873" s="257" t="s">
        <v>4</v>
      </c>
      <c r="D873" s="257" t="s">
        <v>243</v>
      </c>
      <c r="E873" s="257" t="s">
        <v>244</v>
      </c>
      <c r="F873" s="257" t="s">
        <v>245</v>
      </c>
      <c r="G873" s="257" t="s">
        <v>246</v>
      </c>
    </row>
    <row r="874" spans="1:7">
      <c r="A874" s="258" t="s">
        <v>458</v>
      </c>
      <c r="B874" s="259" t="s">
        <v>459</v>
      </c>
      <c r="C874" s="260" t="s">
        <v>26</v>
      </c>
      <c r="D874" s="260" t="s">
        <v>335</v>
      </c>
      <c r="E874" s="262">
        <v>22.37</v>
      </c>
      <c r="F874" s="301">
        <v>6.29</v>
      </c>
      <c r="G874" s="262">
        <f>TRUNC(TRUNC(E874,8)*F874,2)</f>
        <v>140.69999999999999</v>
      </c>
    </row>
    <row r="875" spans="1:7" ht="21">
      <c r="A875" s="263"/>
      <c r="B875" s="264"/>
      <c r="C875" s="264"/>
      <c r="D875" s="264"/>
      <c r="E875" s="265" t="s">
        <v>259</v>
      </c>
      <c r="F875" s="265"/>
      <c r="G875" s="266">
        <f>SUM(G874:G874)</f>
        <v>140.69999999999999</v>
      </c>
    </row>
    <row r="876" spans="1:7">
      <c r="A876" s="263"/>
      <c r="B876" s="264"/>
      <c r="C876" s="264"/>
      <c r="D876" s="264"/>
      <c r="E876" s="267" t="s">
        <v>255</v>
      </c>
      <c r="F876" s="267">
        <f>A872</f>
        <v>91633</v>
      </c>
      <c r="G876" s="268">
        <f>SUM(G875)</f>
        <v>140.69999999999999</v>
      </c>
    </row>
    <row r="877" spans="1:7">
      <c r="A877" s="263"/>
      <c r="B877" s="264"/>
      <c r="C877" s="264"/>
      <c r="D877" s="264"/>
      <c r="E877" s="269"/>
      <c r="F877" s="269"/>
      <c r="G877" s="269"/>
    </row>
    <row r="878" spans="1:7" ht="21">
      <c r="A878" s="253">
        <v>91958</v>
      </c>
      <c r="B878" s="254" t="s">
        <v>1251</v>
      </c>
      <c r="C878" s="254"/>
      <c r="D878" s="254"/>
      <c r="E878" s="254"/>
      <c r="F878" s="254"/>
      <c r="G878" s="254"/>
    </row>
    <row r="879" spans="1:7" ht="21">
      <c r="A879" s="255" t="s">
        <v>256</v>
      </c>
      <c r="B879" s="256"/>
      <c r="C879" s="257" t="s">
        <v>4</v>
      </c>
      <c r="D879" s="257" t="s">
        <v>243</v>
      </c>
      <c r="E879" s="257" t="s">
        <v>244</v>
      </c>
      <c r="F879" s="257" t="s">
        <v>245</v>
      </c>
      <c r="G879" s="257" t="s">
        <v>246</v>
      </c>
    </row>
    <row r="880" spans="1:7">
      <c r="A880" s="258" t="s">
        <v>580</v>
      </c>
      <c r="B880" s="259" t="s">
        <v>581</v>
      </c>
      <c r="C880" s="260" t="s">
        <v>26</v>
      </c>
      <c r="D880" s="260" t="s">
        <v>14</v>
      </c>
      <c r="E880" s="262">
        <v>2</v>
      </c>
      <c r="F880" s="301">
        <v>6.35</v>
      </c>
      <c r="G880" s="262">
        <f>TRUNC(TRUNC(E880,8)*F880,2)</f>
        <v>12.7</v>
      </c>
    </row>
    <row r="881" spans="1:7" ht="21">
      <c r="A881" s="263"/>
      <c r="B881" s="264"/>
      <c r="C881" s="264"/>
      <c r="D881" s="264"/>
      <c r="E881" s="265" t="s">
        <v>259</v>
      </c>
      <c r="F881" s="265"/>
      <c r="G881" s="266">
        <f>SUM(G880:G880)</f>
        <v>12.7</v>
      </c>
    </row>
    <row r="882" spans="1:7" ht="21">
      <c r="A882" s="255" t="s">
        <v>242</v>
      </c>
      <c r="B882" s="256"/>
      <c r="C882" s="257" t="s">
        <v>4</v>
      </c>
      <c r="D882" s="257" t="s">
        <v>243</v>
      </c>
      <c r="E882" s="257" t="s">
        <v>244</v>
      </c>
      <c r="F882" s="257" t="s">
        <v>245</v>
      </c>
      <c r="G882" s="257" t="s">
        <v>246</v>
      </c>
    </row>
    <row r="883" spans="1:7">
      <c r="A883" s="258" t="s">
        <v>292</v>
      </c>
      <c r="B883" s="259" t="s">
        <v>293</v>
      </c>
      <c r="C883" s="260" t="s">
        <v>26</v>
      </c>
      <c r="D883" s="260" t="s">
        <v>265</v>
      </c>
      <c r="E883" s="330">
        <v>0.40200000000000002</v>
      </c>
      <c r="F883" s="301">
        <v>21.5</v>
      </c>
      <c r="G883" s="262">
        <f>TRUNC(TRUNC(E883,8)*F883,2)</f>
        <v>8.64</v>
      </c>
    </row>
    <row r="884" spans="1:7">
      <c r="A884" s="258" t="s">
        <v>294</v>
      </c>
      <c r="B884" s="259" t="s">
        <v>295</v>
      </c>
      <c r="C884" s="260" t="s">
        <v>26</v>
      </c>
      <c r="D884" s="260" t="s">
        <v>265</v>
      </c>
      <c r="E884" s="330">
        <v>0.40200000000000002</v>
      </c>
      <c r="F884" s="301">
        <v>25.55</v>
      </c>
      <c r="G884" s="262">
        <f>TRUNC(TRUNC(E884,8)*F884,2)</f>
        <v>10.27</v>
      </c>
    </row>
    <row r="885" spans="1:7">
      <c r="A885" s="263"/>
      <c r="B885" s="264"/>
      <c r="C885" s="264"/>
      <c r="D885" s="264"/>
      <c r="E885" s="265" t="s">
        <v>1299</v>
      </c>
      <c r="F885" s="265"/>
      <c r="G885" s="266">
        <f>SUM(G883:G884)</f>
        <v>18.91</v>
      </c>
    </row>
    <row r="886" spans="1:7">
      <c r="A886" s="263"/>
      <c r="B886" s="264"/>
      <c r="C886" s="264"/>
      <c r="D886" s="264"/>
      <c r="E886" s="267" t="s">
        <v>255</v>
      </c>
      <c r="F886" s="267">
        <f>A878</f>
        <v>91958</v>
      </c>
      <c r="G886" s="268">
        <f>SUM(G881,G885)</f>
        <v>31.61</v>
      </c>
    </row>
    <row r="887" spans="1:7">
      <c r="A887" s="263"/>
      <c r="B887" s="264"/>
      <c r="C887" s="264"/>
      <c r="D887" s="264"/>
      <c r="E887" s="269"/>
      <c r="F887" s="269"/>
      <c r="G887" s="269"/>
    </row>
    <row r="888" spans="1:7" ht="21">
      <c r="A888" s="253">
        <v>100716</v>
      </c>
      <c r="B888" s="254" t="s">
        <v>1252</v>
      </c>
      <c r="C888" s="254"/>
      <c r="D888" s="254"/>
      <c r="E888" s="254"/>
      <c r="F888" s="254"/>
      <c r="G888" s="254"/>
    </row>
    <row r="889" spans="1:7" ht="21">
      <c r="A889" s="255" t="s">
        <v>260</v>
      </c>
      <c r="B889" s="256"/>
      <c r="C889" s="257" t="s">
        <v>4</v>
      </c>
      <c r="D889" s="257" t="s">
        <v>243</v>
      </c>
      <c r="E889" s="257" t="s">
        <v>244</v>
      </c>
      <c r="F889" s="257" t="s">
        <v>245</v>
      </c>
      <c r="G889" s="257" t="s">
        <v>246</v>
      </c>
    </row>
    <row r="890" spans="1:7" ht="50">
      <c r="A890" s="258" t="s">
        <v>1075</v>
      </c>
      <c r="B890" s="259" t="s">
        <v>1076</v>
      </c>
      <c r="C890" s="260" t="s">
        <v>26</v>
      </c>
      <c r="D890" s="260" t="s">
        <v>234</v>
      </c>
      <c r="E890" s="271">
        <v>3.8199999999999998E-2</v>
      </c>
      <c r="F890" s="301">
        <v>31.68</v>
      </c>
      <c r="G890" s="262">
        <f>TRUNC(TRUNC(E890,8)*F890,2)</f>
        <v>1.21</v>
      </c>
    </row>
    <row r="891" spans="1:7" ht="50">
      <c r="A891" s="258" t="s">
        <v>1077</v>
      </c>
      <c r="B891" s="259" t="s">
        <v>1078</v>
      </c>
      <c r="C891" s="260" t="s">
        <v>26</v>
      </c>
      <c r="D891" s="260" t="s">
        <v>237</v>
      </c>
      <c r="E891" s="271">
        <v>1.5699999999999999E-2</v>
      </c>
      <c r="F891" s="301">
        <v>90.53</v>
      </c>
      <c r="G891" s="262">
        <f>TRUNC(TRUNC(E891,8)*F891,2)</f>
        <v>1.42</v>
      </c>
    </row>
    <row r="892" spans="1:7">
      <c r="A892" s="263"/>
      <c r="B892" s="264"/>
      <c r="C892" s="264"/>
      <c r="D892" s="264"/>
      <c r="E892" s="265" t="s">
        <v>1298</v>
      </c>
      <c r="F892" s="265"/>
      <c r="G892" s="266">
        <f>SUM(G890:G891)</f>
        <v>2.63</v>
      </c>
    </row>
    <row r="893" spans="1:7" ht="21">
      <c r="A893" s="255" t="s">
        <v>256</v>
      </c>
      <c r="B893" s="256"/>
      <c r="C893" s="257" t="s">
        <v>4</v>
      </c>
      <c r="D893" s="257" t="s">
        <v>243</v>
      </c>
      <c r="E893" s="257" t="s">
        <v>244</v>
      </c>
      <c r="F893" s="257" t="s">
        <v>245</v>
      </c>
      <c r="G893" s="257" t="s">
        <v>246</v>
      </c>
    </row>
    <row r="894" spans="1:7" ht="20">
      <c r="A894" s="258" t="s">
        <v>509</v>
      </c>
      <c r="B894" s="259" t="s">
        <v>510</v>
      </c>
      <c r="C894" s="260" t="s">
        <v>26</v>
      </c>
      <c r="D894" s="260" t="s">
        <v>1079</v>
      </c>
      <c r="E894" s="262">
        <v>0.16</v>
      </c>
      <c r="F894" s="301">
        <v>116.02</v>
      </c>
      <c r="G894" s="262">
        <f>TRUNC(TRUNC(E894,8)*F894,2)</f>
        <v>18.559999999999999</v>
      </c>
    </row>
    <row r="895" spans="1:7" ht="21">
      <c r="A895" s="263"/>
      <c r="B895" s="264"/>
      <c r="C895" s="264"/>
      <c r="D895" s="264"/>
      <c r="E895" s="265" t="s">
        <v>259</v>
      </c>
      <c r="F895" s="265"/>
      <c r="G895" s="266">
        <f>SUM(G894:G894)</f>
        <v>18.559999999999999</v>
      </c>
    </row>
    <row r="896" spans="1:7" ht="21">
      <c r="A896" s="255" t="s">
        <v>242</v>
      </c>
      <c r="B896" s="256"/>
      <c r="C896" s="257" t="s">
        <v>4</v>
      </c>
      <c r="D896" s="257" t="s">
        <v>243</v>
      </c>
      <c r="E896" s="257" t="s">
        <v>244</v>
      </c>
      <c r="F896" s="257" t="s">
        <v>245</v>
      </c>
      <c r="G896" s="257" t="s">
        <v>246</v>
      </c>
    </row>
    <row r="897" spans="1:7" ht="20">
      <c r="A897" s="258" t="s">
        <v>1080</v>
      </c>
      <c r="B897" s="259" t="s">
        <v>1081</v>
      </c>
      <c r="C897" s="260" t="s">
        <v>26</v>
      </c>
      <c r="D897" s="260" t="s">
        <v>265</v>
      </c>
      <c r="E897" s="271">
        <v>5.3900000000000003E-2</v>
      </c>
      <c r="F897" s="301">
        <v>21.97</v>
      </c>
      <c r="G897" s="262">
        <f>TRUNC(TRUNC(E897,8)*F897,2)</f>
        <v>1.18</v>
      </c>
    </row>
    <row r="898" spans="1:7">
      <c r="A898" s="258" t="s">
        <v>274</v>
      </c>
      <c r="B898" s="259" t="s">
        <v>275</v>
      </c>
      <c r="C898" s="260" t="s">
        <v>26</v>
      </c>
      <c r="D898" s="260" t="s">
        <v>265</v>
      </c>
      <c r="E898" s="271">
        <v>5.3499999999999999E-2</v>
      </c>
      <c r="F898" s="301">
        <v>20.27</v>
      </c>
      <c r="G898" s="262">
        <f>TRUNC(TRUNC(E898,8)*F898,2)</f>
        <v>1.08</v>
      </c>
    </row>
    <row r="899" spans="1:7">
      <c r="A899" s="263"/>
      <c r="B899" s="264"/>
      <c r="C899" s="264"/>
      <c r="D899" s="264"/>
      <c r="E899" s="265" t="s">
        <v>1299</v>
      </c>
      <c r="F899" s="265"/>
      <c r="G899" s="266">
        <f>SUM(G897:G898)</f>
        <v>2.2599999999999998</v>
      </c>
    </row>
    <row r="900" spans="1:7">
      <c r="A900" s="263"/>
      <c r="B900" s="264"/>
      <c r="C900" s="264"/>
      <c r="D900" s="264"/>
      <c r="E900" s="267" t="s">
        <v>255</v>
      </c>
      <c r="F900" s="267">
        <f>A888</f>
        <v>100716</v>
      </c>
      <c r="G900" s="268">
        <f>SUM(G892,G895,G899)</f>
        <v>23.449999999999996</v>
      </c>
    </row>
    <row r="901" spans="1:7">
      <c r="A901" s="263"/>
      <c r="B901" s="264"/>
      <c r="C901" s="264"/>
      <c r="D901" s="264"/>
      <c r="E901" s="269"/>
      <c r="F901" s="269"/>
      <c r="G901" s="269"/>
    </row>
    <row r="902" spans="1:7" ht="31.5">
      <c r="A902" s="253">
        <v>96624</v>
      </c>
      <c r="B902" s="254" t="s">
        <v>1253</v>
      </c>
      <c r="C902" s="254"/>
      <c r="D902" s="254"/>
      <c r="E902" s="254"/>
      <c r="F902" s="254"/>
      <c r="G902" s="254"/>
    </row>
    <row r="903" spans="1:7" ht="21">
      <c r="A903" s="255" t="s">
        <v>260</v>
      </c>
      <c r="B903" s="256"/>
      <c r="C903" s="257" t="s">
        <v>4</v>
      </c>
      <c r="D903" s="257" t="s">
        <v>243</v>
      </c>
      <c r="E903" s="257" t="s">
        <v>244</v>
      </c>
      <c r="F903" s="257" t="s">
        <v>245</v>
      </c>
      <c r="G903" s="257" t="s">
        <v>246</v>
      </c>
    </row>
    <row r="904" spans="1:7" ht="30">
      <c r="A904" s="258" t="s">
        <v>1082</v>
      </c>
      <c r="B904" s="259" t="s">
        <v>1083</v>
      </c>
      <c r="C904" s="260" t="s">
        <v>26</v>
      </c>
      <c r="D904" s="260" t="s">
        <v>234</v>
      </c>
      <c r="E904" s="330">
        <v>0.03</v>
      </c>
      <c r="F904" s="301">
        <v>0.72</v>
      </c>
      <c r="G904" s="262">
        <f>TRUNC(TRUNC(E904,8)*F904,2)</f>
        <v>0.02</v>
      </c>
    </row>
    <row r="905" spans="1:7" ht="30">
      <c r="A905" s="258" t="s">
        <v>1084</v>
      </c>
      <c r="B905" s="259" t="s">
        <v>1085</v>
      </c>
      <c r="C905" s="260" t="s">
        <v>26</v>
      </c>
      <c r="D905" s="260" t="s">
        <v>237</v>
      </c>
      <c r="E905" s="330">
        <v>3.2000000000000001E-2</v>
      </c>
      <c r="F905" s="301">
        <v>10.45</v>
      </c>
      <c r="G905" s="262">
        <f>TRUNC(TRUNC(E905,8)*F905,2)</f>
        <v>0.33</v>
      </c>
    </row>
    <row r="906" spans="1:7">
      <c r="A906" s="263"/>
      <c r="B906" s="264"/>
      <c r="C906" s="264"/>
      <c r="D906" s="264"/>
      <c r="E906" s="265" t="s">
        <v>1298</v>
      </c>
      <c r="F906" s="265"/>
      <c r="G906" s="266">
        <f>SUM(G904:G905)</f>
        <v>0.35000000000000003</v>
      </c>
    </row>
    <row r="907" spans="1:7" ht="21">
      <c r="A907" s="255" t="s">
        <v>256</v>
      </c>
      <c r="B907" s="256"/>
      <c r="C907" s="257" t="s">
        <v>4</v>
      </c>
      <c r="D907" s="257" t="s">
        <v>243</v>
      </c>
      <c r="E907" s="257" t="s">
        <v>244</v>
      </c>
      <c r="F907" s="257" t="s">
        <v>245</v>
      </c>
      <c r="G907" s="257" t="s">
        <v>246</v>
      </c>
    </row>
    <row r="908" spans="1:7" ht="20">
      <c r="A908" s="258" t="s">
        <v>512</v>
      </c>
      <c r="B908" s="259" t="s">
        <v>513</v>
      </c>
      <c r="C908" s="260" t="s">
        <v>26</v>
      </c>
      <c r="D908" s="260" t="s">
        <v>45</v>
      </c>
      <c r="E908" s="330">
        <v>1.19</v>
      </c>
      <c r="F908" s="301">
        <v>100</v>
      </c>
      <c r="G908" s="262">
        <f>TRUNC(TRUNC(E908,8)*F908,2)</f>
        <v>119</v>
      </c>
    </row>
    <row r="909" spans="1:7" ht="21">
      <c r="A909" s="263"/>
      <c r="B909" s="264"/>
      <c r="C909" s="264"/>
      <c r="D909" s="264"/>
      <c r="E909" s="265" t="s">
        <v>259</v>
      </c>
      <c r="F909" s="265"/>
      <c r="G909" s="266">
        <f>SUM(G908:G908)</f>
        <v>119</v>
      </c>
    </row>
    <row r="910" spans="1:7" ht="21">
      <c r="A910" s="255" t="s">
        <v>242</v>
      </c>
      <c r="B910" s="256"/>
      <c r="C910" s="257" t="s">
        <v>4</v>
      </c>
      <c r="D910" s="257" t="s">
        <v>243</v>
      </c>
      <c r="E910" s="257" t="s">
        <v>244</v>
      </c>
      <c r="F910" s="257" t="s">
        <v>245</v>
      </c>
      <c r="G910" s="257" t="s">
        <v>246</v>
      </c>
    </row>
    <row r="911" spans="1:7">
      <c r="A911" s="258" t="s">
        <v>285</v>
      </c>
      <c r="B911" s="259" t="s">
        <v>286</v>
      </c>
      <c r="C911" s="260" t="s">
        <v>26</v>
      </c>
      <c r="D911" s="260" t="s">
        <v>265</v>
      </c>
      <c r="E911" s="330">
        <v>1.579</v>
      </c>
      <c r="F911" s="301">
        <v>25.21</v>
      </c>
      <c r="G911" s="262">
        <f>TRUNC(TRUNC(E911,8)*F911,2)</f>
        <v>39.799999999999997</v>
      </c>
    </row>
    <row r="912" spans="1:7">
      <c r="A912" s="258" t="s">
        <v>274</v>
      </c>
      <c r="B912" s="259" t="s">
        <v>275</v>
      </c>
      <c r="C912" s="260" t="s">
        <v>26</v>
      </c>
      <c r="D912" s="260" t="s">
        <v>265</v>
      </c>
      <c r="E912" s="330">
        <v>0.63400000000000001</v>
      </c>
      <c r="F912" s="301">
        <v>20.27</v>
      </c>
      <c r="G912" s="262">
        <f>TRUNC(TRUNC(E912,8)*F912,2)</f>
        <v>12.85</v>
      </c>
    </row>
    <row r="913" spans="1:7">
      <c r="A913" s="263"/>
      <c r="B913" s="264"/>
      <c r="C913" s="264"/>
      <c r="D913" s="264"/>
      <c r="E913" s="265" t="s">
        <v>1299</v>
      </c>
      <c r="F913" s="265"/>
      <c r="G913" s="266">
        <f>SUM(G911:G912)</f>
        <v>52.65</v>
      </c>
    </row>
    <row r="914" spans="1:7">
      <c r="A914" s="263"/>
      <c r="B914" s="264"/>
      <c r="C914" s="264"/>
      <c r="D914" s="264"/>
      <c r="E914" s="267" t="s">
        <v>255</v>
      </c>
      <c r="F914" s="267">
        <f>A902</f>
        <v>96624</v>
      </c>
      <c r="G914" s="268">
        <f>SUM(G906,G909,G913)</f>
        <v>172</v>
      </c>
    </row>
    <row r="915" spans="1:7">
      <c r="A915" s="263"/>
      <c r="B915" s="264"/>
      <c r="C915" s="264"/>
      <c r="D915" s="264"/>
      <c r="E915" s="269"/>
      <c r="F915" s="269"/>
      <c r="G915" s="269"/>
    </row>
    <row r="916" spans="1:7" ht="21">
      <c r="A916" s="253">
        <v>88278</v>
      </c>
      <c r="B916" s="254" t="s">
        <v>1254</v>
      </c>
      <c r="C916" s="254"/>
      <c r="D916" s="254"/>
      <c r="E916" s="254"/>
      <c r="F916" s="254"/>
      <c r="G916" s="254"/>
    </row>
    <row r="917" spans="1:7" ht="21">
      <c r="A917" s="255" t="s">
        <v>462</v>
      </c>
      <c r="B917" s="256"/>
      <c r="C917" s="257" t="s">
        <v>4</v>
      </c>
      <c r="D917" s="257" t="s">
        <v>243</v>
      </c>
      <c r="E917" s="257" t="s">
        <v>244</v>
      </c>
      <c r="F917" s="257" t="s">
        <v>245</v>
      </c>
      <c r="G917" s="257" t="s">
        <v>246</v>
      </c>
    </row>
    <row r="918" spans="1:7" ht="20">
      <c r="A918" s="258" t="s">
        <v>467</v>
      </c>
      <c r="B918" s="259" t="s">
        <v>468</v>
      </c>
      <c r="C918" s="260" t="s">
        <v>26</v>
      </c>
      <c r="D918" s="260" t="s">
        <v>265</v>
      </c>
      <c r="E918" s="262">
        <v>1</v>
      </c>
      <c r="F918" s="301">
        <v>0.92</v>
      </c>
      <c r="G918" s="262">
        <f t="shared" ref="G918:G923" si="9">TRUNC(TRUNC(E918,8)*F918,2)</f>
        <v>0.92</v>
      </c>
    </row>
    <row r="919" spans="1:7" ht="20">
      <c r="A919" s="258" t="s">
        <v>546</v>
      </c>
      <c r="B919" s="259" t="s">
        <v>547</v>
      </c>
      <c r="C919" s="260" t="s">
        <v>26</v>
      </c>
      <c r="D919" s="260" t="s">
        <v>265</v>
      </c>
      <c r="E919" s="262">
        <v>1</v>
      </c>
      <c r="F919" s="301">
        <v>0.89</v>
      </c>
      <c r="G919" s="262">
        <f t="shared" si="9"/>
        <v>0.89</v>
      </c>
    </row>
    <row r="920" spans="1:7" ht="20">
      <c r="A920" s="258" t="s">
        <v>460</v>
      </c>
      <c r="B920" s="259" t="s">
        <v>461</v>
      </c>
      <c r="C920" s="260" t="s">
        <v>26</v>
      </c>
      <c r="D920" s="260" t="s">
        <v>265</v>
      </c>
      <c r="E920" s="262">
        <v>1</v>
      </c>
      <c r="F920" s="301">
        <v>1.43</v>
      </c>
      <c r="G920" s="262">
        <f t="shared" si="9"/>
        <v>1.43</v>
      </c>
    </row>
    <row r="921" spans="1:7" ht="20">
      <c r="A921" s="258" t="s">
        <v>618</v>
      </c>
      <c r="B921" s="259" t="s">
        <v>619</v>
      </c>
      <c r="C921" s="260" t="s">
        <v>26</v>
      </c>
      <c r="D921" s="260" t="s">
        <v>265</v>
      </c>
      <c r="E921" s="262">
        <v>1</v>
      </c>
      <c r="F921" s="301">
        <v>0.01</v>
      </c>
      <c r="G921" s="262">
        <f t="shared" si="9"/>
        <v>0.01</v>
      </c>
    </row>
    <row r="922" spans="1:7" ht="20">
      <c r="A922" s="258" t="s">
        <v>570</v>
      </c>
      <c r="B922" s="259" t="s">
        <v>571</v>
      </c>
      <c r="C922" s="260" t="s">
        <v>26</v>
      </c>
      <c r="D922" s="260" t="s">
        <v>265</v>
      </c>
      <c r="E922" s="262">
        <v>1</v>
      </c>
      <c r="F922" s="301">
        <v>0.08</v>
      </c>
      <c r="G922" s="262">
        <f t="shared" si="9"/>
        <v>0.08</v>
      </c>
    </row>
    <row r="923" spans="1:7" ht="20">
      <c r="A923" s="258" t="s">
        <v>473</v>
      </c>
      <c r="B923" s="259" t="s">
        <v>474</v>
      </c>
      <c r="C923" s="260" t="s">
        <v>26</v>
      </c>
      <c r="D923" s="260" t="s">
        <v>265</v>
      </c>
      <c r="E923" s="262">
        <v>1</v>
      </c>
      <c r="F923" s="301">
        <v>0.8</v>
      </c>
      <c r="G923" s="262">
        <f t="shared" si="9"/>
        <v>0.8</v>
      </c>
    </row>
    <row r="924" spans="1:7" ht="21">
      <c r="A924" s="263"/>
      <c r="B924" s="264"/>
      <c r="C924" s="264"/>
      <c r="D924" s="264"/>
      <c r="E924" s="265" t="s">
        <v>1302</v>
      </c>
      <c r="F924" s="265"/>
      <c r="G924" s="266">
        <f>SUM(G918:G923)</f>
        <v>4.13</v>
      </c>
    </row>
    <row r="925" spans="1:7" ht="21">
      <c r="A925" s="255" t="s">
        <v>447</v>
      </c>
      <c r="B925" s="256"/>
      <c r="C925" s="257" t="s">
        <v>4</v>
      </c>
      <c r="D925" s="257" t="s">
        <v>243</v>
      </c>
      <c r="E925" s="257" t="s">
        <v>244</v>
      </c>
      <c r="F925" s="257" t="s">
        <v>245</v>
      </c>
      <c r="G925" s="257" t="s">
        <v>246</v>
      </c>
    </row>
    <row r="926" spans="1:7">
      <c r="A926" s="258" t="s">
        <v>518</v>
      </c>
      <c r="B926" s="259" t="s">
        <v>519</v>
      </c>
      <c r="C926" s="260" t="s">
        <v>26</v>
      </c>
      <c r="D926" s="260" t="s">
        <v>265</v>
      </c>
      <c r="E926" s="262">
        <v>1</v>
      </c>
      <c r="F926" s="301">
        <v>14.78</v>
      </c>
      <c r="G926" s="262">
        <f>TRUNC(TRUNC(E926,8)*F926,2)</f>
        <v>14.78</v>
      </c>
    </row>
    <row r="927" spans="1:7">
      <c r="A927" s="263"/>
      <c r="B927" s="264"/>
      <c r="C927" s="264"/>
      <c r="D927" s="264"/>
      <c r="E927" s="265" t="s">
        <v>1303</v>
      </c>
      <c r="F927" s="265"/>
      <c r="G927" s="266">
        <f>SUM(G926:G926)</f>
        <v>14.78</v>
      </c>
    </row>
    <row r="928" spans="1:7" ht="21">
      <c r="A928" s="255" t="s">
        <v>250</v>
      </c>
      <c r="B928" s="256"/>
      <c r="C928" s="257" t="s">
        <v>4</v>
      </c>
      <c r="D928" s="257" t="s">
        <v>243</v>
      </c>
      <c r="E928" s="257" t="s">
        <v>244</v>
      </c>
      <c r="F928" s="257" t="s">
        <v>245</v>
      </c>
      <c r="G928" s="257" t="s">
        <v>246</v>
      </c>
    </row>
    <row r="929" spans="1:7" ht="20">
      <c r="A929" s="258" t="s">
        <v>1086</v>
      </c>
      <c r="B929" s="259" t="s">
        <v>1087</v>
      </c>
      <c r="C929" s="260" t="s">
        <v>26</v>
      </c>
      <c r="D929" s="260" t="s">
        <v>265</v>
      </c>
      <c r="E929" s="262">
        <v>1</v>
      </c>
      <c r="F929" s="301">
        <v>0.17</v>
      </c>
      <c r="G929" s="262">
        <f>TRUNC(TRUNC(E929,8)*F929,2)</f>
        <v>0.17</v>
      </c>
    </row>
    <row r="930" spans="1:7">
      <c r="A930" s="263"/>
      <c r="B930" s="264"/>
      <c r="C930" s="264"/>
      <c r="D930" s="264"/>
      <c r="E930" s="265" t="s">
        <v>1301</v>
      </c>
      <c r="F930" s="265"/>
      <c r="G930" s="266">
        <f>SUM(G929:G929)</f>
        <v>0.17</v>
      </c>
    </row>
    <row r="931" spans="1:7">
      <c r="A931" s="263"/>
      <c r="B931" s="264"/>
      <c r="C931" s="264"/>
      <c r="D931" s="264"/>
      <c r="E931" s="267" t="s">
        <v>255</v>
      </c>
      <c r="F931" s="267">
        <f>A916</f>
        <v>88278</v>
      </c>
      <c r="G931" s="268">
        <f>SUM(G924,G927,G930)</f>
        <v>19.080000000000002</v>
      </c>
    </row>
    <row r="932" spans="1:7">
      <c r="A932" s="263"/>
      <c r="B932" s="264"/>
      <c r="C932" s="264"/>
      <c r="D932" s="264"/>
      <c r="E932" s="269"/>
      <c r="F932" s="269"/>
      <c r="G932" s="269"/>
    </row>
    <row r="933" spans="1:7" ht="21">
      <c r="A933" s="253">
        <v>88279</v>
      </c>
      <c r="B933" s="254" t="s">
        <v>1255</v>
      </c>
      <c r="C933" s="254"/>
      <c r="D933" s="254"/>
      <c r="E933" s="254"/>
      <c r="F933" s="254"/>
      <c r="G933" s="254"/>
    </row>
    <row r="934" spans="1:7" ht="21">
      <c r="A934" s="255" t="s">
        <v>462</v>
      </c>
      <c r="B934" s="256"/>
      <c r="C934" s="257" t="s">
        <v>4</v>
      </c>
      <c r="D934" s="257" t="s">
        <v>243</v>
      </c>
      <c r="E934" s="257" t="s">
        <v>244</v>
      </c>
      <c r="F934" s="257" t="s">
        <v>245</v>
      </c>
      <c r="G934" s="257" t="s">
        <v>246</v>
      </c>
    </row>
    <row r="935" spans="1:7" ht="20">
      <c r="A935" s="258" t="s">
        <v>467</v>
      </c>
      <c r="B935" s="259" t="s">
        <v>468</v>
      </c>
      <c r="C935" s="260" t="s">
        <v>26</v>
      </c>
      <c r="D935" s="260" t="s">
        <v>265</v>
      </c>
      <c r="E935" s="262">
        <v>1</v>
      </c>
      <c r="F935" s="301">
        <v>0.92</v>
      </c>
      <c r="G935" s="262">
        <f t="shared" ref="G935:G940" si="10">TRUNC(TRUNC(E935,8)*F935,2)</f>
        <v>0.92</v>
      </c>
    </row>
    <row r="936" spans="1:7" ht="20">
      <c r="A936" s="258" t="s">
        <v>475</v>
      </c>
      <c r="B936" s="259" t="s">
        <v>476</v>
      </c>
      <c r="C936" s="260" t="s">
        <v>26</v>
      </c>
      <c r="D936" s="260" t="s">
        <v>265</v>
      </c>
      <c r="E936" s="262">
        <v>1</v>
      </c>
      <c r="F936" s="301">
        <v>1.26</v>
      </c>
      <c r="G936" s="262">
        <f t="shared" si="10"/>
        <v>1.26</v>
      </c>
    </row>
    <row r="937" spans="1:7" ht="20">
      <c r="A937" s="258" t="s">
        <v>460</v>
      </c>
      <c r="B937" s="259" t="s">
        <v>461</v>
      </c>
      <c r="C937" s="260" t="s">
        <v>26</v>
      </c>
      <c r="D937" s="260" t="s">
        <v>265</v>
      </c>
      <c r="E937" s="262">
        <v>1</v>
      </c>
      <c r="F937" s="301">
        <v>1.43</v>
      </c>
      <c r="G937" s="262">
        <f t="shared" si="10"/>
        <v>1.43</v>
      </c>
    </row>
    <row r="938" spans="1:7" ht="20">
      <c r="A938" s="258" t="s">
        <v>483</v>
      </c>
      <c r="B938" s="259" t="s">
        <v>484</v>
      </c>
      <c r="C938" s="260" t="s">
        <v>26</v>
      </c>
      <c r="D938" s="260" t="s">
        <v>265</v>
      </c>
      <c r="E938" s="262">
        <v>1</v>
      </c>
      <c r="F938" s="301">
        <v>0.86</v>
      </c>
      <c r="G938" s="262">
        <f t="shared" si="10"/>
        <v>0.86</v>
      </c>
    </row>
    <row r="939" spans="1:7" ht="20">
      <c r="A939" s="258" t="s">
        <v>570</v>
      </c>
      <c r="B939" s="259" t="s">
        <v>571</v>
      </c>
      <c r="C939" s="260" t="s">
        <v>26</v>
      </c>
      <c r="D939" s="260" t="s">
        <v>265</v>
      </c>
      <c r="E939" s="262">
        <v>1</v>
      </c>
      <c r="F939" s="301">
        <v>0.08</v>
      </c>
      <c r="G939" s="262">
        <f t="shared" si="10"/>
        <v>0.08</v>
      </c>
    </row>
    <row r="940" spans="1:7" ht="20">
      <c r="A940" s="258" t="s">
        <v>473</v>
      </c>
      <c r="B940" s="259" t="s">
        <v>474</v>
      </c>
      <c r="C940" s="260" t="s">
        <v>26</v>
      </c>
      <c r="D940" s="260" t="s">
        <v>265</v>
      </c>
      <c r="E940" s="262">
        <v>1</v>
      </c>
      <c r="F940" s="301">
        <v>0.8</v>
      </c>
      <c r="G940" s="262">
        <f t="shared" si="10"/>
        <v>0.8</v>
      </c>
    </row>
    <row r="941" spans="1:7" ht="21">
      <c r="A941" s="263"/>
      <c r="B941" s="264"/>
      <c r="C941" s="264"/>
      <c r="D941" s="264"/>
      <c r="E941" s="265" t="s">
        <v>1302</v>
      </c>
      <c r="F941" s="265"/>
      <c r="G941" s="266">
        <f>SUM(G935:G940)</f>
        <v>5.3500000000000005</v>
      </c>
    </row>
    <row r="942" spans="1:7" ht="21">
      <c r="A942" s="255" t="s">
        <v>447</v>
      </c>
      <c r="B942" s="256"/>
      <c r="C942" s="257" t="s">
        <v>4</v>
      </c>
      <c r="D942" s="257" t="s">
        <v>243</v>
      </c>
      <c r="E942" s="257" t="s">
        <v>244</v>
      </c>
      <c r="F942" s="257" t="s">
        <v>245</v>
      </c>
      <c r="G942" s="257" t="s">
        <v>246</v>
      </c>
    </row>
    <row r="943" spans="1:7">
      <c r="A943" s="258" t="s">
        <v>463</v>
      </c>
      <c r="B943" s="259" t="s">
        <v>464</v>
      </c>
      <c r="C943" s="260" t="s">
        <v>26</v>
      </c>
      <c r="D943" s="260" t="s">
        <v>265</v>
      </c>
      <c r="E943" s="262">
        <v>1</v>
      </c>
      <c r="F943" s="301">
        <v>18.600000000000001</v>
      </c>
      <c r="G943" s="262">
        <f>TRUNC(TRUNC(E943,8)*F943,2)</f>
        <v>18.600000000000001</v>
      </c>
    </row>
    <row r="944" spans="1:7">
      <c r="A944" s="263"/>
      <c r="B944" s="264"/>
      <c r="C944" s="264"/>
      <c r="D944" s="264"/>
      <c r="E944" s="265" t="s">
        <v>1303</v>
      </c>
      <c r="F944" s="265"/>
      <c r="G944" s="266">
        <f>SUM(G943:G943)</f>
        <v>18.600000000000001</v>
      </c>
    </row>
    <row r="945" spans="1:7" ht="21">
      <c r="A945" s="255" t="s">
        <v>250</v>
      </c>
      <c r="B945" s="256"/>
      <c r="C945" s="257" t="s">
        <v>4</v>
      </c>
      <c r="D945" s="257" t="s">
        <v>243</v>
      </c>
      <c r="E945" s="257" t="s">
        <v>244</v>
      </c>
      <c r="F945" s="257" t="s">
        <v>245</v>
      </c>
      <c r="G945" s="257" t="s">
        <v>246</v>
      </c>
    </row>
    <row r="946" spans="1:7" ht="20">
      <c r="A946" s="258" t="s">
        <v>1088</v>
      </c>
      <c r="B946" s="259" t="s">
        <v>1089</v>
      </c>
      <c r="C946" s="260" t="s">
        <v>26</v>
      </c>
      <c r="D946" s="260" t="s">
        <v>265</v>
      </c>
      <c r="E946" s="262">
        <v>1</v>
      </c>
      <c r="F946" s="301">
        <v>0.56999999999999995</v>
      </c>
      <c r="G946" s="262">
        <f>TRUNC(TRUNC(E946,8)*F946,2)</f>
        <v>0.56999999999999995</v>
      </c>
    </row>
    <row r="947" spans="1:7">
      <c r="A947" s="263"/>
      <c r="B947" s="264"/>
      <c r="C947" s="264"/>
      <c r="D947" s="264"/>
      <c r="E947" s="265" t="s">
        <v>1301</v>
      </c>
      <c r="F947" s="265"/>
      <c r="G947" s="266">
        <f>SUM(G946:G946)</f>
        <v>0.56999999999999995</v>
      </c>
    </row>
    <row r="948" spans="1:7">
      <c r="A948" s="263"/>
      <c r="B948" s="264"/>
      <c r="C948" s="264"/>
      <c r="D948" s="264"/>
      <c r="E948" s="267" t="s">
        <v>255</v>
      </c>
      <c r="F948" s="267">
        <f>A933</f>
        <v>88279</v>
      </c>
      <c r="G948" s="268">
        <f>SUM(G941,G944,G947)</f>
        <v>24.520000000000003</v>
      </c>
    </row>
    <row r="949" spans="1:7">
      <c r="A949" s="263"/>
      <c r="B949" s="264"/>
      <c r="C949" s="264"/>
      <c r="D949" s="264"/>
      <c r="E949" s="269"/>
      <c r="F949" s="269"/>
      <c r="G949" s="269"/>
    </row>
    <row r="950" spans="1:7" ht="21">
      <c r="A950" s="253">
        <v>88281</v>
      </c>
      <c r="B950" s="254" t="s">
        <v>1256</v>
      </c>
      <c r="C950" s="254"/>
      <c r="D950" s="254"/>
      <c r="E950" s="254"/>
      <c r="F950" s="254"/>
      <c r="G950" s="254"/>
    </row>
    <row r="951" spans="1:7" ht="21">
      <c r="A951" s="255" t="s">
        <v>462</v>
      </c>
      <c r="B951" s="256"/>
      <c r="C951" s="257" t="s">
        <v>4</v>
      </c>
      <c r="D951" s="257" t="s">
        <v>243</v>
      </c>
      <c r="E951" s="257" t="s">
        <v>244</v>
      </c>
      <c r="F951" s="257" t="s">
        <v>245</v>
      </c>
      <c r="G951" s="257" t="s">
        <v>246</v>
      </c>
    </row>
    <row r="952" spans="1:7" ht="20">
      <c r="A952" s="258" t="s">
        <v>467</v>
      </c>
      <c r="B952" s="259" t="s">
        <v>468</v>
      </c>
      <c r="C952" s="260" t="s">
        <v>26</v>
      </c>
      <c r="D952" s="260" t="s">
        <v>265</v>
      </c>
      <c r="E952" s="262">
        <v>1</v>
      </c>
      <c r="F952" s="301">
        <v>0.92</v>
      </c>
      <c r="G952" s="262">
        <f t="shared" ref="G952:G957" si="11">TRUNC(TRUNC(E952,8)*F952,2)</f>
        <v>0.92</v>
      </c>
    </row>
    <row r="953" spans="1:7" ht="20">
      <c r="A953" s="258" t="s">
        <v>546</v>
      </c>
      <c r="B953" s="259" t="s">
        <v>547</v>
      </c>
      <c r="C953" s="260" t="s">
        <v>26</v>
      </c>
      <c r="D953" s="260" t="s">
        <v>265</v>
      </c>
      <c r="E953" s="262">
        <v>1</v>
      </c>
      <c r="F953" s="301">
        <v>0.89</v>
      </c>
      <c r="G953" s="262">
        <f t="shared" si="11"/>
        <v>0.89</v>
      </c>
    </row>
    <row r="954" spans="1:7" ht="20">
      <c r="A954" s="258" t="s">
        <v>460</v>
      </c>
      <c r="B954" s="259" t="s">
        <v>461</v>
      </c>
      <c r="C954" s="260" t="s">
        <v>26</v>
      </c>
      <c r="D954" s="260" t="s">
        <v>265</v>
      </c>
      <c r="E954" s="262">
        <v>1</v>
      </c>
      <c r="F954" s="301">
        <v>1.43</v>
      </c>
      <c r="G954" s="262">
        <f t="shared" si="11"/>
        <v>1.43</v>
      </c>
    </row>
    <row r="955" spans="1:7" ht="20">
      <c r="A955" s="258" t="s">
        <v>618</v>
      </c>
      <c r="B955" s="259" t="s">
        <v>619</v>
      </c>
      <c r="C955" s="260" t="s">
        <v>26</v>
      </c>
      <c r="D955" s="260" t="s">
        <v>265</v>
      </c>
      <c r="E955" s="262">
        <v>1</v>
      </c>
      <c r="F955" s="301">
        <v>0.01</v>
      </c>
      <c r="G955" s="262">
        <f t="shared" si="11"/>
        <v>0.01</v>
      </c>
    </row>
    <row r="956" spans="1:7" ht="20">
      <c r="A956" s="258" t="s">
        <v>570</v>
      </c>
      <c r="B956" s="259" t="s">
        <v>571</v>
      </c>
      <c r="C956" s="260" t="s">
        <v>26</v>
      </c>
      <c r="D956" s="260" t="s">
        <v>265</v>
      </c>
      <c r="E956" s="262">
        <v>1</v>
      </c>
      <c r="F956" s="301">
        <v>0.08</v>
      </c>
      <c r="G956" s="262">
        <f t="shared" si="11"/>
        <v>0.08</v>
      </c>
    </row>
    <row r="957" spans="1:7" ht="20">
      <c r="A957" s="258" t="s">
        <v>473</v>
      </c>
      <c r="B957" s="259" t="s">
        <v>474</v>
      </c>
      <c r="C957" s="260" t="s">
        <v>26</v>
      </c>
      <c r="D957" s="260" t="s">
        <v>265</v>
      </c>
      <c r="E957" s="262">
        <v>1</v>
      </c>
      <c r="F957" s="301">
        <v>0.8</v>
      </c>
      <c r="G957" s="262">
        <f t="shared" si="11"/>
        <v>0.8</v>
      </c>
    </row>
    <row r="958" spans="1:7" ht="21">
      <c r="A958" s="263"/>
      <c r="B958" s="264"/>
      <c r="C958" s="264"/>
      <c r="D958" s="264"/>
      <c r="E958" s="265" t="s">
        <v>1302</v>
      </c>
      <c r="F958" s="265"/>
      <c r="G958" s="266">
        <f>SUM(G952:G957)</f>
        <v>4.13</v>
      </c>
    </row>
    <row r="959" spans="1:7" ht="21">
      <c r="A959" s="255" t="s">
        <v>447</v>
      </c>
      <c r="B959" s="256"/>
      <c r="C959" s="257" t="s">
        <v>4</v>
      </c>
      <c r="D959" s="257" t="s">
        <v>243</v>
      </c>
      <c r="E959" s="257" t="s">
        <v>244</v>
      </c>
      <c r="F959" s="257" t="s">
        <v>245</v>
      </c>
      <c r="G959" s="257" t="s">
        <v>246</v>
      </c>
    </row>
    <row r="960" spans="1:7">
      <c r="A960" s="258" t="s">
        <v>505</v>
      </c>
      <c r="B960" s="259" t="s">
        <v>506</v>
      </c>
      <c r="C960" s="260" t="s">
        <v>26</v>
      </c>
      <c r="D960" s="260" t="s">
        <v>265</v>
      </c>
      <c r="E960" s="262">
        <v>1</v>
      </c>
      <c r="F960" s="301">
        <v>21.74</v>
      </c>
      <c r="G960" s="262">
        <f>TRUNC(TRUNC(E960,8)*F960,2)</f>
        <v>21.74</v>
      </c>
    </row>
    <row r="961" spans="1:7">
      <c r="A961" s="263"/>
      <c r="B961" s="264"/>
      <c r="C961" s="264"/>
      <c r="D961" s="264"/>
      <c r="E961" s="265" t="s">
        <v>1303</v>
      </c>
      <c r="F961" s="265"/>
      <c r="G961" s="266">
        <f>SUM(G960:G960)</f>
        <v>21.74</v>
      </c>
    </row>
    <row r="962" spans="1:7" ht="21">
      <c r="A962" s="255" t="s">
        <v>250</v>
      </c>
      <c r="B962" s="256"/>
      <c r="C962" s="257" t="s">
        <v>4</v>
      </c>
      <c r="D962" s="257" t="s">
        <v>243</v>
      </c>
      <c r="E962" s="257" t="s">
        <v>244</v>
      </c>
      <c r="F962" s="257" t="s">
        <v>245</v>
      </c>
      <c r="G962" s="257" t="s">
        <v>246</v>
      </c>
    </row>
    <row r="963" spans="1:7" ht="20">
      <c r="A963" s="258" t="s">
        <v>1090</v>
      </c>
      <c r="B963" s="259" t="s">
        <v>1091</v>
      </c>
      <c r="C963" s="260" t="s">
        <v>26</v>
      </c>
      <c r="D963" s="260" t="s">
        <v>265</v>
      </c>
      <c r="E963" s="262">
        <v>1</v>
      </c>
      <c r="F963" s="301">
        <v>0.11</v>
      </c>
      <c r="G963" s="262">
        <f>TRUNC(TRUNC(E963,8)*F963,2)</f>
        <v>0.11</v>
      </c>
    </row>
    <row r="964" spans="1:7">
      <c r="A964" s="263"/>
      <c r="B964" s="264"/>
      <c r="C964" s="264"/>
      <c r="D964" s="264"/>
      <c r="E964" s="265" t="s">
        <v>1301</v>
      </c>
      <c r="F964" s="265"/>
      <c r="G964" s="266">
        <f>SUM(G963:G963)</f>
        <v>0.11</v>
      </c>
    </row>
    <row r="965" spans="1:7">
      <c r="A965" s="263"/>
      <c r="B965" s="264"/>
      <c r="C965" s="264"/>
      <c r="D965" s="264"/>
      <c r="E965" s="267" t="s">
        <v>255</v>
      </c>
      <c r="F965" s="267">
        <f>A950</f>
        <v>88281</v>
      </c>
      <c r="G965" s="268">
        <f>SUM(G958,G961,G964)</f>
        <v>25.979999999999997</v>
      </c>
    </row>
    <row r="966" spans="1:7">
      <c r="A966" s="263"/>
      <c r="B966" s="264"/>
      <c r="C966" s="264"/>
      <c r="D966" s="264"/>
      <c r="E966" s="269"/>
      <c r="F966" s="269"/>
      <c r="G966" s="269"/>
    </row>
    <row r="967" spans="1:7" ht="21">
      <c r="A967" s="253">
        <v>88286</v>
      </c>
      <c r="B967" s="254" t="s">
        <v>1257</v>
      </c>
      <c r="C967" s="254"/>
      <c r="D967" s="254"/>
      <c r="E967" s="254"/>
      <c r="F967" s="254"/>
      <c r="G967" s="254"/>
    </row>
    <row r="968" spans="1:7" ht="21">
      <c r="A968" s="255" t="s">
        <v>462</v>
      </c>
      <c r="B968" s="256"/>
      <c r="C968" s="257" t="s">
        <v>4</v>
      </c>
      <c r="D968" s="257" t="s">
        <v>243</v>
      </c>
      <c r="E968" s="257" t="s">
        <v>244</v>
      </c>
      <c r="F968" s="257" t="s">
        <v>245</v>
      </c>
      <c r="G968" s="257" t="s">
        <v>246</v>
      </c>
    </row>
    <row r="969" spans="1:7" ht="20">
      <c r="A969" s="258" t="s">
        <v>467</v>
      </c>
      <c r="B969" s="259" t="s">
        <v>468</v>
      </c>
      <c r="C969" s="260" t="s">
        <v>26</v>
      </c>
      <c r="D969" s="260" t="s">
        <v>265</v>
      </c>
      <c r="E969" s="262">
        <v>1</v>
      </c>
      <c r="F969" s="301">
        <v>0.92</v>
      </c>
      <c r="G969" s="262">
        <f t="shared" ref="G969:G974" si="12">TRUNC(TRUNC(E969,8)*F969,2)</f>
        <v>0.92</v>
      </c>
    </row>
    <row r="970" spans="1:7" ht="20">
      <c r="A970" s="258" t="s">
        <v>546</v>
      </c>
      <c r="B970" s="259" t="s">
        <v>547</v>
      </c>
      <c r="C970" s="260" t="s">
        <v>26</v>
      </c>
      <c r="D970" s="260" t="s">
        <v>265</v>
      </c>
      <c r="E970" s="262">
        <v>1</v>
      </c>
      <c r="F970" s="301">
        <v>0.89</v>
      </c>
      <c r="G970" s="262">
        <f t="shared" si="12"/>
        <v>0.89</v>
      </c>
    </row>
    <row r="971" spans="1:7" ht="20">
      <c r="A971" s="258" t="s">
        <v>460</v>
      </c>
      <c r="B971" s="259" t="s">
        <v>461</v>
      </c>
      <c r="C971" s="260" t="s">
        <v>26</v>
      </c>
      <c r="D971" s="260" t="s">
        <v>265</v>
      </c>
      <c r="E971" s="262">
        <v>1</v>
      </c>
      <c r="F971" s="301">
        <v>1.43</v>
      </c>
      <c r="G971" s="262">
        <f t="shared" si="12"/>
        <v>1.43</v>
      </c>
    </row>
    <row r="972" spans="1:7" ht="20">
      <c r="A972" s="258" t="s">
        <v>618</v>
      </c>
      <c r="B972" s="259" t="s">
        <v>619</v>
      </c>
      <c r="C972" s="260" t="s">
        <v>26</v>
      </c>
      <c r="D972" s="260" t="s">
        <v>265</v>
      </c>
      <c r="E972" s="262">
        <v>1</v>
      </c>
      <c r="F972" s="301">
        <v>0.01</v>
      </c>
      <c r="G972" s="262">
        <f t="shared" si="12"/>
        <v>0.01</v>
      </c>
    </row>
    <row r="973" spans="1:7" ht="20">
      <c r="A973" s="258" t="s">
        <v>570</v>
      </c>
      <c r="B973" s="259" t="s">
        <v>571</v>
      </c>
      <c r="C973" s="260" t="s">
        <v>26</v>
      </c>
      <c r="D973" s="260" t="s">
        <v>265</v>
      </c>
      <c r="E973" s="262">
        <v>1</v>
      </c>
      <c r="F973" s="301">
        <v>0.08</v>
      </c>
      <c r="G973" s="262">
        <f t="shared" si="12"/>
        <v>0.08</v>
      </c>
    </row>
    <row r="974" spans="1:7" ht="20">
      <c r="A974" s="258" t="s">
        <v>473</v>
      </c>
      <c r="B974" s="259" t="s">
        <v>474</v>
      </c>
      <c r="C974" s="260" t="s">
        <v>26</v>
      </c>
      <c r="D974" s="260" t="s">
        <v>265</v>
      </c>
      <c r="E974" s="262">
        <v>1</v>
      </c>
      <c r="F974" s="301">
        <v>0.8</v>
      </c>
      <c r="G974" s="262">
        <f t="shared" si="12"/>
        <v>0.8</v>
      </c>
    </row>
    <row r="975" spans="1:7" ht="21">
      <c r="A975" s="263"/>
      <c r="B975" s="264"/>
      <c r="C975" s="264"/>
      <c r="D975" s="264"/>
      <c r="E975" s="265" t="s">
        <v>1302</v>
      </c>
      <c r="F975" s="265"/>
      <c r="G975" s="266">
        <f>SUM(G969:G974)</f>
        <v>4.13</v>
      </c>
    </row>
    <row r="976" spans="1:7" ht="21">
      <c r="A976" s="255" t="s">
        <v>447</v>
      </c>
      <c r="B976" s="256"/>
      <c r="C976" s="257" t="s">
        <v>4</v>
      </c>
      <c r="D976" s="257" t="s">
        <v>243</v>
      </c>
      <c r="E976" s="257" t="s">
        <v>244</v>
      </c>
      <c r="F976" s="257" t="s">
        <v>245</v>
      </c>
      <c r="G976" s="257" t="s">
        <v>246</v>
      </c>
    </row>
    <row r="977" spans="1:7">
      <c r="A977" s="258" t="s">
        <v>491</v>
      </c>
      <c r="B977" s="259" t="s">
        <v>492</v>
      </c>
      <c r="C977" s="260" t="s">
        <v>26</v>
      </c>
      <c r="D977" s="260" t="s">
        <v>265</v>
      </c>
      <c r="E977" s="262">
        <v>1</v>
      </c>
      <c r="F977" s="301">
        <v>23.45</v>
      </c>
      <c r="G977" s="262">
        <f>TRUNC(TRUNC(E977,8)*F977,2)</f>
        <v>23.45</v>
      </c>
    </row>
    <row r="978" spans="1:7">
      <c r="A978" s="263"/>
      <c r="B978" s="264"/>
      <c r="C978" s="264"/>
      <c r="D978" s="264"/>
      <c r="E978" s="265" t="s">
        <v>1303</v>
      </c>
      <c r="F978" s="265"/>
      <c r="G978" s="266">
        <f>SUM(G977:G977)</f>
        <v>23.45</v>
      </c>
    </row>
    <row r="979" spans="1:7" ht="21">
      <c r="A979" s="255" t="s">
        <v>250</v>
      </c>
      <c r="B979" s="256"/>
      <c r="C979" s="257" t="s">
        <v>4</v>
      </c>
      <c r="D979" s="257" t="s">
        <v>243</v>
      </c>
      <c r="E979" s="257" t="s">
        <v>244</v>
      </c>
      <c r="F979" s="257" t="s">
        <v>245</v>
      </c>
      <c r="G979" s="257" t="s">
        <v>246</v>
      </c>
    </row>
    <row r="980" spans="1:7" ht="20">
      <c r="A980" s="258" t="s">
        <v>1092</v>
      </c>
      <c r="B980" s="259" t="s">
        <v>1093</v>
      </c>
      <c r="C980" s="260" t="s">
        <v>26</v>
      </c>
      <c r="D980" s="260" t="s">
        <v>265</v>
      </c>
      <c r="E980" s="262">
        <v>1</v>
      </c>
      <c r="F980" s="301">
        <v>0.38</v>
      </c>
      <c r="G980" s="262">
        <f>TRUNC(TRUNC(E980,8)*F980,2)</f>
        <v>0.38</v>
      </c>
    </row>
    <row r="981" spans="1:7">
      <c r="A981" s="263"/>
      <c r="B981" s="264"/>
      <c r="C981" s="264"/>
      <c r="D981" s="264"/>
      <c r="E981" s="265" t="s">
        <v>1301</v>
      </c>
      <c r="F981" s="265"/>
      <c r="G981" s="266">
        <f>SUM(G980:G980)</f>
        <v>0.38</v>
      </c>
    </row>
    <row r="982" spans="1:7">
      <c r="A982" s="263"/>
      <c r="B982" s="264"/>
      <c r="C982" s="264"/>
      <c r="D982" s="264"/>
      <c r="E982" s="267" t="s">
        <v>255</v>
      </c>
      <c r="F982" s="267">
        <f>A967</f>
        <v>88286</v>
      </c>
      <c r="G982" s="268">
        <f>SUM(G975,G978,G981)</f>
        <v>27.959999999999997</v>
      </c>
    </row>
    <row r="983" spans="1:7">
      <c r="A983" s="263"/>
      <c r="B983" s="264"/>
      <c r="C983" s="264"/>
      <c r="D983" s="264"/>
      <c r="E983" s="269"/>
      <c r="F983" s="269"/>
      <c r="G983" s="269"/>
    </row>
    <row r="984" spans="1:7" ht="52.5">
      <c r="A984" s="253">
        <v>93409</v>
      </c>
      <c r="B984" s="254" t="s">
        <v>1258</v>
      </c>
      <c r="C984" s="254"/>
      <c r="D984" s="254"/>
      <c r="E984" s="254"/>
      <c r="F984" s="254"/>
      <c r="G984" s="254"/>
    </row>
    <row r="985" spans="1:7" ht="21">
      <c r="A985" s="255" t="s">
        <v>242</v>
      </c>
      <c r="B985" s="256"/>
      <c r="C985" s="257" t="s">
        <v>4</v>
      </c>
      <c r="D985" s="257" t="s">
        <v>243</v>
      </c>
      <c r="E985" s="257" t="s">
        <v>244</v>
      </c>
      <c r="F985" s="257" t="s">
        <v>245</v>
      </c>
      <c r="G985" s="257" t="s">
        <v>246</v>
      </c>
    </row>
    <row r="986" spans="1:7" ht="20">
      <c r="A986" s="258" t="s">
        <v>1080</v>
      </c>
      <c r="B986" s="259" t="s">
        <v>1081</v>
      </c>
      <c r="C986" s="260" t="s">
        <v>26</v>
      </c>
      <c r="D986" s="260" t="s">
        <v>265</v>
      </c>
      <c r="E986" s="262">
        <v>1</v>
      </c>
      <c r="F986" s="301">
        <v>21.97</v>
      </c>
      <c r="G986" s="262">
        <f>TRUNC(TRUNC(E986,8)*F986,2)</f>
        <v>21.97</v>
      </c>
    </row>
    <row r="987" spans="1:7">
      <c r="A987" s="263"/>
      <c r="B987" s="264"/>
      <c r="C987" s="264"/>
      <c r="D987" s="264"/>
      <c r="E987" s="265" t="s">
        <v>1299</v>
      </c>
      <c r="F987" s="265"/>
      <c r="G987" s="266">
        <f>SUM(G986:G986)</f>
        <v>21.97</v>
      </c>
    </row>
    <row r="988" spans="1:7" ht="21">
      <c r="A988" s="255" t="s">
        <v>250</v>
      </c>
      <c r="B988" s="256"/>
      <c r="C988" s="257" t="s">
        <v>4</v>
      </c>
      <c r="D988" s="257" t="s">
        <v>243</v>
      </c>
      <c r="E988" s="257" t="s">
        <v>244</v>
      </c>
      <c r="F988" s="257" t="s">
        <v>245</v>
      </c>
      <c r="G988" s="257" t="s">
        <v>246</v>
      </c>
    </row>
    <row r="989" spans="1:7" ht="50">
      <c r="A989" s="258" t="s">
        <v>1094</v>
      </c>
      <c r="B989" s="259" t="s">
        <v>1095</v>
      </c>
      <c r="C989" s="260" t="s">
        <v>26</v>
      </c>
      <c r="D989" s="260" t="s">
        <v>265</v>
      </c>
      <c r="E989" s="262">
        <v>1</v>
      </c>
      <c r="F989" s="301">
        <v>7.74</v>
      </c>
      <c r="G989" s="262">
        <f>TRUNC(TRUNC(E989,8)*F989,2)</f>
        <v>7.74</v>
      </c>
    </row>
    <row r="990" spans="1:7" ht="40">
      <c r="A990" s="258" t="s">
        <v>1096</v>
      </c>
      <c r="B990" s="259" t="s">
        <v>1097</v>
      </c>
      <c r="C990" s="260" t="s">
        <v>26</v>
      </c>
      <c r="D990" s="260" t="s">
        <v>265</v>
      </c>
      <c r="E990" s="262">
        <v>1</v>
      </c>
      <c r="F990" s="301">
        <v>1.97</v>
      </c>
      <c r="G990" s="262">
        <f>TRUNC(TRUNC(E990,8)*F990,2)</f>
        <v>1.97</v>
      </c>
    </row>
    <row r="991" spans="1:7">
      <c r="A991" s="263"/>
      <c r="B991" s="264"/>
      <c r="C991" s="264"/>
      <c r="D991" s="264"/>
      <c r="E991" s="265" t="s">
        <v>1301</v>
      </c>
      <c r="F991" s="265"/>
      <c r="G991" s="266">
        <f>SUM(G989:G990)</f>
        <v>9.7100000000000009</v>
      </c>
    </row>
    <row r="992" spans="1:7">
      <c r="A992" s="263"/>
      <c r="B992" s="264"/>
      <c r="C992" s="264"/>
      <c r="D992" s="264"/>
      <c r="E992" s="267" t="s">
        <v>255</v>
      </c>
      <c r="F992" s="267">
        <f>A984</f>
        <v>93409</v>
      </c>
      <c r="G992" s="268">
        <f>SUM(G987,G991)</f>
        <v>31.68</v>
      </c>
    </row>
    <row r="993" spans="1:7">
      <c r="A993" s="263"/>
      <c r="B993" s="264"/>
      <c r="C993" s="264"/>
      <c r="D993" s="264"/>
      <c r="E993" s="269"/>
      <c r="F993" s="269"/>
      <c r="G993" s="269"/>
    </row>
    <row r="994" spans="1:7" ht="52.5">
      <c r="A994" s="253">
        <v>93408</v>
      </c>
      <c r="B994" s="254" t="s">
        <v>1259</v>
      </c>
      <c r="C994" s="254"/>
      <c r="D994" s="254"/>
      <c r="E994" s="254"/>
      <c r="F994" s="254"/>
      <c r="G994" s="254"/>
    </row>
    <row r="995" spans="1:7" ht="21">
      <c r="A995" s="255" t="s">
        <v>242</v>
      </c>
      <c r="B995" s="256"/>
      <c r="C995" s="257" t="s">
        <v>4</v>
      </c>
      <c r="D995" s="257" t="s">
        <v>243</v>
      </c>
      <c r="E995" s="257" t="s">
        <v>244</v>
      </c>
      <c r="F995" s="257" t="s">
        <v>245</v>
      </c>
      <c r="G995" s="257" t="s">
        <v>246</v>
      </c>
    </row>
    <row r="996" spans="1:7" ht="20">
      <c r="A996" s="258" t="s">
        <v>1080</v>
      </c>
      <c r="B996" s="259" t="s">
        <v>1081</v>
      </c>
      <c r="C996" s="260" t="s">
        <v>26</v>
      </c>
      <c r="D996" s="260" t="s">
        <v>265</v>
      </c>
      <c r="E996" s="262">
        <v>1</v>
      </c>
      <c r="F996" s="301">
        <v>21.97</v>
      </c>
      <c r="G996" s="262">
        <f>TRUNC(TRUNC(E996,8)*F996,2)</f>
        <v>21.97</v>
      </c>
    </row>
    <row r="997" spans="1:7">
      <c r="A997" s="263"/>
      <c r="B997" s="264"/>
      <c r="C997" s="264"/>
      <c r="D997" s="264"/>
      <c r="E997" s="265" t="s">
        <v>1299</v>
      </c>
      <c r="F997" s="265"/>
      <c r="G997" s="266">
        <f>SUM(G996:G996)</f>
        <v>21.97</v>
      </c>
    </row>
    <row r="998" spans="1:7" ht="21">
      <c r="A998" s="255" t="s">
        <v>250</v>
      </c>
      <c r="B998" s="256"/>
      <c r="C998" s="257" t="s">
        <v>4</v>
      </c>
      <c r="D998" s="257" t="s">
        <v>243</v>
      </c>
      <c r="E998" s="257" t="s">
        <v>244</v>
      </c>
      <c r="F998" s="257" t="s">
        <v>245</v>
      </c>
      <c r="G998" s="257" t="s">
        <v>246</v>
      </c>
    </row>
    <row r="999" spans="1:7" ht="50">
      <c r="A999" s="258" t="s">
        <v>1094</v>
      </c>
      <c r="B999" s="259" t="s">
        <v>1095</v>
      </c>
      <c r="C999" s="260" t="s">
        <v>26</v>
      </c>
      <c r="D999" s="260" t="s">
        <v>265</v>
      </c>
      <c r="E999" s="262">
        <v>1</v>
      </c>
      <c r="F999" s="301">
        <v>7.74</v>
      </c>
      <c r="G999" s="262">
        <f>TRUNC(TRUNC(E999,8)*F999,2)</f>
        <v>7.74</v>
      </c>
    </row>
    <row r="1000" spans="1:7" ht="40">
      <c r="A1000" s="258" t="s">
        <v>1096</v>
      </c>
      <c r="B1000" s="259" t="s">
        <v>1097</v>
      </c>
      <c r="C1000" s="260" t="s">
        <v>26</v>
      </c>
      <c r="D1000" s="260" t="s">
        <v>265</v>
      </c>
      <c r="E1000" s="262">
        <v>1</v>
      </c>
      <c r="F1000" s="301">
        <v>1.97</v>
      </c>
      <c r="G1000" s="262">
        <f>TRUNC(TRUNC(E1000,8)*F1000,2)</f>
        <v>1.97</v>
      </c>
    </row>
    <row r="1001" spans="1:7" ht="50">
      <c r="A1001" s="258" t="s">
        <v>1098</v>
      </c>
      <c r="B1001" s="259" t="s">
        <v>1099</v>
      </c>
      <c r="C1001" s="260" t="s">
        <v>26</v>
      </c>
      <c r="D1001" s="260" t="s">
        <v>265</v>
      </c>
      <c r="E1001" s="262">
        <v>1</v>
      </c>
      <c r="F1001" s="301">
        <v>9.2899999999999991</v>
      </c>
      <c r="G1001" s="262">
        <f>TRUNC(TRUNC(E1001,8)*F1001,2)</f>
        <v>9.2899999999999991</v>
      </c>
    </row>
    <row r="1002" spans="1:7" ht="50">
      <c r="A1002" s="258" t="s">
        <v>1100</v>
      </c>
      <c r="B1002" s="259" t="s">
        <v>1101</v>
      </c>
      <c r="C1002" s="260" t="s">
        <v>26</v>
      </c>
      <c r="D1002" s="260" t="s">
        <v>265</v>
      </c>
      <c r="E1002" s="262">
        <v>1</v>
      </c>
      <c r="F1002" s="301">
        <v>49.56</v>
      </c>
      <c r="G1002" s="262">
        <f>TRUNC(TRUNC(E1002,8)*F1002,2)</f>
        <v>49.56</v>
      </c>
    </row>
    <row r="1003" spans="1:7">
      <c r="A1003" s="263"/>
      <c r="B1003" s="264"/>
      <c r="C1003" s="264"/>
      <c r="D1003" s="264"/>
      <c r="E1003" s="265" t="s">
        <v>1301</v>
      </c>
      <c r="F1003" s="265"/>
      <c r="G1003" s="266">
        <f>SUM(G999:G1002)</f>
        <v>68.56</v>
      </c>
    </row>
    <row r="1004" spans="1:7">
      <c r="A1004" s="263"/>
      <c r="B1004" s="264"/>
      <c r="C1004" s="264"/>
      <c r="D1004" s="264"/>
      <c r="E1004" s="267" t="s">
        <v>255</v>
      </c>
      <c r="F1004" s="267">
        <f>A994</f>
        <v>93408</v>
      </c>
      <c r="G1004" s="268">
        <f>SUM(G997,G1003)</f>
        <v>90.53</v>
      </c>
    </row>
    <row r="1005" spans="1:7">
      <c r="A1005" s="263"/>
      <c r="B1005" s="264"/>
      <c r="C1005" s="264"/>
      <c r="D1005" s="264"/>
      <c r="E1005" s="269"/>
      <c r="F1005" s="269"/>
      <c r="G1005" s="269"/>
    </row>
    <row r="1006" spans="1:7" ht="52.5">
      <c r="A1006" s="253">
        <v>93404</v>
      </c>
      <c r="B1006" s="254" t="s">
        <v>1260</v>
      </c>
      <c r="C1006" s="254"/>
      <c r="D1006" s="254"/>
      <c r="E1006" s="254"/>
      <c r="F1006" s="254"/>
      <c r="G1006" s="254"/>
    </row>
    <row r="1007" spans="1:7" ht="21">
      <c r="A1007" s="255" t="s">
        <v>268</v>
      </c>
      <c r="B1007" s="256"/>
      <c r="C1007" s="257" t="s">
        <v>4</v>
      </c>
      <c r="D1007" s="257" t="s">
        <v>243</v>
      </c>
      <c r="E1007" s="257" t="s">
        <v>244</v>
      </c>
      <c r="F1007" s="257" t="s">
        <v>245</v>
      </c>
      <c r="G1007" s="257" t="s">
        <v>246</v>
      </c>
    </row>
    <row r="1008" spans="1:7" ht="20">
      <c r="A1008" s="258" t="s">
        <v>602</v>
      </c>
      <c r="B1008" s="259" t="s">
        <v>603</v>
      </c>
      <c r="C1008" s="260" t="s">
        <v>26</v>
      </c>
      <c r="D1008" s="260" t="s">
        <v>14</v>
      </c>
      <c r="E1008" s="331">
        <v>5.3300000000000001E-5</v>
      </c>
      <c r="F1008" s="301">
        <v>98588.33</v>
      </c>
      <c r="G1008" s="262">
        <f>TRUNC(TRUNC(E1008,8)*F1008,2)</f>
        <v>5.25</v>
      </c>
    </row>
    <row r="1009" spans="1:7" ht="50">
      <c r="A1009" s="258" t="s">
        <v>612</v>
      </c>
      <c r="B1009" s="259" t="s">
        <v>613</v>
      </c>
      <c r="C1009" s="260" t="s">
        <v>26</v>
      </c>
      <c r="D1009" s="260" t="s">
        <v>14</v>
      </c>
      <c r="E1009" s="324">
        <v>6.3999999999999997E-5</v>
      </c>
      <c r="F1009" s="301">
        <v>38940.199999999997</v>
      </c>
      <c r="G1009" s="262">
        <f>TRUNC(TRUNC(E1009,8)*F1009,2)</f>
        <v>2.4900000000000002</v>
      </c>
    </row>
    <row r="1010" spans="1:7">
      <c r="A1010" s="263"/>
      <c r="B1010" s="264"/>
      <c r="C1010" s="264"/>
      <c r="D1010" s="264"/>
      <c r="E1010" s="265" t="s">
        <v>1300</v>
      </c>
      <c r="F1010" s="265"/>
      <c r="G1010" s="266">
        <f>SUM(G1008:G1009)</f>
        <v>7.74</v>
      </c>
    </row>
    <row r="1011" spans="1:7">
      <c r="A1011" s="263"/>
      <c r="B1011" s="264"/>
      <c r="C1011" s="264"/>
      <c r="D1011" s="264"/>
      <c r="E1011" s="267" t="s">
        <v>255</v>
      </c>
      <c r="F1011" s="267">
        <f>A1006</f>
        <v>93404</v>
      </c>
      <c r="G1011" s="268">
        <f>SUM(G1010)</f>
        <v>7.74</v>
      </c>
    </row>
    <row r="1012" spans="1:7">
      <c r="A1012" s="263"/>
      <c r="B1012" s="264"/>
      <c r="C1012" s="264"/>
      <c r="D1012" s="264"/>
      <c r="E1012" s="269"/>
      <c r="F1012" s="269"/>
      <c r="G1012" s="269"/>
    </row>
    <row r="1013" spans="1:7" ht="52.5">
      <c r="A1013" s="253">
        <v>93405</v>
      </c>
      <c r="B1013" s="254" t="s">
        <v>1261</v>
      </c>
      <c r="C1013" s="254"/>
      <c r="D1013" s="254"/>
      <c r="E1013" s="254"/>
      <c r="F1013" s="254"/>
      <c r="G1013" s="254"/>
    </row>
    <row r="1014" spans="1:7" ht="21">
      <c r="A1014" s="255" t="s">
        <v>268</v>
      </c>
      <c r="B1014" s="256"/>
      <c r="C1014" s="257" t="s">
        <v>4</v>
      </c>
      <c r="D1014" s="257" t="s">
        <v>243</v>
      </c>
      <c r="E1014" s="257" t="s">
        <v>244</v>
      </c>
      <c r="F1014" s="257" t="s">
        <v>245</v>
      </c>
      <c r="G1014" s="257" t="s">
        <v>246</v>
      </c>
    </row>
    <row r="1015" spans="1:7" ht="20">
      <c r="A1015" s="258" t="s">
        <v>602</v>
      </c>
      <c r="B1015" s="259" t="s">
        <v>603</v>
      </c>
      <c r="C1015" s="260" t="s">
        <v>26</v>
      </c>
      <c r="D1015" s="260" t="s">
        <v>14</v>
      </c>
      <c r="E1015" s="331">
        <v>1.43E-5</v>
      </c>
      <c r="F1015" s="301">
        <v>98588.33</v>
      </c>
      <c r="G1015" s="262">
        <f>TRUNC(TRUNC(E1015,8)*F1015,2)</f>
        <v>1.4</v>
      </c>
    </row>
    <row r="1016" spans="1:7" ht="50">
      <c r="A1016" s="258" t="s">
        <v>612</v>
      </c>
      <c r="B1016" s="259" t="s">
        <v>613</v>
      </c>
      <c r="C1016" s="260" t="s">
        <v>26</v>
      </c>
      <c r="D1016" s="260" t="s">
        <v>14</v>
      </c>
      <c r="E1016" s="331">
        <v>1.4800000000000001E-5</v>
      </c>
      <c r="F1016" s="301">
        <v>38940.199999999997</v>
      </c>
      <c r="G1016" s="262">
        <f>TRUNC(TRUNC(E1016,8)*F1016,2)</f>
        <v>0.56999999999999995</v>
      </c>
    </row>
    <row r="1017" spans="1:7">
      <c r="A1017" s="263"/>
      <c r="B1017" s="264"/>
      <c r="C1017" s="264"/>
      <c r="D1017" s="264"/>
      <c r="E1017" s="265" t="s">
        <v>1300</v>
      </c>
      <c r="F1017" s="265"/>
      <c r="G1017" s="266">
        <f>SUM(G1015:G1016)</f>
        <v>1.9699999999999998</v>
      </c>
    </row>
    <row r="1018" spans="1:7">
      <c r="A1018" s="263"/>
      <c r="B1018" s="264"/>
      <c r="C1018" s="264"/>
      <c r="D1018" s="264"/>
      <c r="E1018" s="267" t="s">
        <v>255</v>
      </c>
      <c r="F1018" s="267">
        <f>A1013</f>
        <v>93405</v>
      </c>
      <c r="G1018" s="268">
        <f>SUM(G1017)</f>
        <v>1.9699999999999998</v>
      </c>
    </row>
    <row r="1019" spans="1:7">
      <c r="A1019" s="263"/>
      <c r="B1019" s="264"/>
      <c r="C1019" s="264"/>
      <c r="D1019" s="264"/>
      <c r="E1019" s="269"/>
      <c r="F1019" s="269"/>
      <c r="G1019" s="269"/>
    </row>
    <row r="1020" spans="1:7" ht="52.5">
      <c r="A1020" s="253">
        <v>93406</v>
      </c>
      <c r="B1020" s="254" t="s">
        <v>1262</v>
      </c>
      <c r="C1020" s="254"/>
      <c r="D1020" s="254"/>
      <c r="E1020" s="254"/>
      <c r="F1020" s="254"/>
      <c r="G1020" s="254"/>
    </row>
    <row r="1021" spans="1:7" ht="21">
      <c r="A1021" s="255" t="s">
        <v>268</v>
      </c>
      <c r="B1021" s="256"/>
      <c r="C1021" s="257" t="s">
        <v>4</v>
      </c>
      <c r="D1021" s="257" t="s">
        <v>243</v>
      </c>
      <c r="E1021" s="257" t="s">
        <v>244</v>
      </c>
      <c r="F1021" s="257" t="s">
        <v>245</v>
      </c>
      <c r="G1021" s="257" t="s">
        <v>246</v>
      </c>
    </row>
    <row r="1022" spans="1:7" ht="20">
      <c r="A1022" s="258" t="s">
        <v>602</v>
      </c>
      <c r="B1022" s="259" t="s">
        <v>603</v>
      </c>
      <c r="C1022" s="260" t="s">
        <v>26</v>
      </c>
      <c r="D1022" s="260" t="s">
        <v>14</v>
      </c>
      <c r="E1022" s="331">
        <v>6.6699999999999995E-5</v>
      </c>
      <c r="F1022" s="301">
        <v>98588.33</v>
      </c>
      <c r="G1022" s="262">
        <f>TRUNC(TRUNC(E1022,8)*F1022,2)</f>
        <v>6.57</v>
      </c>
    </row>
    <row r="1023" spans="1:7" ht="50">
      <c r="A1023" s="258" t="s">
        <v>612</v>
      </c>
      <c r="B1023" s="259" t="s">
        <v>613</v>
      </c>
      <c r="C1023" s="260" t="s">
        <v>26</v>
      </c>
      <c r="D1023" s="260" t="s">
        <v>14</v>
      </c>
      <c r="E1023" s="302">
        <v>6.9999999999999994E-5</v>
      </c>
      <c r="F1023" s="301">
        <v>38940.199999999997</v>
      </c>
      <c r="G1023" s="262">
        <f>TRUNC(TRUNC(E1023,8)*F1023,2)</f>
        <v>2.72</v>
      </c>
    </row>
    <row r="1024" spans="1:7">
      <c r="A1024" s="263"/>
      <c r="B1024" s="264"/>
      <c r="C1024" s="264"/>
      <c r="D1024" s="264"/>
      <c r="E1024" s="265" t="s">
        <v>1300</v>
      </c>
      <c r="F1024" s="265"/>
      <c r="G1024" s="266">
        <f>SUM(G1022:G1023)</f>
        <v>9.2900000000000009</v>
      </c>
    </row>
    <row r="1025" spans="1:7">
      <c r="A1025" s="263"/>
      <c r="B1025" s="264"/>
      <c r="C1025" s="264"/>
      <c r="D1025" s="264"/>
      <c r="E1025" s="267" t="s">
        <v>255</v>
      </c>
      <c r="F1025" s="267">
        <f>A1020</f>
        <v>93406</v>
      </c>
      <c r="G1025" s="268">
        <f>SUM(G1024)</f>
        <v>9.2900000000000009</v>
      </c>
    </row>
    <row r="1026" spans="1:7">
      <c r="A1026" s="263"/>
      <c r="B1026" s="264"/>
      <c r="C1026" s="264"/>
      <c r="D1026" s="264"/>
      <c r="E1026" s="269"/>
      <c r="F1026" s="269"/>
      <c r="G1026" s="269"/>
    </row>
    <row r="1027" spans="1:7" ht="52.5">
      <c r="A1027" s="253">
        <v>93407</v>
      </c>
      <c r="B1027" s="254" t="s">
        <v>1263</v>
      </c>
      <c r="C1027" s="254"/>
      <c r="D1027" s="254"/>
      <c r="E1027" s="254"/>
      <c r="F1027" s="254"/>
      <c r="G1027" s="254"/>
    </row>
    <row r="1028" spans="1:7" ht="21">
      <c r="A1028" s="255" t="s">
        <v>256</v>
      </c>
      <c r="B1028" s="256"/>
      <c r="C1028" s="257" t="s">
        <v>4</v>
      </c>
      <c r="D1028" s="257" t="s">
        <v>243</v>
      </c>
      <c r="E1028" s="257" t="s">
        <v>244</v>
      </c>
      <c r="F1028" s="257" t="s">
        <v>245</v>
      </c>
      <c r="G1028" s="257" t="s">
        <v>246</v>
      </c>
    </row>
    <row r="1029" spans="1:7">
      <c r="A1029" s="258" t="s">
        <v>458</v>
      </c>
      <c r="B1029" s="259" t="s">
        <v>459</v>
      </c>
      <c r="C1029" s="260" t="s">
        <v>26</v>
      </c>
      <c r="D1029" s="260" t="s">
        <v>335</v>
      </c>
      <c r="E1029" s="301">
        <v>7.88</v>
      </c>
      <c r="F1029" s="301">
        <v>6.29</v>
      </c>
      <c r="G1029" s="262">
        <f>TRUNC(TRUNC(E1029,8)*F1029,2)</f>
        <v>49.56</v>
      </c>
    </row>
    <row r="1030" spans="1:7" ht="21">
      <c r="A1030" s="263"/>
      <c r="B1030" s="264"/>
      <c r="C1030" s="264"/>
      <c r="D1030" s="264"/>
      <c r="E1030" s="265" t="s">
        <v>259</v>
      </c>
      <c r="F1030" s="265"/>
      <c r="G1030" s="266">
        <f>SUM(G1029:G1029)</f>
        <v>49.56</v>
      </c>
    </row>
    <row r="1031" spans="1:7">
      <c r="A1031" s="263"/>
      <c r="B1031" s="264"/>
      <c r="C1031" s="264"/>
      <c r="D1031" s="264"/>
      <c r="E1031" s="267" t="s">
        <v>255</v>
      </c>
      <c r="F1031" s="267">
        <f>A1027</f>
        <v>93407</v>
      </c>
      <c r="G1031" s="268">
        <f>SUM(G1030)</f>
        <v>49.56</v>
      </c>
    </row>
    <row r="1032" spans="1:7">
      <c r="A1032" s="263"/>
      <c r="B1032" s="264"/>
      <c r="C1032" s="264"/>
      <c r="D1032" s="264"/>
      <c r="E1032" s="269"/>
      <c r="F1032" s="269"/>
      <c r="G1032" s="269"/>
    </row>
    <row r="1033" spans="1:7" ht="21">
      <c r="A1033" s="253">
        <v>88294</v>
      </c>
      <c r="B1033" s="254" t="s">
        <v>1264</v>
      </c>
      <c r="C1033" s="254"/>
      <c r="D1033" s="254"/>
      <c r="E1033" s="254"/>
      <c r="F1033" s="254"/>
      <c r="G1033" s="254"/>
    </row>
    <row r="1034" spans="1:7" ht="21">
      <c r="A1034" s="255" t="s">
        <v>462</v>
      </c>
      <c r="B1034" s="256"/>
      <c r="C1034" s="257" t="s">
        <v>4</v>
      </c>
      <c r="D1034" s="257" t="s">
        <v>243</v>
      </c>
      <c r="E1034" s="257" t="s">
        <v>244</v>
      </c>
      <c r="F1034" s="257" t="s">
        <v>245</v>
      </c>
      <c r="G1034" s="257" t="s">
        <v>246</v>
      </c>
    </row>
    <row r="1035" spans="1:7" ht="20">
      <c r="A1035" s="258" t="s">
        <v>467</v>
      </c>
      <c r="B1035" s="259" t="s">
        <v>468</v>
      </c>
      <c r="C1035" s="260" t="s">
        <v>26</v>
      </c>
      <c r="D1035" s="260" t="s">
        <v>265</v>
      </c>
      <c r="E1035" s="262">
        <v>1</v>
      </c>
      <c r="F1035" s="301">
        <v>0.92</v>
      </c>
      <c r="G1035" s="262">
        <f t="shared" ref="G1035:G1040" si="13">TRUNC(TRUNC(E1035,8)*F1035,2)</f>
        <v>0.92</v>
      </c>
    </row>
    <row r="1036" spans="1:7" ht="20">
      <c r="A1036" s="258" t="s">
        <v>546</v>
      </c>
      <c r="B1036" s="259" t="s">
        <v>547</v>
      </c>
      <c r="C1036" s="260" t="s">
        <v>26</v>
      </c>
      <c r="D1036" s="260" t="s">
        <v>265</v>
      </c>
      <c r="E1036" s="262">
        <v>1</v>
      </c>
      <c r="F1036" s="301">
        <v>0.89</v>
      </c>
      <c r="G1036" s="262">
        <f t="shared" si="13"/>
        <v>0.89</v>
      </c>
    </row>
    <row r="1037" spans="1:7" ht="20">
      <c r="A1037" s="258" t="s">
        <v>460</v>
      </c>
      <c r="B1037" s="259" t="s">
        <v>461</v>
      </c>
      <c r="C1037" s="260" t="s">
        <v>26</v>
      </c>
      <c r="D1037" s="260" t="s">
        <v>265</v>
      </c>
      <c r="E1037" s="262">
        <v>1</v>
      </c>
      <c r="F1037" s="301">
        <v>1.43</v>
      </c>
      <c r="G1037" s="262">
        <f t="shared" si="13"/>
        <v>1.43</v>
      </c>
    </row>
    <row r="1038" spans="1:7" ht="20">
      <c r="A1038" s="258" t="s">
        <v>618</v>
      </c>
      <c r="B1038" s="259" t="s">
        <v>619</v>
      </c>
      <c r="C1038" s="260" t="s">
        <v>26</v>
      </c>
      <c r="D1038" s="260" t="s">
        <v>265</v>
      </c>
      <c r="E1038" s="262">
        <v>1</v>
      </c>
      <c r="F1038" s="301">
        <v>0.01</v>
      </c>
      <c r="G1038" s="262">
        <f t="shared" si="13"/>
        <v>0.01</v>
      </c>
    </row>
    <row r="1039" spans="1:7" ht="20">
      <c r="A1039" s="258" t="s">
        <v>570</v>
      </c>
      <c r="B1039" s="259" t="s">
        <v>571</v>
      </c>
      <c r="C1039" s="260" t="s">
        <v>26</v>
      </c>
      <c r="D1039" s="260" t="s">
        <v>265</v>
      </c>
      <c r="E1039" s="262">
        <v>1</v>
      </c>
      <c r="F1039" s="301">
        <v>0.08</v>
      </c>
      <c r="G1039" s="262">
        <f t="shared" si="13"/>
        <v>0.08</v>
      </c>
    </row>
    <row r="1040" spans="1:7" ht="20">
      <c r="A1040" s="258" t="s">
        <v>473</v>
      </c>
      <c r="B1040" s="259" t="s">
        <v>474</v>
      </c>
      <c r="C1040" s="260" t="s">
        <v>26</v>
      </c>
      <c r="D1040" s="260" t="s">
        <v>265</v>
      </c>
      <c r="E1040" s="262">
        <v>1</v>
      </c>
      <c r="F1040" s="301">
        <v>0.8</v>
      </c>
      <c r="G1040" s="262">
        <f t="shared" si="13"/>
        <v>0.8</v>
      </c>
    </row>
    <row r="1041" spans="1:7" ht="21">
      <c r="A1041" s="263"/>
      <c r="B1041" s="264"/>
      <c r="C1041" s="264"/>
      <c r="D1041" s="264"/>
      <c r="E1041" s="265" t="s">
        <v>1302</v>
      </c>
      <c r="F1041" s="265"/>
      <c r="G1041" s="266">
        <f>SUM(G1035:G1040)</f>
        <v>4.13</v>
      </c>
    </row>
    <row r="1042" spans="1:7" ht="21">
      <c r="A1042" s="255" t="s">
        <v>447</v>
      </c>
      <c r="B1042" s="256"/>
      <c r="C1042" s="257" t="s">
        <v>4</v>
      </c>
      <c r="D1042" s="257" t="s">
        <v>243</v>
      </c>
      <c r="E1042" s="257" t="s">
        <v>244</v>
      </c>
      <c r="F1042" s="257" t="s">
        <v>245</v>
      </c>
      <c r="G1042" s="257" t="s">
        <v>246</v>
      </c>
    </row>
    <row r="1043" spans="1:7">
      <c r="A1043" s="258" t="s">
        <v>554</v>
      </c>
      <c r="B1043" s="259" t="s">
        <v>555</v>
      </c>
      <c r="C1043" s="260" t="s">
        <v>26</v>
      </c>
      <c r="D1043" s="260" t="s">
        <v>265</v>
      </c>
      <c r="E1043" s="262">
        <v>1</v>
      </c>
      <c r="F1043" s="301">
        <v>20.93</v>
      </c>
      <c r="G1043" s="262">
        <f>TRUNC(TRUNC(E1043,8)*F1043,2)</f>
        <v>20.93</v>
      </c>
    </row>
    <row r="1044" spans="1:7">
      <c r="A1044" s="263"/>
      <c r="B1044" s="264"/>
      <c r="C1044" s="264"/>
      <c r="D1044" s="264"/>
      <c r="E1044" s="265" t="s">
        <v>1303</v>
      </c>
      <c r="F1044" s="265"/>
      <c r="G1044" s="266">
        <f>SUM(G1043:G1043)</f>
        <v>20.93</v>
      </c>
    </row>
    <row r="1045" spans="1:7" ht="21">
      <c r="A1045" s="255" t="s">
        <v>250</v>
      </c>
      <c r="B1045" s="256"/>
      <c r="C1045" s="257" t="s">
        <v>4</v>
      </c>
      <c r="D1045" s="257" t="s">
        <v>243</v>
      </c>
      <c r="E1045" s="257" t="s">
        <v>244</v>
      </c>
      <c r="F1045" s="257" t="s">
        <v>245</v>
      </c>
      <c r="G1045" s="257" t="s">
        <v>246</v>
      </c>
    </row>
    <row r="1046" spans="1:7" ht="20">
      <c r="A1046" s="258" t="s">
        <v>1102</v>
      </c>
      <c r="B1046" s="259" t="s">
        <v>1103</v>
      </c>
      <c r="C1046" s="260" t="s">
        <v>26</v>
      </c>
      <c r="D1046" s="260" t="s">
        <v>265</v>
      </c>
      <c r="E1046" s="262">
        <v>1</v>
      </c>
      <c r="F1046" s="301">
        <v>0.24</v>
      </c>
      <c r="G1046" s="262">
        <f>TRUNC(TRUNC(E1046,8)*F1046,2)</f>
        <v>0.24</v>
      </c>
    </row>
    <row r="1047" spans="1:7">
      <c r="A1047" s="263"/>
      <c r="B1047" s="264"/>
      <c r="C1047" s="264"/>
      <c r="D1047" s="264"/>
      <c r="E1047" s="265" t="s">
        <v>1301</v>
      </c>
      <c r="F1047" s="265"/>
      <c r="G1047" s="266">
        <f>SUM(G1046:G1046)</f>
        <v>0.24</v>
      </c>
    </row>
    <row r="1048" spans="1:7">
      <c r="A1048" s="263"/>
      <c r="B1048" s="264"/>
      <c r="C1048" s="264"/>
      <c r="D1048" s="264"/>
      <c r="E1048" s="267" t="s">
        <v>255</v>
      </c>
      <c r="F1048" s="267">
        <f>A1033</f>
        <v>88294</v>
      </c>
      <c r="G1048" s="268">
        <f>SUM(G1041,G1044,G1047)</f>
        <v>25.299999999999997</v>
      </c>
    </row>
    <row r="1049" spans="1:7">
      <c r="A1049" s="263"/>
      <c r="B1049" s="264"/>
      <c r="C1049" s="264"/>
      <c r="D1049" s="264"/>
      <c r="E1049" s="269"/>
      <c r="F1049" s="269"/>
      <c r="G1049" s="269"/>
    </row>
    <row r="1050" spans="1:7">
      <c r="A1050" s="253">
        <v>88295</v>
      </c>
      <c r="B1050" s="254" t="s">
        <v>1265</v>
      </c>
      <c r="C1050" s="254"/>
      <c r="D1050" s="254"/>
      <c r="E1050" s="254"/>
      <c r="F1050" s="254"/>
      <c r="G1050" s="254"/>
    </row>
    <row r="1051" spans="1:7" ht="21">
      <c r="A1051" s="255" t="s">
        <v>462</v>
      </c>
      <c r="B1051" s="256"/>
      <c r="C1051" s="257" t="s">
        <v>4</v>
      </c>
      <c r="D1051" s="257" t="s">
        <v>243</v>
      </c>
      <c r="E1051" s="257" t="s">
        <v>244</v>
      </c>
      <c r="F1051" s="257" t="s">
        <v>245</v>
      </c>
      <c r="G1051" s="257" t="s">
        <v>246</v>
      </c>
    </row>
    <row r="1052" spans="1:7" ht="20">
      <c r="A1052" s="258" t="s">
        <v>467</v>
      </c>
      <c r="B1052" s="259" t="s">
        <v>468</v>
      </c>
      <c r="C1052" s="260" t="s">
        <v>26</v>
      </c>
      <c r="D1052" s="260" t="s">
        <v>265</v>
      </c>
      <c r="E1052" s="262">
        <v>1</v>
      </c>
      <c r="F1052" s="301">
        <v>0.92</v>
      </c>
      <c r="G1052" s="262">
        <f t="shared" ref="G1052:G1057" si="14">TRUNC(TRUNC(E1052,8)*F1052,2)</f>
        <v>0.92</v>
      </c>
    </row>
    <row r="1053" spans="1:7" ht="20">
      <c r="A1053" s="258" t="s">
        <v>546</v>
      </c>
      <c r="B1053" s="259" t="s">
        <v>547</v>
      </c>
      <c r="C1053" s="260" t="s">
        <v>26</v>
      </c>
      <c r="D1053" s="260" t="s">
        <v>265</v>
      </c>
      <c r="E1053" s="262">
        <v>1</v>
      </c>
      <c r="F1053" s="301">
        <v>0.89</v>
      </c>
      <c r="G1053" s="262">
        <f t="shared" si="14"/>
        <v>0.89</v>
      </c>
    </row>
    <row r="1054" spans="1:7" ht="20">
      <c r="A1054" s="258" t="s">
        <v>460</v>
      </c>
      <c r="B1054" s="259" t="s">
        <v>461</v>
      </c>
      <c r="C1054" s="260" t="s">
        <v>26</v>
      </c>
      <c r="D1054" s="260" t="s">
        <v>265</v>
      </c>
      <c r="E1054" s="262">
        <v>1</v>
      </c>
      <c r="F1054" s="301">
        <v>1.43</v>
      </c>
      <c r="G1054" s="262">
        <f t="shared" si="14"/>
        <v>1.43</v>
      </c>
    </row>
    <row r="1055" spans="1:7" ht="20">
      <c r="A1055" s="258" t="s">
        <v>618</v>
      </c>
      <c r="B1055" s="259" t="s">
        <v>619</v>
      </c>
      <c r="C1055" s="260" t="s">
        <v>26</v>
      </c>
      <c r="D1055" s="260" t="s">
        <v>265</v>
      </c>
      <c r="E1055" s="262">
        <v>1</v>
      </c>
      <c r="F1055" s="301">
        <v>0.01</v>
      </c>
      <c r="G1055" s="262">
        <f t="shared" si="14"/>
        <v>0.01</v>
      </c>
    </row>
    <row r="1056" spans="1:7" ht="20">
      <c r="A1056" s="258" t="s">
        <v>570</v>
      </c>
      <c r="B1056" s="259" t="s">
        <v>571</v>
      </c>
      <c r="C1056" s="260" t="s">
        <v>26</v>
      </c>
      <c r="D1056" s="260" t="s">
        <v>265</v>
      </c>
      <c r="E1056" s="262">
        <v>1</v>
      </c>
      <c r="F1056" s="301">
        <v>0.08</v>
      </c>
      <c r="G1056" s="262">
        <f t="shared" si="14"/>
        <v>0.08</v>
      </c>
    </row>
    <row r="1057" spans="1:7" ht="20">
      <c r="A1057" s="258" t="s">
        <v>473</v>
      </c>
      <c r="B1057" s="259" t="s">
        <v>474</v>
      </c>
      <c r="C1057" s="260" t="s">
        <v>26</v>
      </c>
      <c r="D1057" s="260" t="s">
        <v>265</v>
      </c>
      <c r="E1057" s="262">
        <v>1</v>
      </c>
      <c r="F1057" s="301">
        <v>0.8</v>
      </c>
      <c r="G1057" s="262">
        <f t="shared" si="14"/>
        <v>0.8</v>
      </c>
    </row>
    <row r="1058" spans="1:7" ht="21">
      <c r="A1058" s="263"/>
      <c r="B1058" s="264"/>
      <c r="C1058" s="264"/>
      <c r="D1058" s="264"/>
      <c r="E1058" s="265" t="s">
        <v>1302</v>
      </c>
      <c r="F1058" s="265"/>
      <c r="G1058" s="266">
        <f>SUM(G1052:G1057)</f>
        <v>4.13</v>
      </c>
    </row>
    <row r="1059" spans="1:7" ht="21">
      <c r="A1059" s="255" t="s">
        <v>447</v>
      </c>
      <c r="B1059" s="256"/>
      <c r="C1059" s="257" t="s">
        <v>4</v>
      </c>
      <c r="D1059" s="257" t="s">
        <v>243</v>
      </c>
      <c r="E1059" s="257" t="s">
        <v>244</v>
      </c>
      <c r="F1059" s="257" t="s">
        <v>245</v>
      </c>
      <c r="G1059" s="257" t="s">
        <v>246</v>
      </c>
    </row>
    <row r="1060" spans="1:7">
      <c r="A1060" s="258" t="s">
        <v>598</v>
      </c>
      <c r="B1060" s="259" t="s">
        <v>599</v>
      </c>
      <c r="C1060" s="260" t="s">
        <v>26</v>
      </c>
      <c r="D1060" s="260" t="s">
        <v>265</v>
      </c>
      <c r="E1060" s="262">
        <v>1</v>
      </c>
      <c r="F1060" s="301">
        <v>16.079999999999998</v>
      </c>
      <c r="G1060" s="262">
        <f>TRUNC(TRUNC(E1060,8)*F1060,2)</f>
        <v>16.079999999999998</v>
      </c>
    </row>
    <row r="1061" spans="1:7">
      <c r="A1061" s="263"/>
      <c r="B1061" s="264"/>
      <c r="C1061" s="264"/>
      <c r="D1061" s="264"/>
      <c r="E1061" s="265" t="s">
        <v>1303</v>
      </c>
      <c r="F1061" s="265"/>
      <c r="G1061" s="266">
        <f>SUM(G1060:G1060)</f>
        <v>16.079999999999998</v>
      </c>
    </row>
    <row r="1062" spans="1:7" ht="21">
      <c r="A1062" s="255" t="s">
        <v>250</v>
      </c>
      <c r="B1062" s="256"/>
      <c r="C1062" s="257" t="s">
        <v>4</v>
      </c>
      <c r="D1062" s="257" t="s">
        <v>243</v>
      </c>
      <c r="E1062" s="257" t="s">
        <v>244</v>
      </c>
      <c r="F1062" s="257" t="s">
        <v>245</v>
      </c>
      <c r="G1062" s="257" t="s">
        <v>246</v>
      </c>
    </row>
    <row r="1063" spans="1:7" ht="20">
      <c r="A1063" s="258" t="s">
        <v>1104</v>
      </c>
      <c r="B1063" s="259" t="s">
        <v>1105</v>
      </c>
      <c r="C1063" s="260" t="s">
        <v>26</v>
      </c>
      <c r="D1063" s="260" t="s">
        <v>265</v>
      </c>
      <c r="E1063" s="262">
        <v>1</v>
      </c>
      <c r="F1063" s="301">
        <v>0.26</v>
      </c>
      <c r="G1063" s="262">
        <f>TRUNC(TRUNC(E1063,8)*F1063,2)</f>
        <v>0.26</v>
      </c>
    </row>
    <row r="1064" spans="1:7">
      <c r="A1064" s="263"/>
      <c r="B1064" s="264"/>
      <c r="C1064" s="264"/>
      <c r="D1064" s="264"/>
      <c r="E1064" s="265" t="s">
        <v>1301</v>
      </c>
      <c r="F1064" s="265"/>
      <c r="G1064" s="266">
        <f>SUM(G1063:G1063)</f>
        <v>0.26</v>
      </c>
    </row>
    <row r="1065" spans="1:7">
      <c r="A1065" s="263"/>
      <c r="B1065" s="264"/>
      <c r="C1065" s="264"/>
      <c r="D1065" s="264"/>
      <c r="E1065" s="267" t="s">
        <v>255</v>
      </c>
      <c r="F1065" s="267">
        <f>A1050</f>
        <v>88295</v>
      </c>
      <c r="G1065" s="268">
        <f>SUM(G1058,G1061,G1064)</f>
        <v>20.47</v>
      </c>
    </row>
    <row r="1066" spans="1:7">
      <c r="A1066" s="263"/>
      <c r="B1066" s="264"/>
      <c r="C1066" s="264"/>
      <c r="D1066" s="264"/>
      <c r="E1066" s="269"/>
      <c r="F1066" s="269"/>
      <c r="G1066" s="269"/>
    </row>
    <row r="1067" spans="1:7" ht="21">
      <c r="A1067" s="253">
        <v>88296</v>
      </c>
      <c r="B1067" s="254" t="s">
        <v>1266</v>
      </c>
      <c r="C1067" s="254"/>
      <c r="D1067" s="254"/>
      <c r="E1067" s="254"/>
      <c r="F1067" s="254"/>
      <c r="G1067" s="254"/>
    </row>
    <row r="1068" spans="1:7" ht="21">
      <c r="A1068" s="255" t="s">
        <v>462</v>
      </c>
      <c r="B1068" s="256"/>
      <c r="C1068" s="257" t="s">
        <v>4</v>
      </c>
      <c r="D1068" s="257" t="s">
        <v>243</v>
      </c>
      <c r="E1068" s="257" t="s">
        <v>244</v>
      </c>
      <c r="F1068" s="257" t="s">
        <v>245</v>
      </c>
      <c r="G1068" s="257" t="s">
        <v>246</v>
      </c>
    </row>
    <row r="1069" spans="1:7" ht="20">
      <c r="A1069" s="258" t="s">
        <v>467</v>
      </c>
      <c r="B1069" s="259" t="s">
        <v>468</v>
      </c>
      <c r="C1069" s="260" t="s">
        <v>26</v>
      </c>
      <c r="D1069" s="260" t="s">
        <v>265</v>
      </c>
      <c r="E1069" s="262">
        <v>1</v>
      </c>
      <c r="F1069" s="301">
        <v>0.92</v>
      </c>
      <c r="G1069" s="262">
        <f t="shared" ref="G1069:G1074" si="15">TRUNC(TRUNC(E1069,8)*F1069,2)</f>
        <v>0.92</v>
      </c>
    </row>
    <row r="1070" spans="1:7" ht="20">
      <c r="A1070" s="258" t="s">
        <v>546</v>
      </c>
      <c r="B1070" s="259" t="s">
        <v>547</v>
      </c>
      <c r="C1070" s="260" t="s">
        <v>26</v>
      </c>
      <c r="D1070" s="260" t="s">
        <v>265</v>
      </c>
      <c r="E1070" s="262">
        <v>1</v>
      </c>
      <c r="F1070" s="301">
        <v>0.89</v>
      </c>
      <c r="G1070" s="262">
        <f t="shared" si="15"/>
        <v>0.89</v>
      </c>
    </row>
    <row r="1071" spans="1:7" ht="20">
      <c r="A1071" s="258" t="s">
        <v>460</v>
      </c>
      <c r="B1071" s="259" t="s">
        <v>461</v>
      </c>
      <c r="C1071" s="260" t="s">
        <v>26</v>
      </c>
      <c r="D1071" s="260" t="s">
        <v>265</v>
      </c>
      <c r="E1071" s="262">
        <v>1</v>
      </c>
      <c r="F1071" s="301">
        <v>1.43</v>
      </c>
      <c r="G1071" s="262">
        <f t="shared" si="15"/>
        <v>1.43</v>
      </c>
    </row>
    <row r="1072" spans="1:7" ht="20">
      <c r="A1072" s="258" t="s">
        <v>618</v>
      </c>
      <c r="B1072" s="259" t="s">
        <v>619</v>
      </c>
      <c r="C1072" s="260" t="s">
        <v>26</v>
      </c>
      <c r="D1072" s="260" t="s">
        <v>265</v>
      </c>
      <c r="E1072" s="262">
        <v>1</v>
      </c>
      <c r="F1072" s="301">
        <v>0.01</v>
      </c>
      <c r="G1072" s="262">
        <f t="shared" si="15"/>
        <v>0.01</v>
      </c>
    </row>
    <row r="1073" spans="1:7" ht="20">
      <c r="A1073" s="258" t="s">
        <v>570</v>
      </c>
      <c r="B1073" s="259" t="s">
        <v>571</v>
      </c>
      <c r="C1073" s="260" t="s">
        <v>26</v>
      </c>
      <c r="D1073" s="260" t="s">
        <v>265</v>
      </c>
      <c r="E1073" s="262">
        <v>1</v>
      </c>
      <c r="F1073" s="301">
        <v>0.08</v>
      </c>
      <c r="G1073" s="262">
        <f t="shared" si="15"/>
        <v>0.08</v>
      </c>
    </row>
    <row r="1074" spans="1:7" ht="20">
      <c r="A1074" s="258" t="s">
        <v>473</v>
      </c>
      <c r="B1074" s="259" t="s">
        <v>474</v>
      </c>
      <c r="C1074" s="260" t="s">
        <v>26</v>
      </c>
      <c r="D1074" s="260" t="s">
        <v>265</v>
      </c>
      <c r="E1074" s="262">
        <v>1</v>
      </c>
      <c r="F1074" s="301">
        <v>0.8</v>
      </c>
      <c r="G1074" s="262">
        <f t="shared" si="15"/>
        <v>0.8</v>
      </c>
    </row>
    <row r="1075" spans="1:7" ht="21">
      <c r="A1075" s="263"/>
      <c r="B1075" s="264"/>
      <c r="C1075" s="264"/>
      <c r="D1075" s="264"/>
      <c r="E1075" s="265" t="s">
        <v>1302</v>
      </c>
      <c r="F1075" s="265"/>
      <c r="G1075" s="266">
        <f>SUM(G1069:G1074)</f>
        <v>4.13</v>
      </c>
    </row>
    <row r="1076" spans="1:7" ht="21">
      <c r="A1076" s="255" t="s">
        <v>447</v>
      </c>
      <c r="B1076" s="256"/>
      <c r="C1076" s="257" t="s">
        <v>4</v>
      </c>
      <c r="D1076" s="257" t="s">
        <v>243</v>
      </c>
      <c r="E1076" s="257" t="s">
        <v>244</v>
      </c>
      <c r="F1076" s="257" t="s">
        <v>245</v>
      </c>
      <c r="G1076" s="257" t="s">
        <v>246</v>
      </c>
    </row>
    <row r="1077" spans="1:7">
      <c r="A1077" s="258" t="s">
        <v>542</v>
      </c>
      <c r="B1077" s="259" t="s">
        <v>543</v>
      </c>
      <c r="C1077" s="260" t="s">
        <v>26</v>
      </c>
      <c r="D1077" s="260" t="s">
        <v>265</v>
      </c>
      <c r="E1077" s="262">
        <v>1</v>
      </c>
      <c r="F1077" s="301">
        <v>24.88</v>
      </c>
      <c r="G1077" s="262">
        <f>TRUNC(TRUNC(E1077,8)*F1077,2)</f>
        <v>24.88</v>
      </c>
    </row>
    <row r="1078" spans="1:7">
      <c r="A1078" s="263"/>
      <c r="B1078" s="264"/>
      <c r="C1078" s="264"/>
      <c r="D1078" s="264"/>
      <c r="E1078" s="265" t="s">
        <v>1303</v>
      </c>
      <c r="F1078" s="265"/>
      <c r="G1078" s="266">
        <f>SUM(G1077:G1077)</f>
        <v>24.88</v>
      </c>
    </row>
    <row r="1079" spans="1:7" ht="21">
      <c r="A1079" s="255" t="s">
        <v>250</v>
      </c>
      <c r="B1079" s="256"/>
      <c r="C1079" s="257" t="s">
        <v>4</v>
      </c>
      <c r="D1079" s="257" t="s">
        <v>243</v>
      </c>
      <c r="E1079" s="257" t="s">
        <v>244</v>
      </c>
      <c r="F1079" s="257" t="s">
        <v>245</v>
      </c>
      <c r="G1079" s="257" t="s">
        <v>246</v>
      </c>
    </row>
    <row r="1080" spans="1:7" ht="20">
      <c r="A1080" s="258" t="s">
        <v>1106</v>
      </c>
      <c r="B1080" s="259" t="s">
        <v>1107</v>
      </c>
      <c r="C1080" s="260" t="s">
        <v>26</v>
      </c>
      <c r="D1080" s="260" t="s">
        <v>265</v>
      </c>
      <c r="E1080" s="262">
        <v>1</v>
      </c>
      <c r="F1080" s="301">
        <v>0.4</v>
      </c>
      <c r="G1080" s="262">
        <f>TRUNC(TRUNC(E1080,8)*F1080,2)</f>
        <v>0.4</v>
      </c>
    </row>
    <row r="1081" spans="1:7">
      <c r="A1081" s="263"/>
      <c r="B1081" s="264"/>
      <c r="C1081" s="264"/>
      <c r="D1081" s="264"/>
      <c r="E1081" s="265" t="s">
        <v>1301</v>
      </c>
      <c r="F1081" s="265"/>
      <c r="G1081" s="266">
        <f>SUM(G1080:G1080)</f>
        <v>0.4</v>
      </c>
    </row>
    <row r="1082" spans="1:7">
      <c r="A1082" s="263"/>
      <c r="B1082" s="264"/>
      <c r="C1082" s="264"/>
      <c r="D1082" s="264"/>
      <c r="E1082" s="267" t="s">
        <v>255</v>
      </c>
      <c r="F1082" s="267">
        <f>A1067</f>
        <v>88296</v>
      </c>
      <c r="G1082" s="268">
        <f>SUM(G1075,G1078,G1081)</f>
        <v>29.409999999999997</v>
      </c>
    </row>
    <row r="1083" spans="1:7">
      <c r="A1083" s="263"/>
      <c r="B1083" s="264"/>
      <c r="C1083" s="264"/>
      <c r="D1083" s="264"/>
      <c r="E1083" s="269"/>
      <c r="F1083" s="269"/>
      <c r="G1083" s="269"/>
    </row>
    <row r="1084" spans="1:7" ht="21">
      <c r="A1084" s="253">
        <v>88297</v>
      </c>
      <c r="B1084" s="254" t="s">
        <v>1267</v>
      </c>
      <c r="C1084" s="254"/>
      <c r="D1084" s="254"/>
      <c r="E1084" s="254"/>
      <c r="F1084" s="254"/>
      <c r="G1084" s="254"/>
    </row>
    <row r="1085" spans="1:7" ht="21">
      <c r="A1085" s="255" t="s">
        <v>462</v>
      </c>
      <c r="B1085" s="256"/>
      <c r="C1085" s="257" t="s">
        <v>4</v>
      </c>
      <c r="D1085" s="257" t="s">
        <v>243</v>
      </c>
      <c r="E1085" s="257" t="s">
        <v>244</v>
      </c>
      <c r="F1085" s="257" t="s">
        <v>245</v>
      </c>
      <c r="G1085" s="257" t="s">
        <v>246</v>
      </c>
    </row>
    <row r="1086" spans="1:7" ht="20">
      <c r="A1086" s="258" t="s">
        <v>467</v>
      </c>
      <c r="B1086" s="259" t="s">
        <v>468</v>
      </c>
      <c r="C1086" s="260" t="s">
        <v>26</v>
      </c>
      <c r="D1086" s="260" t="s">
        <v>265</v>
      </c>
      <c r="E1086" s="262">
        <v>1</v>
      </c>
      <c r="F1086" s="301">
        <v>0.92</v>
      </c>
      <c r="G1086" s="262">
        <f t="shared" ref="G1086:G1091" si="16">TRUNC(TRUNC(E1086,8)*F1086,2)</f>
        <v>0.92</v>
      </c>
    </row>
    <row r="1087" spans="1:7" ht="20">
      <c r="A1087" s="258" t="s">
        <v>546</v>
      </c>
      <c r="B1087" s="259" t="s">
        <v>547</v>
      </c>
      <c r="C1087" s="260" t="s">
        <v>26</v>
      </c>
      <c r="D1087" s="260" t="s">
        <v>265</v>
      </c>
      <c r="E1087" s="262">
        <v>1</v>
      </c>
      <c r="F1087" s="301">
        <v>0.89</v>
      </c>
      <c r="G1087" s="262">
        <f t="shared" si="16"/>
        <v>0.89</v>
      </c>
    </row>
    <row r="1088" spans="1:7" ht="20">
      <c r="A1088" s="258" t="s">
        <v>460</v>
      </c>
      <c r="B1088" s="259" t="s">
        <v>461</v>
      </c>
      <c r="C1088" s="260" t="s">
        <v>26</v>
      </c>
      <c r="D1088" s="260" t="s">
        <v>265</v>
      </c>
      <c r="E1088" s="262">
        <v>1</v>
      </c>
      <c r="F1088" s="301">
        <v>1.43</v>
      </c>
      <c r="G1088" s="262">
        <f t="shared" si="16"/>
        <v>1.43</v>
      </c>
    </row>
    <row r="1089" spans="1:7" ht="20">
      <c r="A1089" s="258" t="s">
        <v>618</v>
      </c>
      <c r="B1089" s="259" t="s">
        <v>619</v>
      </c>
      <c r="C1089" s="260" t="s">
        <v>26</v>
      </c>
      <c r="D1089" s="260" t="s">
        <v>265</v>
      </c>
      <c r="E1089" s="262">
        <v>1</v>
      </c>
      <c r="F1089" s="301">
        <v>0.01</v>
      </c>
      <c r="G1089" s="262">
        <f t="shared" si="16"/>
        <v>0.01</v>
      </c>
    </row>
    <row r="1090" spans="1:7" ht="20">
      <c r="A1090" s="258" t="s">
        <v>570</v>
      </c>
      <c r="B1090" s="259" t="s">
        <v>571</v>
      </c>
      <c r="C1090" s="260" t="s">
        <v>26</v>
      </c>
      <c r="D1090" s="260" t="s">
        <v>265</v>
      </c>
      <c r="E1090" s="262">
        <v>1</v>
      </c>
      <c r="F1090" s="301">
        <v>0.08</v>
      </c>
      <c r="G1090" s="262">
        <f t="shared" si="16"/>
        <v>0.08</v>
      </c>
    </row>
    <row r="1091" spans="1:7" ht="20">
      <c r="A1091" s="258" t="s">
        <v>473</v>
      </c>
      <c r="B1091" s="259" t="s">
        <v>474</v>
      </c>
      <c r="C1091" s="260" t="s">
        <v>26</v>
      </c>
      <c r="D1091" s="260" t="s">
        <v>265</v>
      </c>
      <c r="E1091" s="262">
        <v>1</v>
      </c>
      <c r="F1091" s="301">
        <v>0.8</v>
      </c>
      <c r="G1091" s="262">
        <f t="shared" si="16"/>
        <v>0.8</v>
      </c>
    </row>
    <row r="1092" spans="1:7" ht="21">
      <c r="A1092" s="263"/>
      <c r="B1092" s="264"/>
      <c r="C1092" s="264"/>
      <c r="D1092" s="264"/>
      <c r="E1092" s="265" t="s">
        <v>1302</v>
      </c>
      <c r="F1092" s="265"/>
      <c r="G1092" s="266">
        <f>SUM(G1086:G1091)</f>
        <v>4.13</v>
      </c>
    </row>
    <row r="1093" spans="1:7" ht="21">
      <c r="A1093" s="255" t="s">
        <v>447</v>
      </c>
      <c r="B1093" s="256"/>
      <c r="C1093" s="257" t="s">
        <v>4</v>
      </c>
      <c r="D1093" s="257" t="s">
        <v>243</v>
      </c>
      <c r="E1093" s="257" t="s">
        <v>244</v>
      </c>
      <c r="F1093" s="257" t="s">
        <v>245</v>
      </c>
      <c r="G1093" s="257" t="s">
        <v>246</v>
      </c>
    </row>
    <row r="1094" spans="1:7" ht="20">
      <c r="A1094" s="258" t="s">
        <v>562</v>
      </c>
      <c r="B1094" s="259" t="s">
        <v>563</v>
      </c>
      <c r="C1094" s="260" t="s">
        <v>26</v>
      </c>
      <c r="D1094" s="260" t="s">
        <v>265</v>
      </c>
      <c r="E1094" s="262">
        <v>1</v>
      </c>
      <c r="F1094" s="301">
        <v>19.45</v>
      </c>
      <c r="G1094" s="262">
        <f>TRUNC(TRUNC(E1094,8)*F1094,2)</f>
        <v>19.45</v>
      </c>
    </row>
    <row r="1095" spans="1:7">
      <c r="A1095" s="263"/>
      <c r="B1095" s="264"/>
      <c r="C1095" s="264"/>
      <c r="D1095" s="264"/>
      <c r="E1095" s="265" t="s">
        <v>1303</v>
      </c>
      <c r="F1095" s="265"/>
      <c r="G1095" s="266">
        <f>SUM(G1094:G1094)</f>
        <v>19.45</v>
      </c>
    </row>
    <row r="1096" spans="1:7" ht="21">
      <c r="A1096" s="255" t="s">
        <v>250</v>
      </c>
      <c r="B1096" s="256"/>
      <c r="C1096" s="257" t="s">
        <v>4</v>
      </c>
      <c r="D1096" s="257" t="s">
        <v>243</v>
      </c>
      <c r="E1096" s="257" t="s">
        <v>244</v>
      </c>
      <c r="F1096" s="257" t="s">
        <v>245</v>
      </c>
      <c r="G1096" s="257" t="s">
        <v>246</v>
      </c>
    </row>
    <row r="1097" spans="1:7" ht="20">
      <c r="A1097" s="258" t="s">
        <v>1108</v>
      </c>
      <c r="B1097" s="259" t="s">
        <v>1109</v>
      </c>
      <c r="C1097" s="260" t="s">
        <v>26</v>
      </c>
      <c r="D1097" s="260" t="s">
        <v>265</v>
      </c>
      <c r="E1097" s="262">
        <v>1</v>
      </c>
      <c r="F1097" s="301">
        <v>0.22</v>
      </c>
      <c r="G1097" s="262">
        <f>TRUNC(TRUNC(E1097,8)*F1097,2)</f>
        <v>0.22</v>
      </c>
    </row>
    <row r="1098" spans="1:7">
      <c r="A1098" s="263"/>
      <c r="B1098" s="264"/>
      <c r="C1098" s="264"/>
      <c r="D1098" s="264"/>
      <c r="E1098" s="265" t="s">
        <v>1301</v>
      </c>
      <c r="F1098" s="265"/>
      <c r="G1098" s="266">
        <f>SUM(G1097:G1097)</f>
        <v>0.22</v>
      </c>
    </row>
    <row r="1099" spans="1:7">
      <c r="A1099" s="263"/>
      <c r="B1099" s="264"/>
      <c r="C1099" s="264"/>
      <c r="D1099" s="264"/>
      <c r="E1099" s="267" t="s">
        <v>255</v>
      </c>
      <c r="F1099" s="267">
        <f>A1084</f>
        <v>88297</v>
      </c>
      <c r="G1099" s="268">
        <f>SUM(G1092,G1095,G1098)</f>
        <v>23.799999999999997</v>
      </c>
    </row>
    <row r="1100" spans="1:7">
      <c r="A1100" s="263"/>
      <c r="B1100" s="264"/>
      <c r="C1100" s="264"/>
      <c r="D1100" s="264"/>
      <c r="E1100" s="269"/>
      <c r="F1100" s="269"/>
      <c r="G1100" s="269"/>
    </row>
    <row r="1101" spans="1:7" ht="21">
      <c r="A1101" s="253">
        <v>88306</v>
      </c>
      <c r="B1101" s="254" t="s">
        <v>1268</v>
      </c>
      <c r="C1101" s="254"/>
      <c r="D1101" s="254"/>
      <c r="E1101" s="254"/>
      <c r="F1101" s="254"/>
      <c r="G1101" s="254"/>
    </row>
    <row r="1102" spans="1:7" ht="21">
      <c r="A1102" s="255" t="s">
        <v>462</v>
      </c>
      <c r="B1102" s="256"/>
      <c r="C1102" s="257" t="s">
        <v>4</v>
      </c>
      <c r="D1102" s="257" t="s">
        <v>243</v>
      </c>
      <c r="E1102" s="257" t="s">
        <v>244</v>
      </c>
      <c r="F1102" s="257" t="s">
        <v>245</v>
      </c>
      <c r="G1102" s="257" t="s">
        <v>246</v>
      </c>
    </row>
    <row r="1103" spans="1:7" ht="20">
      <c r="A1103" s="258" t="s">
        <v>467</v>
      </c>
      <c r="B1103" s="259" t="s">
        <v>468</v>
      </c>
      <c r="C1103" s="260" t="s">
        <v>26</v>
      </c>
      <c r="D1103" s="260" t="s">
        <v>265</v>
      </c>
      <c r="E1103" s="262">
        <v>1</v>
      </c>
      <c r="F1103" s="301">
        <v>0.92</v>
      </c>
      <c r="G1103" s="262">
        <f t="shared" ref="G1103:G1108" si="17">TRUNC(TRUNC(E1103,8)*F1103,2)</f>
        <v>0.92</v>
      </c>
    </row>
    <row r="1104" spans="1:7" ht="20">
      <c r="A1104" s="258" t="s">
        <v>546</v>
      </c>
      <c r="B1104" s="259" t="s">
        <v>547</v>
      </c>
      <c r="C1104" s="260" t="s">
        <v>26</v>
      </c>
      <c r="D1104" s="260" t="s">
        <v>265</v>
      </c>
      <c r="E1104" s="262">
        <v>1</v>
      </c>
      <c r="F1104" s="301">
        <v>0.89</v>
      </c>
      <c r="G1104" s="262">
        <f t="shared" si="17"/>
        <v>0.89</v>
      </c>
    </row>
    <row r="1105" spans="1:7" ht="20">
      <c r="A1105" s="258" t="s">
        <v>460</v>
      </c>
      <c r="B1105" s="259" t="s">
        <v>461</v>
      </c>
      <c r="C1105" s="260" t="s">
        <v>26</v>
      </c>
      <c r="D1105" s="260" t="s">
        <v>265</v>
      </c>
      <c r="E1105" s="262">
        <v>1</v>
      </c>
      <c r="F1105" s="301">
        <v>1.43</v>
      </c>
      <c r="G1105" s="262">
        <f t="shared" si="17"/>
        <v>1.43</v>
      </c>
    </row>
    <row r="1106" spans="1:7" ht="20">
      <c r="A1106" s="258" t="s">
        <v>618</v>
      </c>
      <c r="B1106" s="259" t="s">
        <v>619</v>
      </c>
      <c r="C1106" s="260" t="s">
        <v>26</v>
      </c>
      <c r="D1106" s="260" t="s">
        <v>265</v>
      </c>
      <c r="E1106" s="262">
        <v>1</v>
      </c>
      <c r="F1106" s="301">
        <v>0.01</v>
      </c>
      <c r="G1106" s="262">
        <f t="shared" si="17"/>
        <v>0.01</v>
      </c>
    </row>
    <row r="1107" spans="1:7" ht="20">
      <c r="A1107" s="258" t="s">
        <v>570</v>
      </c>
      <c r="B1107" s="259" t="s">
        <v>571</v>
      </c>
      <c r="C1107" s="260" t="s">
        <v>26</v>
      </c>
      <c r="D1107" s="260" t="s">
        <v>265</v>
      </c>
      <c r="E1107" s="262">
        <v>1</v>
      </c>
      <c r="F1107" s="301">
        <v>0.08</v>
      </c>
      <c r="G1107" s="262">
        <f t="shared" si="17"/>
        <v>0.08</v>
      </c>
    </row>
    <row r="1108" spans="1:7" ht="20">
      <c r="A1108" s="258" t="s">
        <v>473</v>
      </c>
      <c r="B1108" s="259" t="s">
        <v>474</v>
      </c>
      <c r="C1108" s="260" t="s">
        <v>26</v>
      </c>
      <c r="D1108" s="260" t="s">
        <v>265</v>
      </c>
      <c r="E1108" s="262">
        <v>1</v>
      </c>
      <c r="F1108" s="301">
        <v>0.8</v>
      </c>
      <c r="G1108" s="262">
        <f t="shared" si="17"/>
        <v>0.8</v>
      </c>
    </row>
    <row r="1109" spans="1:7" ht="21">
      <c r="A1109" s="263"/>
      <c r="B1109" s="264"/>
      <c r="C1109" s="264"/>
      <c r="D1109" s="264"/>
      <c r="E1109" s="265" t="s">
        <v>1302</v>
      </c>
      <c r="F1109" s="265"/>
      <c r="G1109" s="266">
        <f>SUM(G1103:G1108)</f>
        <v>4.13</v>
      </c>
    </row>
    <row r="1110" spans="1:7" ht="21">
      <c r="A1110" s="255" t="s">
        <v>447</v>
      </c>
      <c r="B1110" s="256"/>
      <c r="C1110" s="257" t="s">
        <v>4</v>
      </c>
      <c r="D1110" s="257" t="s">
        <v>243</v>
      </c>
      <c r="E1110" s="257" t="s">
        <v>244</v>
      </c>
      <c r="F1110" s="257" t="s">
        <v>245</v>
      </c>
      <c r="G1110" s="257" t="s">
        <v>246</v>
      </c>
    </row>
    <row r="1111" spans="1:7">
      <c r="A1111" s="258" t="s">
        <v>564</v>
      </c>
      <c r="B1111" s="259" t="s">
        <v>565</v>
      </c>
      <c r="C1111" s="260" t="s">
        <v>26</v>
      </c>
      <c r="D1111" s="260" t="s">
        <v>265</v>
      </c>
      <c r="E1111" s="262">
        <v>1</v>
      </c>
      <c r="F1111" s="301">
        <v>17.64</v>
      </c>
      <c r="G1111" s="262">
        <f>TRUNC(TRUNC(E1111,8)*F1111,2)</f>
        <v>17.64</v>
      </c>
    </row>
    <row r="1112" spans="1:7">
      <c r="A1112" s="263"/>
      <c r="B1112" s="264"/>
      <c r="C1112" s="264"/>
      <c r="D1112" s="264"/>
      <c r="E1112" s="265" t="s">
        <v>1303</v>
      </c>
      <c r="F1112" s="265"/>
      <c r="G1112" s="266">
        <f>SUM(G1111:G1111)</f>
        <v>17.64</v>
      </c>
    </row>
    <row r="1113" spans="1:7" ht="21">
      <c r="A1113" s="255" t="s">
        <v>250</v>
      </c>
      <c r="B1113" s="256"/>
      <c r="C1113" s="257" t="s">
        <v>4</v>
      </c>
      <c r="D1113" s="257" t="s">
        <v>243</v>
      </c>
      <c r="E1113" s="257" t="s">
        <v>244</v>
      </c>
      <c r="F1113" s="257" t="s">
        <v>245</v>
      </c>
      <c r="G1113" s="257" t="s">
        <v>246</v>
      </c>
    </row>
    <row r="1114" spans="1:7" ht="20">
      <c r="A1114" s="258" t="s">
        <v>1110</v>
      </c>
      <c r="B1114" s="259" t="s">
        <v>1111</v>
      </c>
      <c r="C1114" s="260" t="s">
        <v>26</v>
      </c>
      <c r="D1114" s="260" t="s">
        <v>265</v>
      </c>
      <c r="E1114" s="262">
        <v>1</v>
      </c>
      <c r="F1114" s="301">
        <v>0.2</v>
      </c>
      <c r="G1114" s="262">
        <f>TRUNC(TRUNC(E1114,8)*F1114,2)</f>
        <v>0.2</v>
      </c>
    </row>
    <row r="1115" spans="1:7">
      <c r="A1115" s="263"/>
      <c r="B1115" s="264"/>
      <c r="C1115" s="264"/>
      <c r="D1115" s="264"/>
      <c r="E1115" s="265" t="s">
        <v>1301</v>
      </c>
      <c r="F1115" s="265"/>
      <c r="G1115" s="266">
        <f>SUM(G1114:G1114)</f>
        <v>0.2</v>
      </c>
    </row>
    <row r="1116" spans="1:7">
      <c r="A1116" s="263"/>
      <c r="B1116" s="264"/>
      <c r="C1116" s="264"/>
      <c r="D1116" s="264"/>
      <c r="E1116" s="267" t="s">
        <v>255</v>
      </c>
      <c r="F1116" s="267">
        <f>A1101</f>
        <v>88306</v>
      </c>
      <c r="G1116" s="268">
        <f>SUM(G1109,G1112,G1115)</f>
        <v>21.97</v>
      </c>
    </row>
    <row r="1117" spans="1:7">
      <c r="A1117" s="263"/>
      <c r="B1117" s="264"/>
      <c r="C1117" s="264"/>
      <c r="D1117" s="264"/>
      <c r="E1117" s="269"/>
      <c r="F1117" s="269"/>
      <c r="G1117" s="269"/>
    </row>
    <row r="1118" spans="1:7">
      <c r="A1118" s="253">
        <v>88309</v>
      </c>
      <c r="B1118" s="254" t="s">
        <v>1269</v>
      </c>
      <c r="C1118" s="254"/>
      <c r="D1118" s="254"/>
      <c r="E1118" s="254"/>
      <c r="F1118" s="254"/>
      <c r="G1118" s="254"/>
    </row>
    <row r="1119" spans="1:7" ht="21">
      <c r="A1119" s="255" t="s">
        <v>462</v>
      </c>
      <c r="B1119" s="256"/>
      <c r="C1119" s="257" t="s">
        <v>4</v>
      </c>
      <c r="D1119" s="257" t="s">
        <v>243</v>
      </c>
      <c r="E1119" s="257" t="s">
        <v>244</v>
      </c>
      <c r="F1119" s="257" t="s">
        <v>245</v>
      </c>
      <c r="G1119" s="257" t="s">
        <v>246</v>
      </c>
    </row>
    <row r="1120" spans="1:7" ht="20">
      <c r="A1120" s="258" t="s">
        <v>467</v>
      </c>
      <c r="B1120" s="259" t="s">
        <v>468</v>
      </c>
      <c r="C1120" s="260" t="s">
        <v>26</v>
      </c>
      <c r="D1120" s="260" t="s">
        <v>265</v>
      </c>
      <c r="E1120" s="262">
        <v>1</v>
      </c>
      <c r="F1120" s="301">
        <v>0.92</v>
      </c>
      <c r="G1120" s="262">
        <f t="shared" ref="G1120:G1125" si="18">TRUNC(TRUNC(E1120,8)*F1120,2)</f>
        <v>0.92</v>
      </c>
    </row>
    <row r="1121" spans="1:7" ht="20">
      <c r="A1121" s="258" t="s">
        <v>530</v>
      </c>
      <c r="B1121" s="259" t="s">
        <v>531</v>
      </c>
      <c r="C1121" s="260" t="s">
        <v>26</v>
      </c>
      <c r="D1121" s="260" t="s">
        <v>265</v>
      </c>
      <c r="E1121" s="262">
        <v>1</v>
      </c>
      <c r="F1121" s="301">
        <v>1.31</v>
      </c>
      <c r="G1121" s="262">
        <f t="shared" si="18"/>
        <v>1.31</v>
      </c>
    </row>
    <row r="1122" spans="1:7" ht="20">
      <c r="A1122" s="258" t="s">
        <v>460</v>
      </c>
      <c r="B1122" s="259" t="s">
        <v>461</v>
      </c>
      <c r="C1122" s="260" t="s">
        <v>26</v>
      </c>
      <c r="D1122" s="260" t="s">
        <v>265</v>
      </c>
      <c r="E1122" s="262">
        <v>1</v>
      </c>
      <c r="F1122" s="301">
        <v>1.43</v>
      </c>
      <c r="G1122" s="262">
        <f t="shared" si="18"/>
        <v>1.43</v>
      </c>
    </row>
    <row r="1123" spans="1:7" ht="20">
      <c r="A1123" s="258" t="s">
        <v>538</v>
      </c>
      <c r="B1123" s="259" t="s">
        <v>539</v>
      </c>
      <c r="C1123" s="260" t="s">
        <v>26</v>
      </c>
      <c r="D1123" s="260" t="s">
        <v>265</v>
      </c>
      <c r="E1123" s="262">
        <v>1</v>
      </c>
      <c r="F1123" s="301">
        <v>0.78</v>
      </c>
      <c r="G1123" s="262">
        <f t="shared" si="18"/>
        <v>0.78</v>
      </c>
    </row>
    <row r="1124" spans="1:7" ht="20">
      <c r="A1124" s="258" t="s">
        <v>570</v>
      </c>
      <c r="B1124" s="259" t="s">
        <v>571</v>
      </c>
      <c r="C1124" s="260" t="s">
        <v>26</v>
      </c>
      <c r="D1124" s="260" t="s">
        <v>265</v>
      </c>
      <c r="E1124" s="262">
        <v>1</v>
      </c>
      <c r="F1124" s="301">
        <v>0.08</v>
      </c>
      <c r="G1124" s="262">
        <f t="shared" si="18"/>
        <v>0.08</v>
      </c>
    </row>
    <row r="1125" spans="1:7" ht="20">
      <c r="A1125" s="258" t="s">
        <v>473</v>
      </c>
      <c r="B1125" s="259" t="s">
        <v>474</v>
      </c>
      <c r="C1125" s="260" t="s">
        <v>26</v>
      </c>
      <c r="D1125" s="260" t="s">
        <v>265</v>
      </c>
      <c r="E1125" s="262">
        <v>1</v>
      </c>
      <c r="F1125" s="301">
        <v>0.8</v>
      </c>
      <c r="G1125" s="262">
        <f t="shared" si="18"/>
        <v>0.8</v>
      </c>
    </row>
    <row r="1126" spans="1:7" ht="21">
      <c r="A1126" s="263"/>
      <c r="B1126" s="264"/>
      <c r="C1126" s="264"/>
      <c r="D1126" s="264"/>
      <c r="E1126" s="265" t="s">
        <v>1302</v>
      </c>
      <c r="F1126" s="265"/>
      <c r="G1126" s="266">
        <f>SUM(G1120:G1125)</f>
        <v>5.32</v>
      </c>
    </row>
    <row r="1127" spans="1:7" ht="21">
      <c r="A1127" s="255" t="s">
        <v>447</v>
      </c>
      <c r="B1127" s="256"/>
      <c r="C1127" s="257" t="s">
        <v>4</v>
      </c>
      <c r="D1127" s="257" t="s">
        <v>243</v>
      </c>
      <c r="E1127" s="257" t="s">
        <v>244</v>
      </c>
      <c r="F1127" s="257" t="s">
        <v>245</v>
      </c>
      <c r="G1127" s="257" t="s">
        <v>246</v>
      </c>
    </row>
    <row r="1128" spans="1:7">
      <c r="A1128" s="258" t="s">
        <v>471</v>
      </c>
      <c r="B1128" s="259" t="s">
        <v>472</v>
      </c>
      <c r="C1128" s="260" t="s">
        <v>26</v>
      </c>
      <c r="D1128" s="260" t="s">
        <v>265</v>
      </c>
      <c r="E1128" s="262">
        <v>1</v>
      </c>
      <c r="F1128" s="301">
        <v>19.48</v>
      </c>
      <c r="G1128" s="262">
        <f>TRUNC(TRUNC(E1128,8)*F1128,2)</f>
        <v>19.48</v>
      </c>
    </row>
    <row r="1129" spans="1:7">
      <c r="A1129" s="263"/>
      <c r="B1129" s="264"/>
      <c r="C1129" s="264"/>
      <c r="D1129" s="264"/>
      <c r="E1129" s="265" t="s">
        <v>1303</v>
      </c>
      <c r="F1129" s="265"/>
      <c r="G1129" s="266">
        <f>SUM(G1128:G1128)</f>
        <v>19.48</v>
      </c>
    </row>
    <row r="1130" spans="1:7" ht="21">
      <c r="A1130" s="255" t="s">
        <v>250</v>
      </c>
      <c r="B1130" s="256"/>
      <c r="C1130" s="257" t="s">
        <v>4</v>
      </c>
      <c r="D1130" s="257" t="s">
        <v>243</v>
      </c>
      <c r="E1130" s="257" t="s">
        <v>244</v>
      </c>
      <c r="F1130" s="257" t="s">
        <v>245</v>
      </c>
      <c r="G1130" s="257" t="s">
        <v>246</v>
      </c>
    </row>
    <row r="1131" spans="1:7" ht="20">
      <c r="A1131" s="258" t="s">
        <v>1112</v>
      </c>
      <c r="B1131" s="259" t="s">
        <v>1113</v>
      </c>
      <c r="C1131" s="260" t="s">
        <v>26</v>
      </c>
      <c r="D1131" s="260" t="s">
        <v>265</v>
      </c>
      <c r="E1131" s="262">
        <v>1</v>
      </c>
      <c r="F1131" s="301">
        <v>0.41</v>
      </c>
      <c r="G1131" s="262">
        <f>TRUNC(TRUNC(E1131,8)*F1131,2)</f>
        <v>0.41</v>
      </c>
    </row>
    <row r="1132" spans="1:7">
      <c r="A1132" s="263"/>
      <c r="B1132" s="264"/>
      <c r="C1132" s="264"/>
      <c r="D1132" s="264"/>
      <c r="E1132" s="265" t="s">
        <v>1301</v>
      </c>
      <c r="F1132" s="265"/>
      <c r="G1132" s="266">
        <f>SUM(G1131:G1131)</f>
        <v>0.41</v>
      </c>
    </row>
    <row r="1133" spans="1:7">
      <c r="A1133" s="263"/>
      <c r="B1133" s="264"/>
      <c r="C1133" s="264"/>
      <c r="D1133" s="264"/>
      <c r="E1133" s="267" t="s">
        <v>255</v>
      </c>
      <c r="F1133" s="267">
        <f>A1118</f>
        <v>88309</v>
      </c>
      <c r="G1133" s="268">
        <f>SUM(G1126,G1129,G1132)</f>
        <v>25.21</v>
      </c>
    </row>
    <row r="1134" spans="1:7">
      <c r="A1134" s="263"/>
      <c r="B1134" s="264"/>
      <c r="C1134" s="264"/>
      <c r="D1134" s="264"/>
      <c r="E1134" s="269"/>
      <c r="F1134" s="269"/>
      <c r="G1134" s="269"/>
    </row>
    <row r="1135" spans="1:7">
      <c r="A1135" s="253">
        <v>88310</v>
      </c>
      <c r="B1135" s="254" t="s">
        <v>1270</v>
      </c>
      <c r="C1135" s="254"/>
      <c r="D1135" s="254"/>
      <c r="E1135" s="254"/>
      <c r="F1135" s="254"/>
      <c r="G1135" s="254"/>
    </row>
    <row r="1136" spans="1:7" ht="21">
      <c r="A1136" s="255" t="s">
        <v>462</v>
      </c>
      <c r="B1136" s="256"/>
      <c r="C1136" s="257" t="s">
        <v>4</v>
      </c>
      <c r="D1136" s="257" t="s">
        <v>243</v>
      </c>
      <c r="E1136" s="257" t="s">
        <v>244</v>
      </c>
      <c r="F1136" s="257" t="s">
        <v>245</v>
      </c>
      <c r="G1136" s="257" t="s">
        <v>246</v>
      </c>
    </row>
    <row r="1137" spans="1:7" ht="20">
      <c r="A1137" s="258" t="s">
        <v>467</v>
      </c>
      <c r="B1137" s="259" t="s">
        <v>468</v>
      </c>
      <c r="C1137" s="260" t="s">
        <v>26</v>
      </c>
      <c r="D1137" s="260" t="s">
        <v>265</v>
      </c>
      <c r="E1137" s="262">
        <v>1</v>
      </c>
      <c r="F1137" s="301">
        <v>0.92</v>
      </c>
      <c r="G1137" s="262">
        <f t="shared" ref="G1137:G1142" si="19">TRUNC(TRUNC(E1137,8)*F1137,2)</f>
        <v>0.92</v>
      </c>
    </row>
    <row r="1138" spans="1:7" ht="20">
      <c r="A1138" s="258" t="s">
        <v>532</v>
      </c>
      <c r="B1138" s="259" t="s">
        <v>533</v>
      </c>
      <c r="C1138" s="260" t="s">
        <v>26</v>
      </c>
      <c r="D1138" s="260" t="s">
        <v>265</v>
      </c>
      <c r="E1138" s="262">
        <v>1</v>
      </c>
      <c r="F1138" s="301">
        <v>1.85</v>
      </c>
      <c r="G1138" s="262">
        <f t="shared" si="19"/>
        <v>1.85</v>
      </c>
    </row>
    <row r="1139" spans="1:7" ht="20">
      <c r="A1139" s="258" t="s">
        <v>460</v>
      </c>
      <c r="B1139" s="259" t="s">
        <v>461</v>
      </c>
      <c r="C1139" s="260" t="s">
        <v>26</v>
      </c>
      <c r="D1139" s="260" t="s">
        <v>265</v>
      </c>
      <c r="E1139" s="262">
        <v>1</v>
      </c>
      <c r="F1139" s="301">
        <v>1.43</v>
      </c>
      <c r="G1139" s="262">
        <f t="shared" si="19"/>
        <v>1.43</v>
      </c>
    </row>
    <row r="1140" spans="1:7" ht="20">
      <c r="A1140" s="258" t="s">
        <v>528</v>
      </c>
      <c r="B1140" s="259" t="s">
        <v>529</v>
      </c>
      <c r="C1140" s="260" t="s">
        <v>26</v>
      </c>
      <c r="D1140" s="260" t="s">
        <v>265</v>
      </c>
      <c r="E1140" s="262">
        <v>1</v>
      </c>
      <c r="F1140" s="301">
        <v>2.0499999999999998</v>
      </c>
      <c r="G1140" s="262">
        <f t="shared" si="19"/>
        <v>2.0499999999999998</v>
      </c>
    </row>
    <row r="1141" spans="1:7" ht="20">
      <c r="A1141" s="258" t="s">
        <v>570</v>
      </c>
      <c r="B1141" s="259" t="s">
        <v>571</v>
      </c>
      <c r="C1141" s="260" t="s">
        <v>26</v>
      </c>
      <c r="D1141" s="260" t="s">
        <v>265</v>
      </c>
      <c r="E1141" s="262">
        <v>1</v>
      </c>
      <c r="F1141" s="301">
        <v>0.08</v>
      </c>
      <c r="G1141" s="262">
        <f t="shared" si="19"/>
        <v>0.08</v>
      </c>
    </row>
    <row r="1142" spans="1:7" ht="20">
      <c r="A1142" s="258" t="s">
        <v>473</v>
      </c>
      <c r="B1142" s="259" t="s">
        <v>474</v>
      </c>
      <c r="C1142" s="260" t="s">
        <v>26</v>
      </c>
      <c r="D1142" s="260" t="s">
        <v>265</v>
      </c>
      <c r="E1142" s="262">
        <v>1</v>
      </c>
      <c r="F1142" s="301">
        <v>0.8</v>
      </c>
      <c r="G1142" s="262">
        <f t="shared" si="19"/>
        <v>0.8</v>
      </c>
    </row>
    <row r="1143" spans="1:7" ht="21">
      <c r="A1143" s="263"/>
      <c r="B1143" s="264"/>
      <c r="C1143" s="264"/>
      <c r="D1143" s="264"/>
      <c r="E1143" s="265" t="s">
        <v>1302</v>
      </c>
      <c r="F1143" s="265"/>
      <c r="G1143" s="266">
        <f>SUM(G1137:G1142)</f>
        <v>7.13</v>
      </c>
    </row>
    <row r="1144" spans="1:7" ht="21">
      <c r="A1144" s="255" t="s">
        <v>447</v>
      </c>
      <c r="B1144" s="256"/>
      <c r="C1144" s="257" t="s">
        <v>4</v>
      </c>
      <c r="D1144" s="257" t="s">
        <v>243</v>
      </c>
      <c r="E1144" s="257" t="s">
        <v>244</v>
      </c>
      <c r="F1144" s="257" t="s">
        <v>245</v>
      </c>
      <c r="G1144" s="257" t="s">
        <v>246</v>
      </c>
    </row>
    <row r="1145" spans="1:7">
      <c r="A1145" s="258" t="s">
        <v>479</v>
      </c>
      <c r="B1145" s="259" t="s">
        <v>480</v>
      </c>
      <c r="C1145" s="260" t="s">
        <v>26</v>
      </c>
      <c r="D1145" s="260" t="s">
        <v>265</v>
      </c>
      <c r="E1145" s="262">
        <v>1</v>
      </c>
      <c r="F1145" s="301">
        <v>19.18</v>
      </c>
      <c r="G1145" s="262">
        <f>TRUNC(TRUNC(E1145,8)*F1145,2)</f>
        <v>19.18</v>
      </c>
    </row>
    <row r="1146" spans="1:7">
      <c r="A1146" s="263"/>
      <c r="B1146" s="264"/>
      <c r="C1146" s="264"/>
      <c r="D1146" s="264"/>
      <c r="E1146" s="265" t="s">
        <v>1303</v>
      </c>
      <c r="F1146" s="265"/>
      <c r="G1146" s="266">
        <f>SUM(G1145:G1145)</f>
        <v>19.18</v>
      </c>
    </row>
    <row r="1147" spans="1:7" ht="21">
      <c r="A1147" s="255" t="s">
        <v>250</v>
      </c>
      <c r="B1147" s="256"/>
      <c r="C1147" s="257" t="s">
        <v>4</v>
      </c>
      <c r="D1147" s="257" t="s">
        <v>243</v>
      </c>
      <c r="E1147" s="257" t="s">
        <v>244</v>
      </c>
      <c r="F1147" s="257" t="s">
        <v>245</v>
      </c>
      <c r="G1147" s="257" t="s">
        <v>246</v>
      </c>
    </row>
    <row r="1148" spans="1:7" ht="20">
      <c r="A1148" s="258" t="s">
        <v>1114</v>
      </c>
      <c r="B1148" s="259" t="s">
        <v>1115</v>
      </c>
      <c r="C1148" s="260" t="s">
        <v>26</v>
      </c>
      <c r="D1148" s="260" t="s">
        <v>265</v>
      </c>
      <c r="E1148" s="262">
        <v>1</v>
      </c>
      <c r="F1148" s="301">
        <v>0.28000000000000003</v>
      </c>
      <c r="G1148" s="262">
        <f>TRUNC(TRUNC(E1148,8)*F1148,2)</f>
        <v>0.28000000000000003</v>
      </c>
    </row>
    <row r="1149" spans="1:7">
      <c r="A1149" s="263"/>
      <c r="B1149" s="264"/>
      <c r="C1149" s="264"/>
      <c r="D1149" s="264"/>
      <c r="E1149" s="265" t="s">
        <v>1301</v>
      </c>
      <c r="F1149" s="265"/>
      <c r="G1149" s="266">
        <f>SUM(G1148:G1148)</f>
        <v>0.28000000000000003</v>
      </c>
    </row>
    <row r="1150" spans="1:7">
      <c r="A1150" s="263"/>
      <c r="B1150" s="264"/>
      <c r="C1150" s="264"/>
      <c r="D1150" s="264"/>
      <c r="E1150" s="267" t="s">
        <v>255</v>
      </c>
      <c r="F1150" s="267">
        <f>A1135</f>
        <v>88310</v>
      </c>
      <c r="G1150" s="268">
        <f>SUM(G1143,G1146,G1149)</f>
        <v>26.59</v>
      </c>
    </row>
    <row r="1151" spans="1:7">
      <c r="A1151" s="263"/>
      <c r="B1151" s="264"/>
      <c r="C1151" s="264"/>
      <c r="D1151" s="264"/>
      <c r="E1151" s="269"/>
      <c r="F1151" s="269"/>
      <c r="G1151" s="269"/>
    </row>
    <row r="1152" spans="1:7" ht="31.5">
      <c r="A1152" s="253">
        <v>100719</v>
      </c>
      <c r="B1152" s="254" t="s">
        <v>1271</v>
      </c>
      <c r="C1152" s="254"/>
      <c r="D1152" s="254"/>
      <c r="E1152" s="254"/>
      <c r="F1152" s="254"/>
      <c r="G1152" s="254"/>
    </row>
    <row r="1153" spans="1:7" ht="21">
      <c r="A1153" s="255" t="s">
        <v>256</v>
      </c>
      <c r="B1153" s="256"/>
      <c r="C1153" s="257" t="s">
        <v>4</v>
      </c>
      <c r="D1153" s="257" t="s">
        <v>243</v>
      </c>
      <c r="E1153" s="257" t="s">
        <v>244</v>
      </c>
      <c r="F1153" s="257" t="s">
        <v>245</v>
      </c>
      <c r="G1153" s="257" t="s">
        <v>246</v>
      </c>
    </row>
    <row r="1154" spans="1:7">
      <c r="A1154" s="258" t="s">
        <v>333</v>
      </c>
      <c r="B1154" s="259" t="s">
        <v>334</v>
      </c>
      <c r="C1154" s="260" t="s">
        <v>26</v>
      </c>
      <c r="D1154" s="260" t="s">
        <v>335</v>
      </c>
      <c r="E1154" s="271">
        <v>5.7500000000000002E-2</v>
      </c>
      <c r="F1154" s="301">
        <v>19.29</v>
      </c>
      <c r="G1154" s="262">
        <f>TRUNC(TRUNC(E1154,8)*F1154,2)</f>
        <v>1.1000000000000001</v>
      </c>
    </row>
    <row r="1155" spans="1:7">
      <c r="A1155" s="258" t="s">
        <v>336</v>
      </c>
      <c r="B1155" s="259" t="s">
        <v>337</v>
      </c>
      <c r="C1155" s="260" t="s">
        <v>26</v>
      </c>
      <c r="D1155" s="260" t="s">
        <v>335</v>
      </c>
      <c r="E1155" s="271">
        <v>0.1908</v>
      </c>
      <c r="F1155" s="301">
        <v>32.96</v>
      </c>
      <c r="G1155" s="262">
        <f>TRUNC(TRUNC(E1155,8)*F1155,2)</f>
        <v>6.28</v>
      </c>
    </row>
    <row r="1156" spans="1:7" ht="21">
      <c r="A1156" s="263"/>
      <c r="B1156" s="264"/>
      <c r="C1156" s="264"/>
      <c r="D1156" s="264"/>
      <c r="E1156" s="265" t="s">
        <v>259</v>
      </c>
      <c r="F1156" s="265"/>
      <c r="G1156" s="266">
        <f>SUM(G1154:G1155)</f>
        <v>7.3800000000000008</v>
      </c>
    </row>
    <row r="1157" spans="1:7" ht="21">
      <c r="A1157" s="255" t="s">
        <v>242</v>
      </c>
      <c r="B1157" s="256"/>
      <c r="C1157" s="257" t="s">
        <v>4</v>
      </c>
      <c r="D1157" s="257" t="s">
        <v>243</v>
      </c>
      <c r="E1157" s="257" t="s">
        <v>244</v>
      </c>
      <c r="F1157" s="257" t="s">
        <v>245</v>
      </c>
      <c r="G1157" s="257" t="s">
        <v>246</v>
      </c>
    </row>
    <row r="1158" spans="1:7">
      <c r="A1158" s="258" t="s">
        <v>338</v>
      </c>
      <c r="B1158" s="259" t="s">
        <v>339</v>
      </c>
      <c r="C1158" s="260" t="s">
        <v>26</v>
      </c>
      <c r="D1158" s="260" t="s">
        <v>265</v>
      </c>
      <c r="E1158" s="271">
        <v>6.3500000000000001E-2</v>
      </c>
      <c r="F1158" s="301">
        <v>26.59</v>
      </c>
      <c r="G1158" s="262">
        <f>TRUNC(TRUNC(E1158,8)*F1158,2)</f>
        <v>1.68</v>
      </c>
    </row>
    <row r="1159" spans="1:7">
      <c r="A1159" s="263"/>
      <c r="B1159" s="264"/>
      <c r="C1159" s="264"/>
      <c r="D1159" s="264"/>
      <c r="E1159" s="265" t="s">
        <v>1299</v>
      </c>
      <c r="F1159" s="265"/>
      <c r="G1159" s="266">
        <f>SUM(G1158:G1158)</f>
        <v>1.68</v>
      </c>
    </row>
    <row r="1160" spans="1:7">
      <c r="A1160" s="263"/>
      <c r="B1160" s="264"/>
      <c r="C1160" s="264"/>
      <c r="D1160" s="264"/>
      <c r="E1160" s="267" t="s">
        <v>255</v>
      </c>
      <c r="F1160" s="267">
        <f>A1152</f>
        <v>100719</v>
      </c>
      <c r="G1160" s="268">
        <f>SUM(G1156,G1159)</f>
        <v>9.06</v>
      </c>
    </row>
    <row r="1161" spans="1:7">
      <c r="A1161" s="263"/>
      <c r="B1161" s="264"/>
      <c r="C1161" s="264"/>
      <c r="D1161" s="264"/>
      <c r="E1161" s="269"/>
      <c r="F1161" s="269"/>
      <c r="G1161" s="269"/>
    </row>
    <row r="1162" spans="1:7">
      <c r="A1162" s="253">
        <v>102234</v>
      </c>
      <c r="B1162" s="254" t="s">
        <v>1272</v>
      </c>
      <c r="C1162" s="254"/>
      <c r="D1162" s="254"/>
      <c r="E1162" s="254"/>
      <c r="F1162" s="254"/>
      <c r="G1162" s="254"/>
    </row>
    <row r="1163" spans="1:7" ht="21">
      <c r="A1163" s="255" t="s">
        <v>256</v>
      </c>
      <c r="B1163" s="256"/>
      <c r="C1163" s="257" t="s">
        <v>4</v>
      </c>
      <c r="D1163" s="257" t="s">
        <v>243</v>
      </c>
      <c r="E1163" s="257" t="s">
        <v>244</v>
      </c>
      <c r="F1163" s="257" t="s">
        <v>245</v>
      </c>
      <c r="G1163" s="257" t="s">
        <v>246</v>
      </c>
    </row>
    <row r="1164" spans="1:7">
      <c r="A1164" s="258" t="s">
        <v>552</v>
      </c>
      <c r="B1164" s="259" t="s">
        <v>553</v>
      </c>
      <c r="C1164" s="260" t="s">
        <v>26</v>
      </c>
      <c r="D1164" s="260" t="s">
        <v>335</v>
      </c>
      <c r="E1164" s="271">
        <v>0.32569999999999999</v>
      </c>
      <c r="F1164" s="301">
        <v>33.5</v>
      </c>
      <c r="G1164" s="262">
        <f>TRUNC(TRUNC(E1164,8)*F1164,2)</f>
        <v>10.91</v>
      </c>
    </row>
    <row r="1165" spans="1:7" ht="21">
      <c r="A1165" s="263"/>
      <c r="B1165" s="264"/>
      <c r="C1165" s="264"/>
      <c r="D1165" s="264"/>
      <c r="E1165" s="265" t="s">
        <v>259</v>
      </c>
      <c r="F1165" s="265"/>
      <c r="G1165" s="266">
        <f>SUM(G1164:G1164)</f>
        <v>10.91</v>
      </c>
    </row>
    <row r="1166" spans="1:7" ht="21">
      <c r="A1166" s="255" t="s">
        <v>242</v>
      </c>
      <c r="B1166" s="256"/>
      <c r="C1166" s="257" t="s">
        <v>4</v>
      </c>
      <c r="D1166" s="257" t="s">
        <v>243</v>
      </c>
      <c r="E1166" s="257" t="s">
        <v>244</v>
      </c>
      <c r="F1166" s="257" t="s">
        <v>245</v>
      </c>
      <c r="G1166" s="257" t="s">
        <v>246</v>
      </c>
    </row>
    <row r="1167" spans="1:7">
      <c r="A1167" s="258" t="s">
        <v>338</v>
      </c>
      <c r="B1167" s="259" t="s">
        <v>339</v>
      </c>
      <c r="C1167" s="260" t="s">
        <v>26</v>
      </c>
      <c r="D1167" s="260" t="s">
        <v>265</v>
      </c>
      <c r="E1167" s="271">
        <v>0.45290000000000002</v>
      </c>
      <c r="F1167" s="301">
        <v>26.59</v>
      </c>
      <c r="G1167" s="262">
        <f>TRUNC(TRUNC(E1167,8)*F1167,2)</f>
        <v>12.04</v>
      </c>
    </row>
    <row r="1168" spans="1:7">
      <c r="A1168" s="263"/>
      <c r="B1168" s="264"/>
      <c r="C1168" s="264"/>
      <c r="D1168" s="264"/>
      <c r="E1168" s="265" t="s">
        <v>1299</v>
      </c>
      <c r="F1168" s="265"/>
      <c r="G1168" s="266">
        <f>SUM(G1167:G1167)</f>
        <v>12.04</v>
      </c>
    </row>
    <row r="1169" spans="1:7">
      <c r="A1169" s="263"/>
      <c r="B1169" s="264"/>
      <c r="C1169" s="264"/>
      <c r="D1169" s="264"/>
      <c r="E1169" s="267" t="s">
        <v>255</v>
      </c>
      <c r="F1169" s="267">
        <f>A1162</f>
        <v>102234</v>
      </c>
      <c r="G1169" s="268">
        <f>SUM(G1165,G1168)</f>
        <v>22.95</v>
      </c>
    </row>
    <row r="1170" spans="1:7">
      <c r="A1170" s="263"/>
      <c r="B1170" s="264"/>
      <c r="C1170" s="264"/>
      <c r="D1170" s="264"/>
      <c r="E1170" s="269"/>
      <c r="F1170" s="269"/>
      <c r="G1170" s="269"/>
    </row>
    <row r="1171" spans="1:7" ht="31.5">
      <c r="A1171" s="253">
        <v>91278</v>
      </c>
      <c r="B1171" s="254" t="s">
        <v>1273</v>
      </c>
      <c r="C1171" s="254"/>
      <c r="D1171" s="254"/>
      <c r="E1171" s="254"/>
      <c r="F1171" s="254"/>
      <c r="G1171" s="254"/>
    </row>
    <row r="1172" spans="1:7" ht="21">
      <c r="A1172" s="255" t="s">
        <v>250</v>
      </c>
      <c r="B1172" s="256"/>
      <c r="C1172" s="257" t="s">
        <v>4</v>
      </c>
      <c r="D1172" s="257" t="s">
        <v>243</v>
      </c>
      <c r="E1172" s="257" t="s">
        <v>244</v>
      </c>
      <c r="F1172" s="257" t="s">
        <v>245</v>
      </c>
      <c r="G1172" s="257" t="s">
        <v>246</v>
      </c>
    </row>
    <row r="1173" spans="1:7" ht="30">
      <c r="A1173" s="258" t="s">
        <v>1116</v>
      </c>
      <c r="B1173" s="259" t="s">
        <v>1117</v>
      </c>
      <c r="C1173" s="260" t="s">
        <v>26</v>
      </c>
      <c r="D1173" s="260" t="s">
        <v>265</v>
      </c>
      <c r="E1173" s="262">
        <v>1</v>
      </c>
      <c r="F1173" s="301">
        <v>0.56999999999999995</v>
      </c>
      <c r="G1173" s="262">
        <f>TRUNC(TRUNC(E1173,8)*F1173,2)</f>
        <v>0.56999999999999995</v>
      </c>
    </row>
    <row r="1174" spans="1:7" ht="30">
      <c r="A1174" s="258" t="s">
        <v>1118</v>
      </c>
      <c r="B1174" s="259" t="s">
        <v>1119</v>
      </c>
      <c r="C1174" s="260" t="s">
        <v>26</v>
      </c>
      <c r="D1174" s="260" t="s">
        <v>265</v>
      </c>
      <c r="E1174" s="262">
        <v>1</v>
      </c>
      <c r="F1174" s="301">
        <v>0.15</v>
      </c>
      <c r="G1174" s="262">
        <f>TRUNC(TRUNC(E1174,8)*F1174,2)</f>
        <v>0.15</v>
      </c>
    </row>
    <row r="1175" spans="1:7">
      <c r="A1175" s="263"/>
      <c r="B1175" s="264"/>
      <c r="C1175" s="264"/>
      <c r="D1175" s="264"/>
      <c r="E1175" s="265" t="s">
        <v>1301</v>
      </c>
      <c r="F1175" s="265"/>
      <c r="G1175" s="266">
        <f>SUM(G1173:G1174)</f>
        <v>0.72</v>
      </c>
    </row>
    <row r="1176" spans="1:7">
      <c r="A1176" s="263"/>
      <c r="B1176" s="264"/>
      <c r="C1176" s="264"/>
      <c r="D1176" s="264"/>
      <c r="E1176" s="267" t="s">
        <v>255</v>
      </c>
      <c r="F1176" s="267">
        <f>A1171</f>
        <v>91278</v>
      </c>
      <c r="G1176" s="268">
        <f>SUM(G1175)</f>
        <v>0.72</v>
      </c>
    </row>
    <row r="1177" spans="1:7">
      <c r="A1177" s="263"/>
      <c r="B1177" s="264"/>
      <c r="C1177" s="264"/>
      <c r="D1177" s="264"/>
      <c r="E1177" s="269"/>
      <c r="F1177" s="269"/>
      <c r="G1177" s="269"/>
    </row>
    <row r="1178" spans="1:7" ht="31.5">
      <c r="A1178" s="253">
        <v>91277</v>
      </c>
      <c r="B1178" s="254" t="s">
        <v>1274</v>
      </c>
      <c r="C1178" s="254"/>
      <c r="D1178" s="254"/>
      <c r="E1178" s="254"/>
      <c r="F1178" s="254"/>
      <c r="G1178" s="254"/>
    </row>
    <row r="1179" spans="1:7" ht="21">
      <c r="A1179" s="255" t="s">
        <v>250</v>
      </c>
      <c r="B1179" s="256"/>
      <c r="C1179" s="257" t="s">
        <v>4</v>
      </c>
      <c r="D1179" s="257" t="s">
        <v>243</v>
      </c>
      <c r="E1179" s="257" t="s">
        <v>244</v>
      </c>
      <c r="F1179" s="257" t="s">
        <v>245</v>
      </c>
      <c r="G1179" s="257" t="s">
        <v>246</v>
      </c>
    </row>
    <row r="1180" spans="1:7" ht="30">
      <c r="A1180" s="258" t="s">
        <v>1116</v>
      </c>
      <c r="B1180" s="259" t="s">
        <v>1117</v>
      </c>
      <c r="C1180" s="260" t="s">
        <v>26</v>
      </c>
      <c r="D1180" s="260" t="s">
        <v>265</v>
      </c>
      <c r="E1180" s="262">
        <v>1</v>
      </c>
      <c r="F1180" s="301">
        <v>0.56999999999999995</v>
      </c>
      <c r="G1180" s="262">
        <f>TRUNC(TRUNC(E1180,8)*F1180,2)</f>
        <v>0.56999999999999995</v>
      </c>
    </row>
    <row r="1181" spans="1:7" ht="30">
      <c r="A1181" s="258" t="s">
        <v>1118</v>
      </c>
      <c r="B1181" s="259" t="s">
        <v>1119</v>
      </c>
      <c r="C1181" s="260" t="s">
        <v>26</v>
      </c>
      <c r="D1181" s="260" t="s">
        <v>265</v>
      </c>
      <c r="E1181" s="262">
        <v>1</v>
      </c>
      <c r="F1181" s="301">
        <v>0.15</v>
      </c>
      <c r="G1181" s="262">
        <f>TRUNC(TRUNC(E1181,8)*F1181,2)</f>
        <v>0.15</v>
      </c>
    </row>
    <row r="1182" spans="1:7" ht="30">
      <c r="A1182" s="258" t="s">
        <v>1120</v>
      </c>
      <c r="B1182" s="259" t="s">
        <v>1121</v>
      </c>
      <c r="C1182" s="260" t="s">
        <v>26</v>
      </c>
      <c r="D1182" s="260" t="s">
        <v>265</v>
      </c>
      <c r="E1182" s="262">
        <v>1</v>
      </c>
      <c r="F1182" s="301">
        <v>0.71</v>
      </c>
      <c r="G1182" s="262">
        <f>TRUNC(TRUNC(E1182,8)*F1182,2)</f>
        <v>0.71</v>
      </c>
    </row>
    <row r="1183" spans="1:7" ht="30">
      <c r="A1183" s="258" t="s">
        <v>1122</v>
      </c>
      <c r="B1183" s="259" t="s">
        <v>1123</v>
      </c>
      <c r="C1183" s="260" t="s">
        <v>26</v>
      </c>
      <c r="D1183" s="260" t="s">
        <v>265</v>
      </c>
      <c r="E1183" s="262">
        <v>1</v>
      </c>
      <c r="F1183" s="301">
        <v>9.02</v>
      </c>
      <c r="G1183" s="262">
        <f>TRUNC(TRUNC(E1183,8)*F1183,2)</f>
        <v>9.02</v>
      </c>
    </row>
    <row r="1184" spans="1:7">
      <c r="A1184" s="263"/>
      <c r="B1184" s="264"/>
      <c r="C1184" s="264"/>
      <c r="D1184" s="264"/>
      <c r="E1184" s="265" t="s">
        <v>1301</v>
      </c>
      <c r="F1184" s="265"/>
      <c r="G1184" s="266">
        <f>SUM(G1180:G1183)</f>
        <v>10.45</v>
      </c>
    </row>
    <row r="1185" spans="1:7">
      <c r="A1185" s="263"/>
      <c r="B1185" s="264"/>
      <c r="C1185" s="264"/>
      <c r="D1185" s="264"/>
      <c r="E1185" s="267" t="s">
        <v>255</v>
      </c>
      <c r="F1185" s="267">
        <f>A1178</f>
        <v>91277</v>
      </c>
      <c r="G1185" s="268">
        <f>SUM(G1184)</f>
        <v>10.45</v>
      </c>
    </row>
    <row r="1186" spans="1:7">
      <c r="A1186" s="263"/>
      <c r="B1186" s="264"/>
      <c r="C1186" s="264"/>
      <c r="D1186" s="264"/>
      <c r="E1186" s="269"/>
      <c r="F1186" s="269"/>
      <c r="G1186" s="269"/>
    </row>
    <row r="1187" spans="1:7" ht="31.5">
      <c r="A1187" s="253">
        <v>91273</v>
      </c>
      <c r="B1187" s="254" t="s">
        <v>1275</v>
      </c>
      <c r="C1187" s="254"/>
      <c r="D1187" s="254"/>
      <c r="E1187" s="254"/>
      <c r="F1187" s="254"/>
      <c r="G1187" s="254"/>
    </row>
    <row r="1188" spans="1:7" ht="21">
      <c r="A1188" s="255" t="s">
        <v>268</v>
      </c>
      <c r="B1188" s="256"/>
      <c r="C1188" s="257" t="s">
        <v>4</v>
      </c>
      <c r="D1188" s="257" t="s">
        <v>243</v>
      </c>
      <c r="E1188" s="257" t="s">
        <v>244</v>
      </c>
      <c r="F1188" s="257" t="s">
        <v>245</v>
      </c>
      <c r="G1188" s="257" t="s">
        <v>246</v>
      </c>
    </row>
    <row r="1189" spans="1:7" ht="40">
      <c r="A1189" s="258" t="s">
        <v>632</v>
      </c>
      <c r="B1189" s="259" t="s">
        <v>633</v>
      </c>
      <c r="C1189" s="260" t="s">
        <v>26</v>
      </c>
      <c r="D1189" s="260" t="s">
        <v>14</v>
      </c>
      <c r="E1189" s="328">
        <v>5.3300000000000001E-5</v>
      </c>
      <c r="F1189" s="301">
        <v>10731.19</v>
      </c>
      <c r="G1189" s="262">
        <f>TRUNC(TRUNC(E1189,8)*F1189,2)</f>
        <v>0.56999999999999995</v>
      </c>
    </row>
    <row r="1190" spans="1:7">
      <c r="A1190" s="263"/>
      <c r="B1190" s="264"/>
      <c r="C1190" s="264"/>
      <c r="D1190" s="264"/>
      <c r="E1190" s="265" t="s">
        <v>1300</v>
      </c>
      <c r="F1190" s="265"/>
      <c r="G1190" s="266">
        <f>SUM(G1189:G1189)</f>
        <v>0.56999999999999995</v>
      </c>
    </row>
    <row r="1191" spans="1:7">
      <c r="A1191" s="263"/>
      <c r="B1191" s="264"/>
      <c r="C1191" s="264"/>
      <c r="D1191" s="264"/>
      <c r="E1191" s="267" t="s">
        <v>255</v>
      </c>
      <c r="F1191" s="267">
        <f>A1187</f>
        <v>91273</v>
      </c>
      <c r="G1191" s="268">
        <f>SUM(G1190)</f>
        <v>0.56999999999999995</v>
      </c>
    </row>
    <row r="1192" spans="1:7">
      <c r="A1192" s="263"/>
      <c r="B1192" s="264"/>
      <c r="C1192" s="264"/>
      <c r="D1192" s="264"/>
      <c r="E1192" s="269"/>
      <c r="F1192" s="269"/>
      <c r="G1192" s="269"/>
    </row>
    <row r="1193" spans="1:7" ht="31.5">
      <c r="A1193" s="253">
        <v>91274</v>
      </c>
      <c r="B1193" s="254" t="s">
        <v>1276</v>
      </c>
      <c r="C1193" s="254"/>
      <c r="D1193" s="254"/>
      <c r="E1193" s="254"/>
      <c r="F1193" s="254"/>
      <c r="G1193" s="254"/>
    </row>
    <row r="1194" spans="1:7" ht="21">
      <c r="A1194" s="255" t="s">
        <v>268</v>
      </c>
      <c r="B1194" s="256"/>
      <c r="C1194" s="257" t="s">
        <v>4</v>
      </c>
      <c r="D1194" s="257" t="s">
        <v>243</v>
      </c>
      <c r="E1194" s="257" t="s">
        <v>244</v>
      </c>
      <c r="F1194" s="257" t="s">
        <v>245</v>
      </c>
      <c r="G1194" s="257" t="s">
        <v>246</v>
      </c>
    </row>
    <row r="1195" spans="1:7" ht="40">
      <c r="A1195" s="258" t="s">
        <v>632</v>
      </c>
      <c r="B1195" s="259" t="s">
        <v>633</v>
      </c>
      <c r="C1195" s="260" t="s">
        <v>26</v>
      </c>
      <c r="D1195" s="260" t="s">
        <v>14</v>
      </c>
      <c r="E1195" s="328">
        <v>1.43E-5</v>
      </c>
      <c r="F1195" s="301">
        <v>10731.19</v>
      </c>
      <c r="G1195" s="262">
        <f>TRUNC(TRUNC(E1195,8)*F1195,2)</f>
        <v>0.15</v>
      </c>
    </row>
    <row r="1196" spans="1:7">
      <c r="A1196" s="263"/>
      <c r="B1196" s="264"/>
      <c r="C1196" s="264"/>
      <c r="D1196" s="264"/>
      <c r="E1196" s="265" t="s">
        <v>1300</v>
      </c>
      <c r="F1196" s="265"/>
      <c r="G1196" s="266">
        <f>SUM(G1195:G1195)</f>
        <v>0.15</v>
      </c>
    </row>
    <row r="1197" spans="1:7">
      <c r="A1197" s="263"/>
      <c r="B1197" s="264"/>
      <c r="C1197" s="264"/>
      <c r="D1197" s="264"/>
      <c r="E1197" s="267" t="s">
        <v>255</v>
      </c>
      <c r="F1197" s="267">
        <f>A1193</f>
        <v>91274</v>
      </c>
      <c r="G1197" s="268">
        <f>SUM(G1196)</f>
        <v>0.15</v>
      </c>
    </row>
    <row r="1198" spans="1:7">
      <c r="A1198" s="263"/>
      <c r="B1198" s="264"/>
      <c r="C1198" s="264"/>
      <c r="D1198" s="264"/>
      <c r="E1198" s="269"/>
      <c r="F1198" s="269"/>
      <c r="G1198" s="269"/>
    </row>
    <row r="1199" spans="1:7" ht="31.5">
      <c r="A1199" s="253">
        <v>91275</v>
      </c>
      <c r="B1199" s="254" t="s">
        <v>1277</v>
      </c>
      <c r="C1199" s="254"/>
      <c r="D1199" s="254"/>
      <c r="E1199" s="254"/>
      <c r="F1199" s="254"/>
      <c r="G1199" s="254"/>
    </row>
    <row r="1200" spans="1:7" ht="21">
      <c r="A1200" s="255" t="s">
        <v>268</v>
      </c>
      <c r="B1200" s="256"/>
      <c r="C1200" s="257" t="s">
        <v>4</v>
      </c>
      <c r="D1200" s="257" t="s">
        <v>243</v>
      </c>
      <c r="E1200" s="257" t="s">
        <v>244</v>
      </c>
      <c r="F1200" s="257" t="s">
        <v>245</v>
      </c>
      <c r="G1200" s="257" t="s">
        <v>246</v>
      </c>
    </row>
    <row r="1201" spans="1:7" ht="40">
      <c r="A1201" s="258" t="s">
        <v>632</v>
      </c>
      <c r="B1201" s="259" t="s">
        <v>633</v>
      </c>
      <c r="C1201" s="260" t="s">
        <v>26</v>
      </c>
      <c r="D1201" s="260" t="s">
        <v>14</v>
      </c>
      <c r="E1201" s="328">
        <v>6.6699999999999995E-5</v>
      </c>
      <c r="F1201" s="301">
        <v>10731.19</v>
      </c>
      <c r="G1201" s="262">
        <f>TRUNC(TRUNC(E1201,8)*F1201,2)</f>
        <v>0.71</v>
      </c>
    </row>
    <row r="1202" spans="1:7">
      <c r="A1202" s="263"/>
      <c r="B1202" s="264"/>
      <c r="C1202" s="264"/>
      <c r="D1202" s="264"/>
      <c r="E1202" s="265" t="s">
        <v>1300</v>
      </c>
      <c r="F1202" s="265"/>
      <c r="G1202" s="266">
        <f>SUM(G1201:G1201)</f>
        <v>0.71</v>
      </c>
    </row>
    <row r="1203" spans="1:7">
      <c r="A1203" s="263"/>
      <c r="B1203" s="264"/>
      <c r="C1203" s="264"/>
      <c r="D1203" s="264"/>
      <c r="E1203" s="267" t="s">
        <v>255</v>
      </c>
      <c r="F1203" s="267">
        <f>A1199</f>
        <v>91275</v>
      </c>
      <c r="G1203" s="268">
        <f>SUM(G1202)</f>
        <v>0.71</v>
      </c>
    </row>
    <row r="1204" spans="1:7">
      <c r="A1204" s="263"/>
      <c r="B1204" s="264"/>
      <c r="C1204" s="264"/>
      <c r="D1204" s="264"/>
      <c r="E1204" s="269"/>
      <c r="F1204" s="269"/>
      <c r="G1204" s="269"/>
    </row>
    <row r="1205" spans="1:7" ht="31.5">
      <c r="A1205" s="253">
        <v>91276</v>
      </c>
      <c r="B1205" s="254" t="s">
        <v>1278</v>
      </c>
      <c r="C1205" s="254"/>
      <c r="D1205" s="254"/>
      <c r="E1205" s="254"/>
      <c r="F1205" s="254"/>
      <c r="G1205" s="254"/>
    </row>
    <row r="1206" spans="1:7" ht="21">
      <c r="A1206" s="255" t="s">
        <v>256</v>
      </c>
      <c r="B1206" s="256"/>
      <c r="C1206" s="257" t="s">
        <v>4</v>
      </c>
      <c r="D1206" s="257" t="s">
        <v>243</v>
      </c>
      <c r="E1206" s="257" t="s">
        <v>244</v>
      </c>
      <c r="F1206" s="257" t="s">
        <v>245</v>
      </c>
      <c r="G1206" s="257" t="s">
        <v>246</v>
      </c>
    </row>
    <row r="1207" spans="1:7">
      <c r="A1207" s="258" t="s">
        <v>606</v>
      </c>
      <c r="B1207" s="259" t="s">
        <v>607</v>
      </c>
      <c r="C1207" s="260" t="s">
        <v>26</v>
      </c>
      <c r="D1207" s="260" t="s">
        <v>335</v>
      </c>
      <c r="E1207" s="262">
        <v>1.44</v>
      </c>
      <c r="F1207" s="301">
        <v>6.27</v>
      </c>
      <c r="G1207" s="262">
        <f>TRUNC(TRUNC(E1207,8)*F1207,2)</f>
        <v>9.02</v>
      </c>
    </row>
    <row r="1208" spans="1:7" ht="21">
      <c r="A1208" s="263"/>
      <c r="B1208" s="264"/>
      <c r="C1208" s="264"/>
      <c r="D1208" s="264"/>
      <c r="E1208" s="265" t="s">
        <v>259</v>
      </c>
      <c r="F1208" s="265"/>
      <c r="G1208" s="266">
        <f>SUM(G1207:G1207)</f>
        <v>9.02</v>
      </c>
    </row>
    <row r="1209" spans="1:7">
      <c r="A1209" s="263"/>
      <c r="B1209" s="264"/>
      <c r="C1209" s="264"/>
      <c r="D1209" s="264"/>
      <c r="E1209" s="267" t="s">
        <v>255</v>
      </c>
      <c r="F1209" s="267">
        <f>A1205</f>
        <v>91276</v>
      </c>
      <c r="G1209" s="268">
        <f>SUM(G1208)</f>
        <v>9.02</v>
      </c>
    </row>
    <row r="1210" spans="1:7">
      <c r="A1210" s="263"/>
      <c r="B1210" s="264"/>
      <c r="C1210" s="264"/>
      <c r="D1210" s="264"/>
      <c r="E1210" s="269"/>
      <c r="F1210" s="269"/>
      <c r="G1210" s="269"/>
    </row>
    <row r="1211" spans="1:7" ht="21">
      <c r="A1211" s="253">
        <v>91693</v>
      </c>
      <c r="B1211" s="254" t="s">
        <v>1279</v>
      </c>
      <c r="C1211" s="254"/>
      <c r="D1211" s="254"/>
      <c r="E1211" s="254"/>
      <c r="F1211" s="254"/>
      <c r="G1211" s="254"/>
    </row>
    <row r="1212" spans="1:7" ht="21">
      <c r="A1212" s="255" t="s">
        <v>242</v>
      </c>
      <c r="B1212" s="256"/>
      <c r="C1212" s="257" t="s">
        <v>4</v>
      </c>
      <c r="D1212" s="257" t="s">
        <v>243</v>
      </c>
      <c r="E1212" s="257" t="s">
        <v>244</v>
      </c>
      <c r="F1212" s="257" t="s">
        <v>245</v>
      </c>
      <c r="G1212" s="257" t="s">
        <v>246</v>
      </c>
    </row>
    <row r="1213" spans="1:7" ht="20">
      <c r="A1213" s="258" t="s">
        <v>1124</v>
      </c>
      <c r="B1213" s="259" t="s">
        <v>1125</v>
      </c>
      <c r="C1213" s="260" t="s">
        <v>26</v>
      </c>
      <c r="D1213" s="260" t="s">
        <v>265</v>
      </c>
      <c r="E1213" s="262">
        <v>1</v>
      </c>
      <c r="F1213" s="301">
        <v>23.8</v>
      </c>
      <c r="G1213" s="262">
        <f>TRUNC(TRUNC(E1213,8)*F1213,2)</f>
        <v>23.8</v>
      </c>
    </row>
    <row r="1214" spans="1:7">
      <c r="A1214" s="263"/>
      <c r="B1214" s="264"/>
      <c r="C1214" s="264"/>
      <c r="D1214" s="264"/>
      <c r="E1214" s="265" t="s">
        <v>1299</v>
      </c>
      <c r="F1214" s="265"/>
      <c r="G1214" s="266">
        <f>SUM(G1213:G1213)</f>
        <v>23.8</v>
      </c>
    </row>
    <row r="1215" spans="1:7" ht="21">
      <c r="A1215" s="255" t="s">
        <v>250</v>
      </c>
      <c r="B1215" s="256"/>
      <c r="C1215" s="257" t="s">
        <v>4</v>
      </c>
      <c r="D1215" s="257" t="s">
        <v>243</v>
      </c>
      <c r="E1215" s="257" t="s">
        <v>244</v>
      </c>
      <c r="F1215" s="257" t="s">
        <v>245</v>
      </c>
      <c r="G1215" s="257" t="s">
        <v>246</v>
      </c>
    </row>
    <row r="1216" spans="1:7" ht="20">
      <c r="A1216" s="258" t="s">
        <v>1126</v>
      </c>
      <c r="B1216" s="259" t="s">
        <v>1127</v>
      </c>
      <c r="C1216" s="260" t="s">
        <v>26</v>
      </c>
      <c r="D1216" s="260" t="s">
        <v>265</v>
      </c>
      <c r="E1216" s="262">
        <v>1</v>
      </c>
      <c r="F1216" s="301">
        <v>0.08</v>
      </c>
      <c r="G1216" s="262">
        <f>TRUNC(TRUNC(E1216,8)*F1216,2)</f>
        <v>0.08</v>
      </c>
    </row>
    <row r="1217" spans="1:7" ht="20">
      <c r="A1217" s="258" t="s">
        <v>1128</v>
      </c>
      <c r="B1217" s="259" t="s">
        <v>1129</v>
      </c>
      <c r="C1217" s="260" t="s">
        <v>26</v>
      </c>
      <c r="D1217" s="260" t="s">
        <v>265</v>
      </c>
      <c r="E1217" s="262">
        <v>1</v>
      </c>
      <c r="F1217" s="301">
        <v>0.01</v>
      </c>
      <c r="G1217" s="262">
        <f>TRUNC(TRUNC(E1217,8)*F1217,2)</f>
        <v>0.01</v>
      </c>
    </row>
    <row r="1218" spans="1:7">
      <c r="A1218" s="263"/>
      <c r="B1218" s="264"/>
      <c r="C1218" s="264"/>
      <c r="D1218" s="264"/>
      <c r="E1218" s="265" t="s">
        <v>1301</v>
      </c>
      <c r="F1218" s="265"/>
      <c r="G1218" s="266">
        <f>SUM(G1216:G1217)</f>
        <v>0.09</v>
      </c>
    </row>
    <row r="1219" spans="1:7">
      <c r="A1219" s="263"/>
      <c r="B1219" s="264"/>
      <c r="C1219" s="264"/>
      <c r="D1219" s="264"/>
      <c r="E1219" s="267" t="s">
        <v>255</v>
      </c>
      <c r="F1219" s="267">
        <f>A1211</f>
        <v>91693</v>
      </c>
      <c r="G1219" s="268">
        <f>SUM(G1214,G1218)</f>
        <v>23.89</v>
      </c>
    </row>
    <row r="1220" spans="1:7">
      <c r="A1220" s="263"/>
      <c r="B1220" s="264"/>
      <c r="C1220" s="264"/>
      <c r="D1220" s="264"/>
      <c r="E1220" s="269"/>
      <c r="F1220" s="269"/>
      <c r="G1220" s="269"/>
    </row>
    <row r="1221" spans="1:7" ht="31.5">
      <c r="A1221" s="253">
        <v>91692</v>
      </c>
      <c r="B1221" s="254" t="s">
        <v>1280</v>
      </c>
      <c r="C1221" s="254"/>
      <c r="D1221" s="254"/>
      <c r="E1221" s="254"/>
      <c r="F1221" s="254"/>
      <c r="G1221" s="254"/>
    </row>
    <row r="1222" spans="1:7" ht="21">
      <c r="A1222" s="255" t="s">
        <v>242</v>
      </c>
      <c r="B1222" s="256"/>
      <c r="C1222" s="257" t="s">
        <v>4</v>
      </c>
      <c r="D1222" s="257" t="s">
        <v>243</v>
      </c>
      <c r="E1222" s="257" t="s">
        <v>244</v>
      </c>
      <c r="F1222" s="257" t="s">
        <v>245</v>
      </c>
      <c r="G1222" s="257" t="s">
        <v>246</v>
      </c>
    </row>
    <row r="1223" spans="1:7" ht="20">
      <c r="A1223" s="258" t="s">
        <v>1124</v>
      </c>
      <c r="B1223" s="259" t="s">
        <v>1125</v>
      </c>
      <c r="C1223" s="260" t="s">
        <v>26</v>
      </c>
      <c r="D1223" s="260" t="s">
        <v>265</v>
      </c>
      <c r="E1223" s="262">
        <v>1</v>
      </c>
      <c r="F1223" s="301">
        <v>23.8</v>
      </c>
      <c r="G1223" s="262">
        <f>TRUNC(TRUNC(E1223,8)*F1223,2)</f>
        <v>23.8</v>
      </c>
    </row>
    <row r="1224" spans="1:7">
      <c r="A1224" s="263"/>
      <c r="B1224" s="264"/>
      <c r="C1224" s="264"/>
      <c r="D1224" s="264"/>
      <c r="E1224" s="265" t="s">
        <v>1299</v>
      </c>
      <c r="F1224" s="265"/>
      <c r="G1224" s="266">
        <f>SUM(G1223:G1223)</f>
        <v>23.8</v>
      </c>
    </row>
    <row r="1225" spans="1:7" ht="21">
      <c r="A1225" s="255" t="s">
        <v>250</v>
      </c>
      <c r="B1225" s="256"/>
      <c r="C1225" s="257" t="s">
        <v>4</v>
      </c>
      <c r="D1225" s="257" t="s">
        <v>243</v>
      </c>
      <c r="E1225" s="257" t="s">
        <v>244</v>
      </c>
      <c r="F1225" s="257" t="s">
        <v>245</v>
      </c>
      <c r="G1225" s="257" t="s">
        <v>246</v>
      </c>
    </row>
    <row r="1226" spans="1:7" ht="20">
      <c r="A1226" s="258" t="s">
        <v>1126</v>
      </c>
      <c r="B1226" s="259" t="s">
        <v>1127</v>
      </c>
      <c r="C1226" s="260" t="s">
        <v>26</v>
      </c>
      <c r="D1226" s="260" t="s">
        <v>265</v>
      </c>
      <c r="E1226" s="262">
        <v>1</v>
      </c>
      <c r="F1226" s="301">
        <v>0.08</v>
      </c>
      <c r="G1226" s="262">
        <f>TRUNC(TRUNC(E1226,8)*F1226,2)</f>
        <v>0.08</v>
      </c>
    </row>
    <row r="1227" spans="1:7" ht="20">
      <c r="A1227" s="258" t="s">
        <v>1128</v>
      </c>
      <c r="B1227" s="259" t="s">
        <v>1129</v>
      </c>
      <c r="C1227" s="260" t="s">
        <v>26</v>
      </c>
      <c r="D1227" s="260" t="s">
        <v>265</v>
      </c>
      <c r="E1227" s="262">
        <v>1</v>
      </c>
      <c r="F1227" s="301">
        <v>0.01</v>
      </c>
      <c r="G1227" s="262">
        <f>TRUNC(TRUNC(E1227,8)*F1227,2)</f>
        <v>0.01</v>
      </c>
    </row>
    <row r="1228" spans="1:7" ht="20">
      <c r="A1228" s="258" t="s">
        <v>1130</v>
      </c>
      <c r="B1228" s="259" t="s">
        <v>1131</v>
      </c>
      <c r="C1228" s="260" t="s">
        <v>26</v>
      </c>
      <c r="D1228" s="260" t="s">
        <v>265</v>
      </c>
      <c r="E1228" s="262">
        <v>1</v>
      </c>
      <c r="F1228" s="301">
        <v>0.05</v>
      </c>
      <c r="G1228" s="262">
        <f>TRUNC(TRUNC(E1228,8)*F1228,2)</f>
        <v>0.05</v>
      </c>
    </row>
    <row r="1229" spans="1:7" ht="30">
      <c r="A1229" s="258" t="s">
        <v>1132</v>
      </c>
      <c r="B1229" s="259" t="s">
        <v>1133</v>
      </c>
      <c r="C1229" s="260" t="s">
        <v>26</v>
      </c>
      <c r="D1229" s="260" t="s">
        <v>265</v>
      </c>
      <c r="E1229" s="262">
        <v>1</v>
      </c>
      <c r="F1229" s="301">
        <v>1.02</v>
      </c>
      <c r="G1229" s="262">
        <f>TRUNC(TRUNC(E1229,8)*F1229,2)</f>
        <v>1.02</v>
      </c>
    </row>
    <row r="1230" spans="1:7">
      <c r="A1230" s="263"/>
      <c r="B1230" s="264"/>
      <c r="C1230" s="264"/>
      <c r="D1230" s="264"/>
      <c r="E1230" s="265" t="s">
        <v>1301</v>
      </c>
      <c r="F1230" s="265"/>
      <c r="G1230" s="266">
        <f>SUM(G1226:G1229)</f>
        <v>1.1600000000000001</v>
      </c>
    </row>
    <row r="1231" spans="1:7">
      <c r="A1231" s="263"/>
      <c r="B1231" s="264"/>
      <c r="C1231" s="264"/>
      <c r="D1231" s="264"/>
      <c r="E1231" s="267" t="s">
        <v>255</v>
      </c>
      <c r="F1231" s="267">
        <f>A1221</f>
        <v>91692</v>
      </c>
      <c r="G1231" s="268">
        <f>SUM(G1224,G1230)</f>
        <v>24.96</v>
      </c>
    </row>
    <row r="1232" spans="1:7">
      <c r="A1232" s="263"/>
      <c r="B1232" s="264"/>
      <c r="C1232" s="264"/>
      <c r="D1232" s="264"/>
      <c r="E1232" s="269"/>
      <c r="F1232" s="269"/>
      <c r="G1232" s="269"/>
    </row>
    <row r="1233" spans="1:7" ht="31.5">
      <c r="A1233" s="253">
        <v>91688</v>
      </c>
      <c r="B1233" s="254" t="s">
        <v>1281</v>
      </c>
      <c r="C1233" s="254"/>
      <c r="D1233" s="254"/>
      <c r="E1233" s="254"/>
      <c r="F1233" s="254"/>
      <c r="G1233" s="254"/>
    </row>
    <row r="1234" spans="1:7" ht="21">
      <c r="A1234" s="255" t="s">
        <v>268</v>
      </c>
      <c r="B1234" s="256"/>
      <c r="C1234" s="257" t="s">
        <v>4</v>
      </c>
      <c r="D1234" s="257" t="s">
        <v>243</v>
      </c>
      <c r="E1234" s="257" t="s">
        <v>244</v>
      </c>
      <c r="F1234" s="257" t="s">
        <v>245</v>
      </c>
      <c r="G1234" s="257" t="s">
        <v>246</v>
      </c>
    </row>
    <row r="1235" spans="1:7" ht="20">
      <c r="A1235" s="258" t="s">
        <v>630</v>
      </c>
      <c r="B1235" s="259" t="s">
        <v>631</v>
      </c>
      <c r="C1235" s="260" t="s">
        <v>26</v>
      </c>
      <c r="D1235" s="260" t="s">
        <v>14</v>
      </c>
      <c r="E1235" s="329">
        <v>7.2000000000000002E-5</v>
      </c>
      <c r="F1235" s="301">
        <v>1192.76</v>
      </c>
      <c r="G1235" s="262">
        <f>TRUNC(TRUNC(E1235,8)*F1235,2)</f>
        <v>0.08</v>
      </c>
    </row>
    <row r="1236" spans="1:7">
      <c r="A1236" s="263"/>
      <c r="B1236" s="264"/>
      <c r="C1236" s="264"/>
      <c r="D1236" s="264"/>
      <c r="E1236" s="265" t="s">
        <v>1300</v>
      </c>
      <c r="F1236" s="265"/>
      <c r="G1236" s="266">
        <f>SUM(G1235:G1235)</f>
        <v>0.08</v>
      </c>
    </row>
    <row r="1237" spans="1:7">
      <c r="A1237" s="263"/>
      <c r="B1237" s="264"/>
      <c r="C1237" s="264"/>
      <c r="D1237" s="264"/>
      <c r="E1237" s="267" t="s">
        <v>255</v>
      </c>
      <c r="F1237" s="267">
        <f>A1233</f>
        <v>91688</v>
      </c>
      <c r="G1237" s="268">
        <f>SUM(G1236)</f>
        <v>0.08</v>
      </c>
    </row>
    <row r="1238" spans="1:7">
      <c r="A1238" s="263"/>
      <c r="B1238" s="264"/>
      <c r="C1238" s="264"/>
      <c r="D1238" s="264"/>
      <c r="E1238" s="269"/>
      <c r="F1238" s="269"/>
      <c r="G1238" s="269"/>
    </row>
    <row r="1239" spans="1:7" ht="21">
      <c r="A1239" s="253">
        <v>91689</v>
      </c>
      <c r="B1239" s="254" t="s">
        <v>1282</v>
      </c>
      <c r="C1239" s="254"/>
      <c r="D1239" s="254"/>
      <c r="E1239" s="254"/>
      <c r="F1239" s="254"/>
      <c r="G1239" s="254"/>
    </row>
    <row r="1240" spans="1:7" ht="21">
      <c r="A1240" s="255" t="s">
        <v>268</v>
      </c>
      <c r="B1240" s="256"/>
      <c r="C1240" s="257" t="s">
        <v>4</v>
      </c>
      <c r="D1240" s="257" t="s">
        <v>243</v>
      </c>
      <c r="E1240" s="257" t="s">
        <v>244</v>
      </c>
      <c r="F1240" s="257" t="s">
        <v>245</v>
      </c>
      <c r="G1240" s="257" t="s">
        <v>246</v>
      </c>
    </row>
    <row r="1241" spans="1:7" ht="20">
      <c r="A1241" s="258" t="s">
        <v>630</v>
      </c>
      <c r="B1241" s="259" t="s">
        <v>631</v>
      </c>
      <c r="C1241" s="260" t="s">
        <v>26</v>
      </c>
      <c r="D1241" s="260" t="s">
        <v>14</v>
      </c>
      <c r="E1241" s="328">
        <v>1.4800000000000001E-5</v>
      </c>
      <c r="F1241" s="301">
        <v>1192.76</v>
      </c>
      <c r="G1241" s="262">
        <f>TRUNC(TRUNC(E1241,8)*F1241,2)</f>
        <v>0.01</v>
      </c>
    </row>
    <row r="1242" spans="1:7">
      <c r="A1242" s="263"/>
      <c r="B1242" s="264"/>
      <c r="C1242" s="264"/>
      <c r="D1242" s="264"/>
      <c r="E1242" s="265" t="s">
        <v>1300</v>
      </c>
      <c r="F1242" s="265"/>
      <c r="G1242" s="266">
        <f>SUM(G1241:G1241)</f>
        <v>0.01</v>
      </c>
    </row>
    <row r="1243" spans="1:7">
      <c r="A1243" s="263"/>
      <c r="B1243" s="264"/>
      <c r="C1243" s="264"/>
      <c r="D1243" s="264"/>
      <c r="E1243" s="267" t="s">
        <v>255</v>
      </c>
      <c r="F1243" s="267">
        <f>A1239</f>
        <v>91689</v>
      </c>
      <c r="G1243" s="268">
        <f>SUM(G1242)</f>
        <v>0.01</v>
      </c>
    </row>
    <row r="1244" spans="1:7">
      <c r="A1244" s="263"/>
      <c r="B1244" s="264"/>
      <c r="C1244" s="264"/>
      <c r="D1244" s="264"/>
      <c r="E1244" s="269"/>
      <c r="F1244" s="269"/>
      <c r="G1244" s="269"/>
    </row>
    <row r="1245" spans="1:7" ht="21">
      <c r="A1245" s="253">
        <v>91690</v>
      </c>
      <c r="B1245" s="254" t="s">
        <v>1283</v>
      </c>
      <c r="C1245" s="254"/>
      <c r="D1245" s="254"/>
      <c r="E1245" s="254"/>
      <c r="F1245" s="254"/>
      <c r="G1245" s="254"/>
    </row>
    <row r="1246" spans="1:7" ht="21">
      <c r="A1246" s="255" t="s">
        <v>268</v>
      </c>
      <c r="B1246" s="256"/>
      <c r="C1246" s="257" t="s">
        <v>4</v>
      </c>
      <c r="D1246" s="257" t="s">
        <v>243</v>
      </c>
      <c r="E1246" s="257" t="s">
        <v>244</v>
      </c>
      <c r="F1246" s="257" t="s">
        <v>245</v>
      </c>
      <c r="G1246" s="257" t="s">
        <v>246</v>
      </c>
    </row>
    <row r="1247" spans="1:7" ht="20">
      <c r="A1247" s="258" t="s">
        <v>630</v>
      </c>
      <c r="B1247" s="259" t="s">
        <v>631</v>
      </c>
      <c r="C1247" s="260" t="s">
        <v>26</v>
      </c>
      <c r="D1247" s="260" t="s">
        <v>14</v>
      </c>
      <c r="E1247" s="270">
        <v>5.0000000000000002E-5</v>
      </c>
      <c r="F1247" s="301">
        <v>1192.76</v>
      </c>
      <c r="G1247" s="262">
        <f>TRUNC(TRUNC(E1247,8)*F1247,2)</f>
        <v>0.05</v>
      </c>
    </row>
    <row r="1248" spans="1:7">
      <c r="A1248" s="263"/>
      <c r="B1248" s="264"/>
      <c r="C1248" s="264"/>
      <c r="D1248" s="264"/>
      <c r="E1248" s="265" t="s">
        <v>1300</v>
      </c>
      <c r="F1248" s="265"/>
      <c r="G1248" s="266">
        <f>SUM(G1247:G1247)</f>
        <v>0.05</v>
      </c>
    </row>
    <row r="1249" spans="1:7">
      <c r="A1249" s="263"/>
      <c r="B1249" s="264"/>
      <c r="C1249" s="264"/>
      <c r="D1249" s="264"/>
      <c r="E1249" s="267" t="s">
        <v>255</v>
      </c>
      <c r="F1249" s="267">
        <f>A1245</f>
        <v>91690</v>
      </c>
      <c r="G1249" s="268">
        <f>SUM(G1248)</f>
        <v>0.05</v>
      </c>
    </row>
    <row r="1250" spans="1:7">
      <c r="A1250" s="263"/>
      <c r="B1250" s="264"/>
      <c r="C1250" s="264"/>
      <c r="D1250" s="264"/>
      <c r="E1250" s="269"/>
      <c r="F1250" s="269"/>
      <c r="G1250" s="269"/>
    </row>
    <row r="1251" spans="1:7" ht="31.5">
      <c r="A1251" s="253">
        <v>91691</v>
      </c>
      <c r="B1251" s="254" t="s">
        <v>1284</v>
      </c>
      <c r="C1251" s="254"/>
      <c r="D1251" s="254"/>
      <c r="E1251" s="254"/>
      <c r="F1251" s="254"/>
      <c r="G1251" s="254"/>
    </row>
    <row r="1252" spans="1:7" ht="21">
      <c r="A1252" s="255" t="s">
        <v>584</v>
      </c>
      <c r="B1252" s="256"/>
      <c r="C1252" s="257" t="s">
        <v>4</v>
      </c>
      <c r="D1252" s="257" t="s">
        <v>243</v>
      </c>
      <c r="E1252" s="257" t="s">
        <v>244</v>
      </c>
      <c r="F1252" s="257" t="s">
        <v>245</v>
      </c>
      <c r="G1252" s="257" t="s">
        <v>246</v>
      </c>
    </row>
    <row r="1253" spans="1:7">
      <c r="A1253" s="258" t="s">
        <v>582</v>
      </c>
      <c r="B1253" s="259" t="s">
        <v>583</v>
      </c>
      <c r="C1253" s="260" t="s">
        <v>26</v>
      </c>
      <c r="D1253" s="260" t="s">
        <v>585</v>
      </c>
      <c r="E1253" s="262">
        <v>1.36</v>
      </c>
      <c r="F1253" s="301">
        <v>0.75</v>
      </c>
      <c r="G1253" s="262">
        <f>TRUNC(TRUNC(E1253,8)*F1253,2)</f>
        <v>1.02</v>
      </c>
    </row>
    <row r="1254" spans="1:7" ht="21">
      <c r="A1254" s="263"/>
      <c r="B1254" s="264"/>
      <c r="C1254" s="264"/>
      <c r="D1254" s="264"/>
      <c r="E1254" s="265" t="s">
        <v>1042</v>
      </c>
      <c r="F1254" s="265"/>
      <c r="G1254" s="266">
        <f>SUM(G1253:G1253)</f>
        <v>1.02</v>
      </c>
    </row>
    <row r="1255" spans="1:7">
      <c r="A1255" s="263"/>
      <c r="B1255" s="264"/>
      <c r="C1255" s="264"/>
      <c r="D1255" s="264"/>
      <c r="E1255" s="267" t="s">
        <v>255</v>
      </c>
      <c r="F1255" s="267">
        <f>A1251</f>
        <v>91691</v>
      </c>
      <c r="G1255" s="268">
        <f>SUM(G1254)</f>
        <v>1.02</v>
      </c>
    </row>
    <row r="1256" spans="1:7">
      <c r="A1256" s="263"/>
      <c r="B1256" s="264"/>
      <c r="C1256" s="264"/>
      <c r="D1256" s="264"/>
      <c r="E1256" s="269"/>
      <c r="F1256" s="269"/>
      <c r="G1256" s="269"/>
    </row>
    <row r="1257" spans="1:7">
      <c r="A1257" s="253">
        <v>88316</v>
      </c>
      <c r="B1257" s="254" t="s">
        <v>1285</v>
      </c>
      <c r="C1257" s="254"/>
      <c r="D1257" s="254"/>
      <c r="E1257" s="254"/>
      <c r="F1257" s="254"/>
      <c r="G1257" s="254"/>
    </row>
    <row r="1258" spans="1:7" ht="21">
      <c r="A1258" s="255" t="s">
        <v>462</v>
      </c>
      <c r="B1258" s="256"/>
      <c r="C1258" s="257" t="s">
        <v>4</v>
      </c>
      <c r="D1258" s="257" t="s">
        <v>243</v>
      </c>
      <c r="E1258" s="257" t="s">
        <v>244</v>
      </c>
      <c r="F1258" s="257" t="s">
        <v>245</v>
      </c>
      <c r="G1258" s="257" t="s">
        <v>246</v>
      </c>
    </row>
    <row r="1259" spans="1:7" ht="20">
      <c r="A1259" s="258" t="s">
        <v>467</v>
      </c>
      <c r="B1259" s="259" t="s">
        <v>468</v>
      </c>
      <c r="C1259" s="260" t="s">
        <v>26</v>
      </c>
      <c r="D1259" s="260" t="s">
        <v>265</v>
      </c>
      <c r="E1259" s="262">
        <v>1</v>
      </c>
      <c r="F1259" s="301">
        <v>0.92</v>
      </c>
      <c r="G1259" s="262">
        <f t="shared" ref="G1259:G1264" si="20">TRUNC(TRUNC(E1259,8)*F1259,2)</f>
        <v>0.92</v>
      </c>
    </row>
    <row r="1260" spans="1:7" ht="20">
      <c r="A1260" s="258" t="s">
        <v>495</v>
      </c>
      <c r="B1260" s="259" t="s">
        <v>496</v>
      </c>
      <c r="C1260" s="260" t="s">
        <v>26</v>
      </c>
      <c r="D1260" s="260" t="s">
        <v>265</v>
      </c>
      <c r="E1260" s="262">
        <v>1</v>
      </c>
      <c r="F1260" s="301">
        <v>1.39</v>
      </c>
      <c r="G1260" s="262">
        <f t="shared" si="20"/>
        <v>1.39</v>
      </c>
    </row>
    <row r="1261" spans="1:7" ht="20">
      <c r="A1261" s="258" t="s">
        <v>460</v>
      </c>
      <c r="B1261" s="259" t="s">
        <v>461</v>
      </c>
      <c r="C1261" s="260" t="s">
        <v>26</v>
      </c>
      <c r="D1261" s="260" t="s">
        <v>265</v>
      </c>
      <c r="E1261" s="262">
        <v>1</v>
      </c>
      <c r="F1261" s="301">
        <v>1.43</v>
      </c>
      <c r="G1261" s="262">
        <f t="shared" si="20"/>
        <v>1.43</v>
      </c>
    </row>
    <row r="1262" spans="1:7" ht="20">
      <c r="A1262" s="258" t="s">
        <v>507</v>
      </c>
      <c r="B1262" s="259" t="s">
        <v>508</v>
      </c>
      <c r="C1262" s="260" t="s">
        <v>26</v>
      </c>
      <c r="D1262" s="260" t="s">
        <v>265</v>
      </c>
      <c r="E1262" s="262">
        <v>1</v>
      </c>
      <c r="F1262" s="301">
        <v>0.61</v>
      </c>
      <c r="G1262" s="262">
        <f t="shared" si="20"/>
        <v>0.61</v>
      </c>
    </row>
    <row r="1263" spans="1:7" ht="20">
      <c r="A1263" s="258" t="s">
        <v>570</v>
      </c>
      <c r="B1263" s="259" t="s">
        <v>571</v>
      </c>
      <c r="C1263" s="260" t="s">
        <v>26</v>
      </c>
      <c r="D1263" s="260" t="s">
        <v>265</v>
      </c>
      <c r="E1263" s="262">
        <v>1</v>
      </c>
      <c r="F1263" s="301">
        <v>0.08</v>
      </c>
      <c r="G1263" s="262">
        <f t="shared" si="20"/>
        <v>0.08</v>
      </c>
    </row>
    <row r="1264" spans="1:7" ht="20">
      <c r="A1264" s="258" t="s">
        <v>473</v>
      </c>
      <c r="B1264" s="259" t="s">
        <v>474</v>
      </c>
      <c r="C1264" s="260" t="s">
        <v>26</v>
      </c>
      <c r="D1264" s="260" t="s">
        <v>265</v>
      </c>
      <c r="E1264" s="262">
        <v>1</v>
      </c>
      <c r="F1264" s="301">
        <v>0.8</v>
      </c>
      <c r="G1264" s="262">
        <f t="shared" si="20"/>
        <v>0.8</v>
      </c>
    </row>
    <row r="1265" spans="1:7" ht="21">
      <c r="A1265" s="263"/>
      <c r="B1265" s="264"/>
      <c r="C1265" s="264"/>
      <c r="D1265" s="264"/>
      <c r="E1265" s="265" t="s">
        <v>1302</v>
      </c>
      <c r="F1265" s="265"/>
      <c r="G1265" s="266">
        <f>SUM(G1259:G1264)</f>
        <v>5.23</v>
      </c>
    </row>
    <row r="1266" spans="1:7" ht="21">
      <c r="A1266" s="255" t="s">
        <v>447</v>
      </c>
      <c r="B1266" s="256"/>
      <c r="C1266" s="257" t="s">
        <v>4</v>
      </c>
      <c r="D1266" s="257" t="s">
        <v>243</v>
      </c>
      <c r="E1266" s="257" t="s">
        <v>244</v>
      </c>
      <c r="F1266" s="257" t="s">
        <v>245</v>
      </c>
      <c r="G1266" s="257" t="s">
        <v>246</v>
      </c>
    </row>
    <row r="1267" spans="1:7">
      <c r="A1267" s="258" t="s">
        <v>454</v>
      </c>
      <c r="B1267" s="259" t="s">
        <v>455</v>
      </c>
      <c r="C1267" s="260" t="s">
        <v>26</v>
      </c>
      <c r="D1267" s="260" t="s">
        <v>265</v>
      </c>
      <c r="E1267" s="262">
        <v>1</v>
      </c>
      <c r="F1267" s="301">
        <v>14.73</v>
      </c>
      <c r="G1267" s="262">
        <f>TRUNC(TRUNC(E1267,8)*F1267,2)</f>
        <v>14.73</v>
      </c>
    </row>
    <row r="1268" spans="1:7">
      <c r="A1268" s="263"/>
      <c r="B1268" s="264"/>
      <c r="C1268" s="264"/>
      <c r="D1268" s="264"/>
      <c r="E1268" s="265" t="s">
        <v>1303</v>
      </c>
      <c r="F1268" s="265"/>
      <c r="G1268" s="266">
        <f>SUM(G1267:G1267)</f>
        <v>14.73</v>
      </c>
    </row>
    <row r="1269" spans="1:7" ht="21">
      <c r="A1269" s="255" t="s">
        <v>250</v>
      </c>
      <c r="B1269" s="256"/>
      <c r="C1269" s="257" t="s">
        <v>4</v>
      </c>
      <c r="D1269" s="257" t="s">
        <v>243</v>
      </c>
      <c r="E1269" s="257" t="s">
        <v>244</v>
      </c>
      <c r="F1269" s="257" t="s">
        <v>245</v>
      </c>
      <c r="G1269" s="257" t="s">
        <v>246</v>
      </c>
    </row>
    <row r="1270" spans="1:7" ht="20">
      <c r="A1270" s="258" t="s">
        <v>1134</v>
      </c>
      <c r="B1270" s="259" t="s">
        <v>1135</v>
      </c>
      <c r="C1270" s="260" t="s">
        <v>26</v>
      </c>
      <c r="D1270" s="260" t="s">
        <v>265</v>
      </c>
      <c r="E1270" s="262">
        <v>1</v>
      </c>
      <c r="F1270" s="301">
        <v>0.31</v>
      </c>
      <c r="G1270" s="262">
        <f>TRUNC(TRUNC(E1270,8)*F1270,2)</f>
        <v>0.31</v>
      </c>
    </row>
    <row r="1271" spans="1:7">
      <c r="A1271" s="263"/>
      <c r="B1271" s="264"/>
      <c r="C1271" s="264"/>
      <c r="D1271" s="264"/>
      <c r="E1271" s="265" t="s">
        <v>1301</v>
      </c>
      <c r="F1271" s="265"/>
      <c r="G1271" s="266">
        <f>SUM(G1270:G1270)</f>
        <v>0.31</v>
      </c>
    </row>
    <row r="1272" spans="1:7">
      <c r="A1272" s="263"/>
      <c r="B1272" s="264"/>
      <c r="C1272" s="264"/>
      <c r="D1272" s="264"/>
      <c r="E1272" s="267" t="s">
        <v>255</v>
      </c>
      <c r="F1272" s="267">
        <f>A1257</f>
        <v>88316</v>
      </c>
      <c r="G1272" s="268">
        <f>SUM(G1265,G1268,G1271)</f>
        <v>20.27</v>
      </c>
    </row>
    <row r="1273" spans="1:7">
      <c r="A1273" s="263"/>
      <c r="B1273" s="264"/>
      <c r="C1273" s="264"/>
      <c r="D1273" s="264"/>
      <c r="E1273" s="269"/>
      <c r="F1273" s="269"/>
      <c r="G1273" s="269"/>
    </row>
    <row r="1274" spans="1:7">
      <c r="A1274" s="253">
        <v>88317</v>
      </c>
      <c r="B1274" s="254" t="s">
        <v>1286</v>
      </c>
      <c r="C1274" s="254"/>
      <c r="D1274" s="254"/>
      <c r="E1274" s="254"/>
      <c r="F1274" s="254"/>
      <c r="G1274" s="254"/>
    </row>
    <row r="1275" spans="1:7" ht="21">
      <c r="A1275" s="255" t="s">
        <v>462</v>
      </c>
      <c r="B1275" s="256"/>
      <c r="C1275" s="257" t="s">
        <v>4</v>
      </c>
      <c r="D1275" s="257" t="s">
        <v>243</v>
      </c>
      <c r="E1275" s="257" t="s">
        <v>244</v>
      </c>
      <c r="F1275" s="257" t="s">
        <v>245</v>
      </c>
      <c r="G1275" s="257" t="s">
        <v>246</v>
      </c>
    </row>
    <row r="1276" spans="1:7" ht="20">
      <c r="A1276" s="258" t="s">
        <v>467</v>
      </c>
      <c r="B1276" s="259" t="s">
        <v>468</v>
      </c>
      <c r="C1276" s="260" t="s">
        <v>26</v>
      </c>
      <c r="D1276" s="260" t="s">
        <v>265</v>
      </c>
      <c r="E1276" s="262">
        <v>1</v>
      </c>
      <c r="F1276" s="301">
        <v>0.92</v>
      </c>
      <c r="G1276" s="262">
        <f t="shared" ref="G1276:G1281" si="21">TRUNC(TRUNC(E1276,8)*F1276,2)</f>
        <v>0.92</v>
      </c>
    </row>
    <row r="1277" spans="1:7" ht="20">
      <c r="A1277" s="258" t="s">
        <v>576</v>
      </c>
      <c r="B1277" s="259" t="s">
        <v>577</v>
      </c>
      <c r="C1277" s="260" t="s">
        <v>26</v>
      </c>
      <c r="D1277" s="260" t="s">
        <v>265</v>
      </c>
      <c r="E1277" s="262">
        <v>1</v>
      </c>
      <c r="F1277" s="301">
        <v>1.82</v>
      </c>
      <c r="G1277" s="262">
        <f t="shared" si="21"/>
        <v>1.82</v>
      </c>
    </row>
    <row r="1278" spans="1:7" ht="20">
      <c r="A1278" s="258" t="s">
        <v>460</v>
      </c>
      <c r="B1278" s="259" t="s">
        <v>461</v>
      </c>
      <c r="C1278" s="260" t="s">
        <v>26</v>
      </c>
      <c r="D1278" s="260" t="s">
        <v>265</v>
      </c>
      <c r="E1278" s="262">
        <v>1</v>
      </c>
      <c r="F1278" s="301">
        <v>1.43</v>
      </c>
      <c r="G1278" s="262">
        <f t="shared" si="21"/>
        <v>1.43</v>
      </c>
    </row>
    <row r="1279" spans="1:7" ht="20">
      <c r="A1279" s="258" t="s">
        <v>588</v>
      </c>
      <c r="B1279" s="259" t="s">
        <v>589</v>
      </c>
      <c r="C1279" s="260" t="s">
        <v>26</v>
      </c>
      <c r="D1279" s="260" t="s">
        <v>265</v>
      </c>
      <c r="E1279" s="262">
        <v>1</v>
      </c>
      <c r="F1279" s="301">
        <v>1.21</v>
      </c>
      <c r="G1279" s="262">
        <f t="shared" si="21"/>
        <v>1.21</v>
      </c>
    </row>
    <row r="1280" spans="1:7" ht="20">
      <c r="A1280" s="258" t="s">
        <v>570</v>
      </c>
      <c r="B1280" s="259" t="s">
        <v>571</v>
      </c>
      <c r="C1280" s="260" t="s">
        <v>26</v>
      </c>
      <c r="D1280" s="260" t="s">
        <v>265</v>
      </c>
      <c r="E1280" s="262">
        <v>1</v>
      </c>
      <c r="F1280" s="301">
        <v>0.08</v>
      </c>
      <c r="G1280" s="262">
        <f t="shared" si="21"/>
        <v>0.08</v>
      </c>
    </row>
    <row r="1281" spans="1:7" ht="20">
      <c r="A1281" s="258" t="s">
        <v>473</v>
      </c>
      <c r="B1281" s="259" t="s">
        <v>474</v>
      </c>
      <c r="C1281" s="260" t="s">
        <v>26</v>
      </c>
      <c r="D1281" s="260" t="s">
        <v>265</v>
      </c>
      <c r="E1281" s="262">
        <v>1</v>
      </c>
      <c r="F1281" s="301">
        <v>0.8</v>
      </c>
      <c r="G1281" s="262">
        <f t="shared" si="21"/>
        <v>0.8</v>
      </c>
    </row>
    <row r="1282" spans="1:7" ht="21">
      <c r="A1282" s="263"/>
      <c r="B1282" s="264"/>
      <c r="C1282" s="264"/>
      <c r="D1282" s="264"/>
      <c r="E1282" s="265" t="s">
        <v>1302</v>
      </c>
      <c r="F1282" s="265"/>
      <c r="G1282" s="266">
        <f>SUM(G1276:G1281)</f>
        <v>6.26</v>
      </c>
    </row>
    <row r="1283" spans="1:7" ht="21">
      <c r="A1283" s="255" t="s">
        <v>447</v>
      </c>
      <c r="B1283" s="256"/>
      <c r="C1283" s="257" t="s">
        <v>4</v>
      </c>
      <c r="D1283" s="257" t="s">
        <v>243</v>
      </c>
      <c r="E1283" s="257" t="s">
        <v>244</v>
      </c>
      <c r="F1283" s="257" t="s">
        <v>245</v>
      </c>
      <c r="G1283" s="257" t="s">
        <v>246</v>
      </c>
    </row>
    <row r="1284" spans="1:7">
      <c r="A1284" s="258" t="s">
        <v>514</v>
      </c>
      <c r="B1284" s="259" t="s">
        <v>515</v>
      </c>
      <c r="C1284" s="260" t="s">
        <v>26</v>
      </c>
      <c r="D1284" s="260" t="s">
        <v>265</v>
      </c>
      <c r="E1284" s="262">
        <v>1</v>
      </c>
      <c r="F1284" s="301">
        <v>19.239999999999998</v>
      </c>
      <c r="G1284" s="262">
        <f>TRUNC(TRUNC(E1284,8)*F1284,2)</f>
        <v>19.239999999999998</v>
      </c>
    </row>
    <row r="1285" spans="1:7">
      <c r="A1285" s="263"/>
      <c r="B1285" s="264"/>
      <c r="C1285" s="264"/>
      <c r="D1285" s="264"/>
      <c r="E1285" s="265" t="s">
        <v>1303</v>
      </c>
      <c r="F1285" s="265"/>
      <c r="G1285" s="266">
        <f>SUM(G1284:G1284)</f>
        <v>19.239999999999998</v>
      </c>
    </row>
    <row r="1286" spans="1:7" ht="21">
      <c r="A1286" s="255" t="s">
        <v>250</v>
      </c>
      <c r="B1286" s="256"/>
      <c r="C1286" s="257" t="s">
        <v>4</v>
      </c>
      <c r="D1286" s="257" t="s">
        <v>243</v>
      </c>
      <c r="E1286" s="257" t="s">
        <v>244</v>
      </c>
      <c r="F1286" s="257" t="s">
        <v>245</v>
      </c>
      <c r="G1286" s="257" t="s">
        <v>246</v>
      </c>
    </row>
    <row r="1287" spans="1:7" ht="20">
      <c r="A1287" s="258" t="s">
        <v>1136</v>
      </c>
      <c r="B1287" s="259" t="s">
        <v>1137</v>
      </c>
      <c r="C1287" s="260" t="s">
        <v>26</v>
      </c>
      <c r="D1287" s="260" t="s">
        <v>265</v>
      </c>
      <c r="E1287" s="262">
        <v>1</v>
      </c>
      <c r="F1287" s="301">
        <v>0.22</v>
      </c>
      <c r="G1287" s="262">
        <f>TRUNC(TRUNC(E1287,8)*F1287,2)</f>
        <v>0.22</v>
      </c>
    </row>
    <row r="1288" spans="1:7">
      <c r="A1288" s="263"/>
      <c r="B1288" s="264"/>
      <c r="C1288" s="264"/>
      <c r="D1288" s="264"/>
      <c r="E1288" s="265" t="s">
        <v>1301</v>
      </c>
      <c r="F1288" s="265"/>
      <c r="G1288" s="266">
        <f>SUM(G1287:G1287)</f>
        <v>0.22</v>
      </c>
    </row>
    <row r="1289" spans="1:7">
      <c r="A1289" s="263"/>
      <c r="B1289" s="264"/>
      <c r="C1289" s="264"/>
      <c r="D1289" s="264"/>
      <c r="E1289" s="267" t="s">
        <v>255</v>
      </c>
      <c r="F1289" s="267">
        <f>A1274</f>
        <v>88317</v>
      </c>
      <c r="G1289" s="268">
        <f>SUM(G1282,G1285,G1288)</f>
        <v>25.72</v>
      </c>
    </row>
    <row r="1290" spans="1:7">
      <c r="A1290" s="263"/>
      <c r="B1290" s="264"/>
      <c r="C1290" s="264"/>
      <c r="D1290" s="264"/>
      <c r="E1290" s="269"/>
      <c r="F1290" s="269"/>
      <c r="G1290" s="269"/>
    </row>
    <row r="1291" spans="1:7" ht="31.5">
      <c r="A1291" s="253">
        <v>91946</v>
      </c>
      <c r="B1291" s="254" t="s">
        <v>1287</v>
      </c>
      <c r="C1291" s="254"/>
      <c r="D1291" s="254"/>
      <c r="E1291" s="254"/>
      <c r="F1291" s="254"/>
      <c r="G1291" s="254"/>
    </row>
    <row r="1292" spans="1:7" ht="21">
      <c r="A1292" s="255" t="s">
        <v>256</v>
      </c>
      <c r="B1292" s="256"/>
      <c r="C1292" s="257" t="s">
        <v>4</v>
      </c>
      <c r="D1292" s="257" t="s">
        <v>243</v>
      </c>
      <c r="E1292" s="257" t="s">
        <v>244</v>
      </c>
      <c r="F1292" s="257" t="s">
        <v>245</v>
      </c>
      <c r="G1292" s="257" t="s">
        <v>246</v>
      </c>
    </row>
    <row r="1293" spans="1:7" ht="20">
      <c r="A1293" s="258" t="s">
        <v>590</v>
      </c>
      <c r="B1293" s="259" t="s">
        <v>591</v>
      </c>
      <c r="C1293" s="260" t="s">
        <v>26</v>
      </c>
      <c r="D1293" s="260" t="s">
        <v>14</v>
      </c>
      <c r="E1293" s="262">
        <v>1</v>
      </c>
      <c r="F1293" s="301">
        <v>2.69</v>
      </c>
      <c r="G1293" s="262">
        <f>TRUNC(TRUNC(E1293,8)*F1293,2)</f>
        <v>2.69</v>
      </c>
    </row>
    <row r="1294" spans="1:7" ht="30">
      <c r="A1294" s="258" t="s">
        <v>604</v>
      </c>
      <c r="B1294" s="259" t="s">
        <v>605</v>
      </c>
      <c r="C1294" s="260" t="s">
        <v>26</v>
      </c>
      <c r="D1294" s="260" t="s">
        <v>14</v>
      </c>
      <c r="E1294" s="262">
        <v>1</v>
      </c>
      <c r="F1294" s="301">
        <v>1.4</v>
      </c>
      <c r="G1294" s="262">
        <f>TRUNC(TRUNC(E1294,8)*F1294,2)</f>
        <v>1.4</v>
      </c>
    </row>
    <row r="1295" spans="1:7" ht="21">
      <c r="A1295" s="263"/>
      <c r="B1295" s="264"/>
      <c r="C1295" s="264"/>
      <c r="D1295" s="264"/>
      <c r="E1295" s="265" t="s">
        <v>259</v>
      </c>
      <c r="F1295" s="265"/>
      <c r="G1295" s="266">
        <f>SUM(G1293:G1294)</f>
        <v>4.09</v>
      </c>
    </row>
    <row r="1296" spans="1:7" ht="21">
      <c r="A1296" s="255" t="s">
        <v>242</v>
      </c>
      <c r="B1296" s="256"/>
      <c r="C1296" s="257" t="s">
        <v>4</v>
      </c>
      <c r="D1296" s="257" t="s">
        <v>243</v>
      </c>
      <c r="E1296" s="257" t="s">
        <v>244</v>
      </c>
      <c r="F1296" s="257" t="s">
        <v>245</v>
      </c>
      <c r="G1296" s="257" t="s">
        <v>246</v>
      </c>
    </row>
    <row r="1297" spans="1:7">
      <c r="A1297" s="258" t="s">
        <v>292</v>
      </c>
      <c r="B1297" s="259" t="s">
        <v>293</v>
      </c>
      <c r="C1297" s="260" t="s">
        <v>26</v>
      </c>
      <c r="D1297" s="260" t="s">
        <v>265</v>
      </c>
      <c r="E1297" s="330">
        <v>0.128</v>
      </c>
      <c r="F1297" s="301">
        <v>21.5</v>
      </c>
      <c r="G1297" s="262">
        <f>TRUNC(TRUNC(E1297,8)*F1297,2)</f>
        <v>2.75</v>
      </c>
    </row>
    <row r="1298" spans="1:7">
      <c r="A1298" s="258" t="s">
        <v>294</v>
      </c>
      <c r="B1298" s="259" t="s">
        <v>295</v>
      </c>
      <c r="C1298" s="260" t="s">
        <v>26</v>
      </c>
      <c r="D1298" s="260" t="s">
        <v>265</v>
      </c>
      <c r="E1298" s="330">
        <v>0.128</v>
      </c>
      <c r="F1298" s="301">
        <v>25.55</v>
      </c>
      <c r="G1298" s="262">
        <f>TRUNC(TRUNC(E1298,8)*F1298,2)</f>
        <v>3.27</v>
      </c>
    </row>
    <row r="1299" spans="1:7">
      <c r="A1299" s="263"/>
      <c r="B1299" s="264"/>
      <c r="C1299" s="264"/>
      <c r="D1299" s="264"/>
      <c r="E1299" s="265" t="s">
        <v>1299</v>
      </c>
      <c r="F1299" s="265"/>
      <c r="G1299" s="266">
        <f>SUM(G1297:G1298)</f>
        <v>6.02</v>
      </c>
    </row>
    <row r="1300" spans="1:7">
      <c r="A1300" s="263"/>
      <c r="B1300" s="264"/>
      <c r="C1300" s="264"/>
      <c r="D1300" s="264"/>
      <c r="E1300" s="267" t="s">
        <v>255</v>
      </c>
      <c r="F1300" s="267">
        <f>A1291</f>
        <v>91946</v>
      </c>
      <c r="G1300" s="268">
        <f>SUM(G1295,G1299)</f>
        <v>10.11</v>
      </c>
    </row>
    <row r="1301" spans="1:7">
      <c r="A1301" s="263"/>
      <c r="B1301" s="264"/>
      <c r="C1301" s="264"/>
      <c r="D1301" s="264"/>
      <c r="E1301" s="269"/>
      <c r="F1301" s="269"/>
      <c r="G1301" s="269"/>
    </row>
    <row r="1302" spans="1:7">
      <c r="A1302" s="253">
        <v>88323</v>
      </c>
      <c r="B1302" s="254" t="s">
        <v>1288</v>
      </c>
      <c r="C1302" s="254"/>
      <c r="D1302" s="254"/>
      <c r="E1302" s="254"/>
      <c r="F1302" s="254"/>
      <c r="G1302" s="254"/>
    </row>
    <row r="1303" spans="1:7" ht="21">
      <c r="A1303" s="255" t="s">
        <v>462</v>
      </c>
      <c r="B1303" s="256"/>
      <c r="C1303" s="257" t="s">
        <v>4</v>
      </c>
      <c r="D1303" s="257" t="s">
        <v>243</v>
      </c>
      <c r="E1303" s="257" t="s">
        <v>244</v>
      </c>
      <c r="F1303" s="257" t="s">
        <v>245</v>
      </c>
      <c r="G1303" s="257" t="s">
        <v>246</v>
      </c>
    </row>
    <row r="1304" spans="1:7" ht="20">
      <c r="A1304" s="258" t="s">
        <v>467</v>
      </c>
      <c r="B1304" s="259" t="s">
        <v>468</v>
      </c>
      <c r="C1304" s="260" t="s">
        <v>26</v>
      </c>
      <c r="D1304" s="260" t="s">
        <v>265</v>
      </c>
      <c r="E1304" s="262">
        <v>1</v>
      </c>
      <c r="F1304" s="301">
        <v>0.92</v>
      </c>
      <c r="G1304" s="262">
        <f t="shared" ref="G1304:G1309" si="22">TRUNC(TRUNC(E1304,8)*F1304,2)</f>
        <v>0.92</v>
      </c>
    </row>
    <row r="1305" spans="1:7" ht="20">
      <c r="A1305" s="258" t="s">
        <v>534</v>
      </c>
      <c r="B1305" s="259" t="s">
        <v>535</v>
      </c>
      <c r="C1305" s="260" t="s">
        <v>26</v>
      </c>
      <c r="D1305" s="260" t="s">
        <v>265</v>
      </c>
      <c r="E1305" s="262">
        <v>1</v>
      </c>
      <c r="F1305" s="301">
        <v>1.43</v>
      </c>
      <c r="G1305" s="262">
        <f t="shared" si="22"/>
        <v>1.43</v>
      </c>
    </row>
    <row r="1306" spans="1:7" ht="20">
      <c r="A1306" s="258" t="s">
        <v>460</v>
      </c>
      <c r="B1306" s="259" t="s">
        <v>461</v>
      </c>
      <c r="C1306" s="260" t="s">
        <v>26</v>
      </c>
      <c r="D1306" s="260" t="s">
        <v>265</v>
      </c>
      <c r="E1306" s="262">
        <v>1</v>
      </c>
      <c r="F1306" s="301">
        <v>1.43</v>
      </c>
      <c r="G1306" s="262">
        <f t="shared" si="22"/>
        <v>1.43</v>
      </c>
    </row>
    <row r="1307" spans="1:7" ht="20">
      <c r="A1307" s="258" t="s">
        <v>556</v>
      </c>
      <c r="B1307" s="259" t="s">
        <v>557</v>
      </c>
      <c r="C1307" s="260" t="s">
        <v>26</v>
      </c>
      <c r="D1307" s="260" t="s">
        <v>265</v>
      </c>
      <c r="E1307" s="262">
        <v>1</v>
      </c>
      <c r="F1307" s="301">
        <v>0.44</v>
      </c>
      <c r="G1307" s="262">
        <f t="shared" si="22"/>
        <v>0.44</v>
      </c>
    </row>
    <row r="1308" spans="1:7" ht="20">
      <c r="A1308" s="258" t="s">
        <v>570</v>
      </c>
      <c r="B1308" s="259" t="s">
        <v>571</v>
      </c>
      <c r="C1308" s="260" t="s">
        <v>26</v>
      </c>
      <c r="D1308" s="260" t="s">
        <v>265</v>
      </c>
      <c r="E1308" s="262">
        <v>1</v>
      </c>
      <c r="F1308" s="301">
        <v>0.08</v>
      </c>
      <c r="G1308" s="262">
        <f t="shared" si="22"/>
        <v>0.08</v>
      </c>
    </row>
    <row r="1309" spans="1:7" ht="20">
      <c r="A1309" s="258" t="s">
        <v>473</v>
      </c>
      <c r="B1309" s="259" t="s">
        <v>474</v>
      </c>
      <c r="C1309" s="260" t="s">
        <v>26</v>
      </c>
      <c r="D1309" s="260" t="s">
        <v>265</v>
      </c>
      <c r="E1309" s="262">
        <v>1</v>
      </c>
      <c r="F1309" s="301">
        <v>0.8</v>
      </c>
      <c r="G1309" s="262">
        <f t="shared" si="22"/>
        <v>0.8</v>
      </c>
    </row>
    <row r="1310" spans="1:7" ht="21">
      <c r="A1310" s="263"/>
      <c r="B1310" s="264"/>
      <c r="C1310" s="264"/>
      <c r="D1310" s="264"/>
      <c r="E1310" s="265" t="s">
        <v>1302</v>
      </c>
      <c r="F1310" s="265"/>
      <c r="G1310" s="266">
        <f>SUM(G1304:G1309)</f>
        <v>5.1000000000000005</v>
      </c>
    </row>
    <row r="1311" spans="1:7" ht="21">
      <c r="A1311" s="255" t="s">
        <v>447</v>
      </c>
      <c r="B1311" s="256"/>
      <c r="C1311" s="257" t="s">
        <v>4</v>
      </c>
      <c r="D1311" s="257" t="s">
        <v>243</v>
      </c>
      <c r="E1311" s="257" t="s">
        <v>244</v>
      </c>
      <c r="F1311" s="257" t="s">
        <v>245</v>
      </c>
      <c r="G1311" s="257" t="s">
        <v>246</v>
      </c>
    </row>
    <row r="1312" spans="1:7">
      <c r="A1312" s="258" t="s">
        <v>540</v>
      </c>
      <c r="B1312" s="259" t="s">
        <v>541</v>
      </c>
      <c r="C1312" s="260" t="s">
        <v>26</v>
      </c>
      <c r="D1312" s="260" t="s">
        <v>265</v>
      </c>
      <c r="E1312" s="262">
        <v>1</v>
      </c>
      <c r="F1312" s="301">
        <v>19.03</v>
      </c>
      <c r="G1312" s="262">
        <f>TRUNC(TRUNC(E1312,8)*F1312,2)</f>
        <v>19.03</v>
      </c>
    </row>
    <row r="1313" spans="1:7">
      <c r="A1313" s="263"/>
      <c r="B1313" s="264"/>
      <c r="C1313" s="264"/>
      <c r="D1313" s="264"/>
      <c r="E1313" s="265" t="s">
        <v>1303</v>
      </c>
      <c r="F1313" s="265"/>
      <c r="G1313" s="266">
        <f>SUM(G1312:G1312)</f>
        <v>19.03</v>
      </c>
    </row>
    <row r="1314" spans="1:7" ht="21">
      <c r="A1314" s="255" t="s">
        <v>250</v>
      </c>
      <c r="B1314" s="256"/>
      <c r="C1314" s="257" t="s">
        <v>4</v>
      </c>
      <c r="D1314" s="257" t="s">
        <v>243</v>
      </c>
      <c r="E1314" s="257" t="s">
        <v>244</v>
      </c>
      <c r="F1314" s="257" t="s">
        <v>245</v>
      </c>
      <c r="G1314" s="257" t="s">
        <v>246</v>
      </c>
    </row>
    <row r="1315" spans="1:7" ht="20">
      <c r="A1315" s="258" t="s">
        <v>1138</v>
      </c>
      <c r="B1315" s="259" t="s">
        <v>1139</v>
      </c>
      <c r="C1315" s="260" t="s">
        <v>26</v>
      </c>
      <c r="D1315" s="260" t="s">
        <v>265</v>
      </c>
      <c r="E1315" s="262">
        <v>1</v>
      </c>
      <c r="F1315" s="301">
        <v>0.21</v>
      </c>
      <c r="G1315" s="262">
        <f>TRUNC(TRUNC(E1315,8)*F1315,2)</f>
        <v>0.21</v>
      </c>
    </row>
    <row r="1316" spans="1:7">
      <c r="A1316" s="263"/>
      <c r="B1316" s="264"/>
      <c r="C1316" s="264"/>
      <c r="D1316" s="264"/>
      <c r="E1316" s="265" t="s">
        <v>1301</v>
      </c>
      <c r="F1316" s="265"/>
      <c r="G1316" s="266">
        <f>SUM(G1315:G1315)</f>
        <v>0.21</v>
      </c>
    </row>
    <row r="1317" spans="1:7">
      <c r="A1317" s="263"/>
      <c r="B1317" s="264"/>
      <c r="C1317" s="264"/>
      <c r="D1317" s="264"/>
      <c r="E1317" s="267" t="s">
        <v>255</v>
      </c>
      <c r="F1317" s="267">
        <f>A1302</f>
        <v>88323</v>
      </c>
      <c r="G1317" s="268">
        <f>SUM(G1310,G1313,G1316)</f>
        <v>24.340000000000003</v>
      </c>
    </row>
    <row r="1318" spans="1:7">
      <c r="A1318" s="263"/>
      <c r="B1318" s="264"/>
      <c r="C1318" s="264"/>
      <c r="D1318" s="264"/>
      <c r="E1318" s="269"/>
      <c r="F1318" s="269"/>
      <c r="G1318" s="269"/>
    </row>
    <row r="1319" spans="1:7" ht="31.5">
      <c r="A1319" s="253">
        <v>92010</v>
      </c>
      <c r="B1319" s="254" t="s">
        <v>1289</v>
      </c>
      <c r="C1319" s="254"/>
      <c r="D1319" s="254"/>
      <c r="E1319" s="254"/>
      <c r="F1319" s="254"/>
      <c r="G1319" s="254"/>
    </row>
    <row r="1320" spans="1:7" ht="21">
      <c r="A1320" s="255" t="s">
        <v>256</v>
      </c>
      <c r="B1320" s="256"/>
      <c r="C1320" s="257" t="s">
        <v>4</v>
      </c>
      <c r="D1320" s="257" t="s">
        <v>243</v>
      </c>
      <c r="E1320" s="257" t="s">
        <v>244</v>
      </c>
      <c r="F1320" s="257" t="s">
        <v>245</v>
      </c>
      <c r="G1320" s="257" t="s">
        <v>246</v>
      </c>
    </row>
    <row r="1321" spans="1:7">
      <c r="A1321" s="258" t="s">
        <v>566</v>
      </c>
      <c r="B1321" s="259" t="s">
        <v>567</v>
      </c>
      <c r="C1321" s="260" t="s">
        <v>26</v>
      </c>
      <c r="D1321" s="260" t="s">
        <v>14</v>
      </c>
      <c r="E1321" s="262">
        <v>3</v>
      </c>
      <c r="F1321" s="301">
        <v>7.23</v>
      </c>
      <c r="G1321" s="262">
        <f>TRUNC(TRUNC(E1321,8)*F1321,2)</f>
        <v>21.69</v>
      </c>
    </row>
    <row r="1322" spans="1:7" ht="21">
      <c r="A1322" s="263"/>
      <c r="B1322" s="264"/>
      <c r="C1322" s="264"/>
      <c r="D1322" s="264"/>
      <c r="E1322" s="265" t="s">
        <v>259</v>
      </c>
      <c r="F1322" s="265"/>
      <c r="G1322" s="266">
        <f>SUM(G1321:G1321)</f>
        <v>21.69</v>
      </c>
    </row>
    <row r="1323" spans="1:7" ht="21">
      <c r="A1323" s="255" t="s">
        <v>242</v>
      </c>
      <c r="B1323" s="256"/>
      <c r="C1323" s="257" t="s">
        <v>4</v>
      </c>
      <c r="D1323" s="257" t="s">
        <v>243</v>
      </c>
      <c r="E1323" s="257" t="s">
        <v>244</v>
      </c>
      <c r="F1323" s="257" t="s">
        <v>245</v>
      </c>
      <c r="G1323" s="257" t="s">
        <v>246</v>
      </c>
    </row>
    <row r="1324" spans="1:7">
      <c r="A1324" s="258" t="s">
        <v>292</v>
      </c>
      <c r="B1324" s="259" t="s">
        <v>293</v>
      </c>
      <c r="C1324" s="260" t="s">
        <v>26</v>
      </c>
      <c r="D1324" s="260" t="s">
        <v>265</v>
      </c>
      <c r="E1324" s="271">
        <v>0.82599999999999996</v>
      </c>
      <c r="F1324" s="301">
        <v>21.5</v>
      </c>
      <c r="G1324" s="262">
        <f>TRUNC(TRUNC(E1324,8)*F1324,2)</f>
        <v>17.75</v>
      </c>
    </row>
    <row r="1325" spans="1:7">
      <c r="A1325" s="258" t="s">
        <v>294</v>
      </c>
      <c r="B1325" s="259" t="s">
        <v>295</v>
      </c>
      <c r="C1325" s="260" t="s">
        <v>26</v>
      </c>
      <c r="D1325" s="260" t="s">
        <v>265</v>
      </c>
      <c r="E1325" s="271">
        <v>0.82599999999999996</v>
      </c>
      <c r="F1325" s="301">
        <v>25.55</v>
      </c>
      <c r="G1325" s="262">
        <f>TRUNC(TRUNC(E1325,8)*F1325,2)</f>
        <v>21.1</v>
      </c>
    </row>
    <row r="1326" spans="1:7">
      <c r="A1326" s="263"/>
      <c r="B1326" s="264"/>
      <c r="C1326" s="264"/>
      <c r="D1326" s="264"/>
      <c r="E1326" s="265" t="s">
        <v>1299</v>
      </c>
      <c r="F1326" s="265"/>
      <c r="G1326" s="266">
        <f>SUM(G1324:G1325)</f>
        <v>38.85</v>
      </c>
    </row>
    <row r="1327" spans="1:7">
      <c r="A1327" s="263"/>
      <c r="B1327" s="264"/>
      <c r="C1327" s="264"/>
      <c r="D1327" s="264"/>
      <c r="E1327" s="267" t="s">
        <v>255</v>
      </c>
      <c r="F1327" s="267">
        <f>A1319</f>
        <v>92010</v>
      </c>
      <c r="G1327" s="268">
        <f>SUM(G1322,G1326)</f>
        <v>60.540000000000006</v>
      </c>
    </row>
    <row r="1328" spans="1:7">
      <c r="A1328" s="263"/>
      <c r="B1328" s="264"/>
      <c r="C1328" s="264"/>
      <c r="D1328" s="264"/>
      <c r="E1328" s="269"/>
      <c r="F1328" s="269"/>
      <c r="G1328" s="269"/>
    </row>
    <row r="1329" spans="1:7" ht="31.5">
      <c r="A1329" s="253">
        <v>92011</v>
      </c>
      <c r="B1329" s="254" t="s">
        <v>1290</v>
      </c>
      <c r="C1329" s="254"/>
      <c r="D1329" s="254"/>
      <c r="E1329" s="254"/>
      <c r="F1329" s="254"/>
      <c r="G1329" s="254"/>
    </row>
    <row r="1330" spans="1:7" ht="21">
      <c r="A1330" s="255" t="s">
        <v>256</v>
      </c>
      <c r="B1330" s="256"/>
      <c r="C1330" s="257" t="s">
        <v>4</v>
      </c>
      <c r="D1330" s="257" t="s">
        <v>243</v>
      </c>
      <c r="E1330" s="257" t="s">
        <v>244</v>
      </c>
      <c r="F1330" s="257" t="s">
        <v>245</v>
      </c>
      <c r="G1330" s="257" t="s">
        <v>246</v>
      </c>
    </row>
    <row r="1331" spans="1:7">
      <c r="A1331" s="258" t="s">
        <v>544</v>
      </c>
      <c r="B1331" s="259" t="s">
        <v>545</v>
      </c>
      <c r="C1331" s="260" t="s">
        <v>26</v>
      </c>
      <c r="D1331" s="260" t="s">
        <v>14</v>
      </c>
      <c r="E1331" s="262">
        <v>3</v>
      </c>
      <c r="F1331" s="301">
        <v>9.25</v>
      </c>
      <c r="G1331" s="262">
        <f>TRUNC(TRUNC(E1331,8)*F1331,2)</f>
        <v>27.75</v>
      </c>
    </row>
    <row r="1332" spans="1:7" ht="21">
      <c r="A1332" s="263"/>
      <c r="B1332" s="264"/>
      <c r="C1332" s="264"/>
      <c r="D1332" s="264"/>
      <c r="E1332" s="265" t="s">
        <v>259</v>
      </c>
      <c r="F1332" s="265"/>
      <c r="G1332" s="266">
        <f>SUM(G1331:G1331)</f>
        <v>27.75</v>
      </c>
    </row>
    <row r="1333" spans="1:7" ht="21">
      <c r="A1333" s="255" t="s">
        <v>242</v>
      </c>
      <c r="B1333" s="256"/>
      <c r="C1333" s="257" t="s">
        <v>4</v>
      </c>
      <c r="D1333" s="257" t="s">
        <v>243</v>
      </c>
      <c r="E1333" s="257" t="s">
        <v>244</v>
      </c>
      <c r="F1333" s="257" t="s">
        <v>245</v>
      </c>
      <c r="G1333" s="257" t="s">
        <v>246</v>
      </c>
    </row>
    <row r="1334" spans="1:7">
      <c r="A1334" s="258" t="s">
        <v>292</v>
      </c>
      <c r="B1334" s="259" t="s">
        <v>293</v>
      </c>
      <c r="C1334" s="260" t="s">
        <v>26</v>
      </c>
      <c r="D1334" s="260" t="s">
        <v>265</v>
      </c>
      <c r="E1334" s="330">
        <v>0.82599999999999996</v>
      </c>
      <c r="F1334" s="301">
        <v>21.5</v>
      </c>
      <c r="G1334" s="262">
        <f>TRUNC(TRUNC(E1334,8)*F1334,2)</f>
        <v>17.75</v>
      </c>
    </row>
    <row r="1335" spans="1:7">
      <c r="A1335" s="258" t="s">
        <v>294</v>
      </c>
      <c r="B1335" s="259" t="s">
        <v>295</v>
      </c>
      <c r="C1335" s="260" t="s">
        <v>26</v>
      </c>
      <c r="D1335" s="260" t="s">
        <v>265</v>
      </c>
      <c r="E1335" s="330">
        <v>0.82599999999999996</v>
      </c>
      <c r="F1335" s="301">
        <v>25.55</v>
      </c>
      <c r="G1335" s="262">
        <f>TRUNC(TRUNC(E1335,8)*F1335,2)</f>
        <v>21.1</v>
      </c>
    </row>
    <row r="1336" spans="1:7">
      <c r="A1336" s="263"/>
      <c r="B1336" s="264"/>
      <c r="C1336" s="264"/>
      <c r="D1336" s="264"/>
      <c r="E1336" s="265" t="s">
        <v>1299</v>
      </c>
      <c r="F1336" s="265"/>
      <c r="G1336" s="266">
        <f>SUM(G1334:G1335)</f>
        <v>38.85</v>
      </c>
    </row>
    <row r="1337" spans="1:7">
      <c r="A1337" s="263"/>
      <c r="B1337" s="264"/>
      <c r="C1337" s="264"/>
      <c r="D1337" s="264"/>
      <c r="E1337" s="267" t="s">
        <v>255</v>
      </c>
      <c r="F1337" s="267">
        <f>A1329</f>
        <v>92011</v>
      </c>
      <c r="G1337" s="268">
        <f>SUM(G1332,G1336)</f>
        <v>66.599999999999994</v>
      </c>
    </row>
    <row r="1338" spans="1:7">
      <c r="A1338" s="263"/>
      <c r="B1338" s="264"/>
      <c r="C1338" s="264"/>
      <c r="D1338" s="264"/>
      <c r="E1338" s="269"/>
      <c r="F1338" s="269"/>
      <c r="G1338" s="269"/>
    </row>
    <row r="1339" spans="1:7" ht="21">
      <c r="A1339" s="253">
        <v>100321</v>
      </c>
      <c r="B1339" s="254" t="s">
        <v>1291</v>
      </c>
      <c r="C1339" s="254"/>
      <c r="D1339" s="254"/>
      <c r="E1339" s="254"/>
      <c r="F1339" s="254"/>
      <c r="G1339" s="254"/>
    </row>
    <row r="1340" spans="1:7" ht="21">
      <c r="A1340" s="255" t="s">
        <v>462</v>
      </c>
      <c r="B1340" s="256"/>
      <c r="C1340" s="257" t="s">
        <v>4</v>
      </c>
      <c r="D1340" s="257" t="s">
        <v>243</v>
      </c>
      <c r="E1340" s="257" t="s">
        <v>244</v>
      </c>
      <c r="F1340" s="257" t="s">
        <v>245</v>
      </c>
      <c r="G1340" s="257" t="s">
        <v>246</v>
      </c>
    </row>
    <row r="1341" spans="1:7" ht="20">
      <c r="A1341" s="258" t="s">
        <v>520</v>
      </c>
      <c r="B1341" s="259" t="s">
        <v>521</v>
      </c>
      <c r="C1341" s="260" t="s">
        <v>26</v>
      </c>
      <c r="D1341" s="260" t="s">
        <v>29</v>
      </c>
      <c r="E1341" s="262">
        <v>1</v>
      </c>
      <c r="F1341" s="301">
        <v>153.54</v>
      </c>
      <c r="G1341" s="262">
        <f>TRUNC(TRUNC(E1341,8)*F1341,2)</f>
        <v>153.54</v>
      </c>
    </row>
    <row r="1342" spans="1:7" ht="20">
      <c r="A1342" s="258" t="s">
        <v>465</v>
      </c>
      <c r="B1342" s="259" t="s">
        <v>466</v>
      </c>
      <c r="C1342" s="260" t="s">
        <v>26</v>
      </c>
      <c r="D1342" s="260" t="s">
        <v>29</v>
      </c>
      <c r="E1342" s="262">
        <v>1</v>
      </c>
      <c r="F1342" s="301">
        <v>270.51</v>
      </c>
      <c r="G1342" s="262">
        <f>TRUNC(TRUNC(E1342,8)*F1342,2)</f>
        <v>270.51</v>
      </c>
    </row>
    <row r="1343" spans="1:7" ht="20">
      <c r="A1343" s="258" t="s">
        <v>586</v>
      </c>
      <c r="B1343" s="259" t="s">
        <v>587</v>
      </c>
      <c r="C1343" s="260" t="s">
        <v>26</v>
      </c>
      <c r="D1343" s="260" t="s">
        <v>29</v>
      </c>
      <c r="E1343" s="262">
        <v>1</v>
      </c>
      <c r="F1343" s="301">
        <v>11.14</v>
      </c>
      <c r="G1343" s="262">
        <f>TRUNC(TRUNC(E1343,8)*F1343,2)</f>
        <v>11.14</v>
      </c>
    </row>
    <row r="1344" spans="1:7" ht="20">
      <c r="A1344" s="258" t="s">
        <v>634</v>
      </c>
      <c r="B1344" s="259" t="s">
        <v>635</v>
      </c>
      <c r="C1344" s="260" t="s">
        <v>26</v>
      </c>
      <c r="D1344" s="260" t="s">
        <v>29</v>
      </c>
      <c r="E1344" s="262">
        <v>1</v>
      </c>
      <c r="F1344" s="301">
        <v>15.46</v>
      </c>
      <c r="G1344" s="262">
        <f>TRUNC(TRUNC(E1344,8)*F1344,2)</f>
        <v>15.46</v>
      </c>
    </row>
    <row r="1345" spans="1:7" ht="21">
      <c r="A1345" s="263"/>
      <c r="B1345" s="264"/>
      <c r="C1345" s="264"/>
      <c r="D1345" s="264"/>
      <c r="E1345" s="265" t="s">
        <v>1302</v>
      </c>
      <c r="F1345" s="265"/>
      <c r="G1345" s="266">
        <f>SUM(G1341:G1344)</f>
        <v>450.64999999999992</v>
      </c>
    </row>
    <row r="1346" spans="1:7" ht="21">
      <c r="A1346" s="255" t="s">
        <v>447</v>
      </c>
      <c r="B1346" s="256"/>
      <c r="C1346" s="257" t="s">
        <v>4</v>
      </c>
      <c r="D1346" s="257" t="s">
        <v>243</v>
      </c>
      <c r="E1346" s="257" t="s">
        <v>244</v>
      </c>
      <c r="F1346" s="257" t="s">
        <v>245</v>
      </c>
      <c r="G1346" s="257" t="s">
        <v>246</v>
      </c>
    </row>
    <row r="1347" spans="1:7">
      <c r="A1347" s="258" t="s">
        <v>456</v>
      </c>
      <c r="B1347" s="259" t="s">
        <v>457</v>
      </c>
      <c r="C1347" s="260" t="s">
        <v>26</v>
      </c>
      <c r="D1347" s="260" t="s">
        <v>29</v>
      </c>
      <c r="E1347" s="262">
        <v>1</v>
      </c>
      <c r="F1347" s="301">
        <v>4775.3100000000004</v>
      </c>
      <c r="G1347" s="262">
        <f>TRUNC(TRUNC(E1347,8)*F1347,2)</f>
        <v>4775.3100000000004</v>
      </c>
    </row>
    <row r="1348" spans="1:7">
      <c r="A1348" s="263"/>
      <c r="B1348" s="264"/>
      <c r="C1348" s="264"/>
      <c r="D1348" s="264"/>
      <c r="E1348" s="265" t="s">
        <v>1303</v>
      </c>
      <c r="F1348" s="265"/>
      <c r="G1348" s="266">
        <f>SUM(G1347:G1347)</f>
        <v>4775.3100000000004</v>
      </c>
    </row>
    <row r="1349" spans="1:7" ht="21">
      <c r="A1349" s="255" t="s">
        <v>250</v>
      </c>
      <c r="B1349" s="256"/>
      <c r="C1349" s="257" t="s">
        <v>4</v>
      </c>
      <c r="D1349" s="257" t="s">
        <v>243</v>
      </c>
      <c r="E1349" s="257" t="s">
        <v>244</v>
      </c>
      <c r="F1349" s="257" t="s">
        <v>245</v>
      </c>
      <c r="G1349" s="257" t="s">
        <v>246</v>
      </c>
    </row>
    <row r="1350" spans="1:7" ht="20">
      <c r="A1350" s="258" t="s">
        <v>1140</v>
      </c>
      <c r="B1350" s="259" t="s">
        <v>1141</v>
      </c>
      <c r="C1350" s="260" t="s">
        <v>26</v>
      </c>
      <c r="D1350" s="260" t="s">
        <v>29</v>
      </c>
      <c r="E1350" s="262">
        <v>1</v>
      </c>
      <c r="F1350" s="301">
        <v>64.650000000000006</v>
      </c>
      <c r="G1350" s="262">
        <f>TRUNC(TRUNC(E1350,8)*F1350,2)</f>
        <v>64.650000000000006</v>
      </c>
    </row>
    <row r="1351" spans="1:7">
      <c r="A1351" s="263"/>
      <c r="B1351" s="264"/>
      <c r="C1351" s="264"/>
      <c r="D1351" s="264"/>
      <c r="E1351" s="265" t="s">
        <v>1301</v>
      </c>
      <c r="F1351" s="265"/>
      <c r="G1351" s="266">
        <f>SUM(G1350:G1350)</f>
        <v>64.650000000000006</v>
      </c>
    </row>
    <row r="1352" spans="1:7">
      <c r="A1352" s="263"/>
      <c r="B1352" s="264"/>
      <c r="C1352" s="264"/>
      <c r="D1352" s="264"/>
      <c r="E1352" s="267" t="s">
        <v>255</v>
      </c>
      <c r="F1352" s="267">
        <f>A1339</f>
        <v>100321</v>
      </c>
      <c r="G1352" s="268">
        <f>SUM(G1345,G1348,G1351)</f>
        <v>5290.61</v>
      </c>
    </row>
    <row r="1353" spans="1:7">
      <c r="A1353" s="263"/>
      <c r="B1353" s="264"/>
      <c r="C1353" s="264"/>
      <c r="D1353" s="264"/>
      <c r="E1353" s="269"/>
      <c r="F1353" s="269"/>
      <c r="G1353" s="269"/>
    </row>
    <row r="1354" spans="1:7" ht="31.5">
      <c r="A1354" s="253">
        <v>90587</v>
      </c>
      <c r="B1354" s="254" t="s">
        <v>1292</v>
      </c>
      <c r="C1354" s="254"/>
      <c r="D1354" s="254"/>
      <c r="E1354" s="254"/>
      <c r="F1354" s="254"/>
      <c r="G1354" s="254"/>
    </row>
    <row r="1355" spans="1:7" ht="21">
      <c r="A1355" s="255" t="s">
        <v>250</v>
      </c>
      <c r="B1355" s="256"/>
      <c r="C1355" s="257" t="s">
        <v>4</v>
      </c>
      <c r="D1355" s="257" t="s">
        <v>243</v>
      </c>
      <c r="E1355" s="257" t="s">
        <v>244</v>
      </c>
      <c r="F1355" s="257" t="s">
        <v>245</v>
      </c>
      <c r="G1355" s="257" t="s">
        <v>246</v>
      </c>
    </row>
    <row r="1356" spans="1:7" ht="20">
      <c r="A1356" s="258" t="s">
        <v>1142</v>
      </c>
      <c r="B1356" s="259" t="s">
        <v>1143</v>
      </c>
      <c r="C1356" s="260" t="s">
        <v>26</v>
      </c>
      <c r="D1356" s="260" t="s">
        <v>265</v>
      </c>
      <c r="E1356" s="262">
        <v>1</v>
      </c>
      <c r="F1356" s="301">
        <v>0.43</v>
      </c>
      <c r="G1356" s="262">
        <f>TRUNC(TRUNC(E1356,8)*F1356,2)</f>
        <v>0.43</v>
      </c>
    </row>
    <row r="1357" spans="1:7" ht="20">
      <c r="A1357" s="258" t="s">
        <v>1144</v>
      </c>
      <c r="B1357" s="259" t="s">
        <v>1145</v>
      </c>
      <c r="C1357" s="260" t="s">
        <v>26</v>
      </c>
      <c r="D1357" s="260" t="s">
        <v>265</v>
      </c>
      <c r="E1357" s="262">
        <v>1</v>
      </c>
      <c r="F1357" s="301">
        <v>0.1</v>
      </c>
      <c r="G1357" s="262">
        <f>TRUNC(TRUNC(E1357,8)*F1357,2)</f>
        <v>0.1</v>
      </c>
    </row>
    <row r="1358" spans="1:7">
      <c r="A1358" s="263"/>
      <c r="B1358" s="264"/>
      <c r="C1358" s="264"/>
      <c r="D1358" s="264"/>
      <c r="E1358" s="265" t="s">
        <v>1301</v>
      </c>
      <c r="F1358" s="265"/>
      <c r="G1358" s="266">
        <f>SUM(G1356:G1357)</f>
        <v>0.53</v>
      </c>
    </row>
    <row r="1359" spans="1:7">
      <c r="A1359" s="263"/>
      <c r="B1359" s="264"/>
      <c r="C1359" s="264"/>
      <c r="D1359" s="264"/>
      <c r="E1359" s="267" t="s">
        <v>255</v>
      </c>
      <c r="F1359" s="267">
        <f>A1354</f>
        <v>90587</v>
      </c>
      <c r="G1359" s="268">
        <f>SUM(G1358)</f>
        <v>0.53</v>
      </c>
    </row>
    <row r="1360" spans="1:7">
      <c r="A1360" s="263"/>
      <c r="B1360" s="264"/>
      <c r="C1360" s="264"/>
      <c r="D1360" s="264"/>
      <c r="E1360" s="269"/>
      <c r="F1360" s="269"/>
      <c r="G1360" s="269"/>
    </row>
    <row r="1361" spans="1:7" ht="31.5">
      <c r="A1361" s="253">
        <v>90586</v>
      </c>
      <c r="B1361" s="254" t="s">
        <v>1293</v>
      </c>
      <c r="C1361" s="254"/>
      <c r="D1361" s="254"/>
      <c r="E1361" s="254"/>
      <c r="F1361" s="254"/>
      <c r="G1361" s="254"/>
    </row>
    <row r="1362" spans="1:7" ht="21">
      <c r="A1362" s="255" t="s">
        <v>250</v>
      </c>
      <c r="B1362" s="256"/>
      <c r="C1362" s="257" t="s">
        <v>4</v>
      </c>
      <c r="D1362" s="257" t="s">
        <v>243</v>
      </c>
      <c r="E1362" s="257" t="s">
        <v>244</v>
      </c>
      <c r="F1362" s="257" t="s">
        <v>245</v>
      </c>
      <c r="G1362" s="257" t="s">
        <v>246</v>
      </c>
    </row>
    <row r="1363" spans="1:7" ht="20">
      <c r="A1363" s="258" t="s">
        <v>1142</v>
      </c>
      <c r="B1363" s="259" t="s">
        <v>1143</v>
      </c>
      <c r="C1363" s="260" t="s">
        <v>26</v>
      </c>
      <c r="D1363" s="260" t="s">
        <v>265</v>
      </c>
      <c r="E1363" s="262">
        <v>1</v>
      </c>
      <c r="F1363" s="301">
        <v>0.43</v>
      </c>
      <c r="G1363" s="262">
        <f>TRUNC(TRUNC(E1363,8)*F1363,2)</f>
        <v>0.43</v>
      </c>
    </row>
    <row r="1364" spans="1:7" ht="20">
      <c r="A1364" s="258" t="s">
        <v>1144</v>
      </c>
      <c r="B1364" s="259" t="s">
        <v>1145</v>
      </c>
      <c r="C1364" s="260" t="s">
        <v>26</v>
      </c>
      <c r="D1364" s="260" t="s">
        <v>265</v>
      </c>
      <c r="E1364" s="262">
        <v>1</v>
      </c>
      <c r="F1364" s="301">
        <v>0.1</v>
      </c>
      <c r="G1364" s="262">
        <f>TRUNC(TRUNC(E1364,8)*F1364,2)</f>
        <v>0.1</v>
      </c>
    </row>
    <row r="1365" spans="1:7" ht="20">
      <c r="A1365" s="258" t="s">
        <v>1146</v>
      </c>
      <c r="B1365" s="259" t="s">
        <v>1147</v>
      </c>
      <c r="C1365" s="260" t="s">
        <v>26</v>
      </c>
      <c r="D1365" s="260" t="s">
        <v>265</v>
      </c>
      <c r="E1365" s="262">
        <v>1</v>
      </c>
      <c r="F1365" s="301">
        <v>0.33</v>
      </c>
      <c r="G1365" s="262">
        <f>TRUNC(TRUNC(E1365,8)*F1365,2)</f>
        <v>0.33</v>
      </c>
    </row>
    <row r="1366" spans="1:7" ht="30">
      <c r="A1366" s="258" t="s">
        <v>1148</v>
      </c>
      <c r="B1366" s="259" t="s">
        <v>1149</v>
      </c>
      <c r="C1366" s="260" t="s">
        <v>26</v>
      </c>
      <c r="D1366" s="260" t="s">
        <v>265</v>
      </c>
      <c r="E1366" s="262">
        <v>1</v>
      </c>
      <c r="F1366" s="301">
        <v>0.39</v>
      </c>
      <c r="G1366" s="262">
        <f>TRUNC(TRUNC(E1366,8)*F1366,2)</f>
        <v>0.39</v>
      </c>
    </row>
    <row r="1367" spans="1:7">
      <c r="A1367" s="263"/>
      <c r="B1367" s="264"/>
      <c r="C1367" s="264"/>
      <c r="D1367" s="264"/>
      <c r="E1367" s="265" t="s">
        <v>1301</v>
      </c>
      <c r="F1367" s="265"/>
      <c r="G1367" s="266">
        <f>SUM(G1363:G1366)</f>
        <v>1.25</v>
      </c>
    </row>
    <row r="1368" spans="1:7">
      <c r="A1368" s="263"/>
      <c r="B1368" s="264"/>
      <c r="C1368" s="264"/>
      <c r="D1368" s="264"/>
      <c r="E1368" s="267" t="s">
        <v>255</v>
      </c>
      <c r="F1368" s="267">
        <f>A1361</f>
        <v>90586</v>
      </c>
      <c r="G1368" s="268">
        <f>SUM(G1367)</f>
        <v>1.25</v>
      </c>
    </row>
    <row r="1369" spans="1:7">
      <c r="A1369" s="263"/>
      <c r="B1369" s="264"/>
      <c r="C1369" s="264"/>
      <c r="D1369" s="264"/>
      <c r="E1369" s="269"/>
      <c r="F1369" s="269"/>
      <c r="G1369" s="269"/>
    </row>
    <row r="1370" spans="1:7" ht="31.5">
      <c r="A1370" s="253">
        <v>90582</v>
      </c>
      <c r="B1370" s="254" t="s">
        <v>1294</v>
      </c>
      <c r="C1370" s="254"/>
      <c r="D1370" s="254"/>
      <c r="E1370" s="254"/>
      <c r="F1370" s="254"/>
      <c r="G1370" s="254"/>
    </row>
    <row r="1371" spans="1:7" ht="21">
      <c r="A1371" s="255" t="s">
        <v>268</v>
      </c>
      <c r="B1371" s="256"/>
      <c r="C1371" s="257" t="s">
        <v>4</v>
      </c>
      <c r="D1371" s="257" t="s">
        <v>243</v>
      </c>
      <c r="E1371" s="257" t="s">
        <v>244</v>
      </c>
      <c r="F1371" s="257" t="s">
        <v>245</v>
      </c>
      <c r="G1371" s="257" t="s">
        <v>246</v>
      </c>
    </row>
    <row r="1372" spans="1:7" ht="20">
      <c r="A1372" s="258" t="s">
        <v>626</v>
      </c>
      <c r="B1372" s="259" t="s">
        <v>627</v>
      </c>
      <c r="C1372" s="260" t="s">
        <v>26</v>
      </c>
      <c r="D1372" s="260" t="s">
        <v>14</v>
      </c>
      <c r="E1372" s="329">
        <v>1.2799999999999999E-4</v>
      </c>
      <c r="F1372" s="301">
        <v>3390.99</v>
      </c>
      <c r="G1372" s="262">
        <f>TRUNC(TRUNC(E1372,8)*F1372,2)</f>
        <v>0.43</v>
      </c>
    </row>
    <row r="1373" spans="1:7">
      <c r="A1373" s="263"/>
      <c r="B1373" s="264"/>
      <c r="C1373" s="264"/>
      <c r="D1373" s="264"/>
      <c r="E1373" s="265" t="s">
        <v>1300</v>
      </c>
      <c r="F1373" s="265"/>
      <c r="G1373" s="266">
        <f>SUM(G1372:G1372)</f>
        <v>0.43</v>
      </c>
    </row>
    <row r="1374" spans="1:7">
      <c r="A1374" s="263"/>
      <c r="B1374" s="264"/>
      <c r="C1374" s="264"/>
      <c r="D1374" s="264"/>
      <c r="E1374" s="267" t="s">
        <v>255</v>
      </c>
      <c r="F1374" s="267">
        <f>A1370</f>
        <v>90582</v>
      </c>
      <c r="G1374" s="268">
        <f>SUM(G1373)</f>
        <v>0.43</v>
      </c>
    </row>
    <row r="1375" spans="1:7">
      <c r="A1375" s="263"/>
      <c r="B1375" s="264"/>
      <c r="C1375" s="264"/>
      <c r="D1375" s="264"/>
      <c r="E1375" s="269"/>
      <c r="F1375" s="269"/>
      <c r="G1375" s="269"/>
    </row>
    <row r="1376" spans="1:7" ht="21">
      <c r="A1376" s="253">
        <v>90583</v>
      </c>
      <c r="B1376" s="254" t="s">
        <v>1295</v>
      </c>
      <c r="C1376" s="254"/>
      <c r="D1376" s="254"/>
      <c r="E1376" s="254"/>
      <c r="F1376" s="254"/>
      <c r="G1376" s="254"/>
    </row>
    <row r="1377" spans="1:7" ht="21">
      <c r="A1377" s="255" t="s">
        <v>268</v>
      </c>
      <c r="B1377" s="256"/>
      <c r="C1377" s="257" t="s">
        <v>4</v>
      </c>
      <c r="D1377" s="257" t="s">
        <v>243</v>
      </c>
      <c r="E1377" s="257" t="s">
        <v>244</v>
      </c>
      <c r="F1377" s="257" t="s">
        <v>245</v>
      </c>
      <c r="G1377" s="257" t="s">
        <v>246</v>
      </c>
    </row>
    <row r="1378" spans="1:7" ht="20">
      <c r="A1378" s="258" t="s">
        <v>626</v>
      </c>
      <c r="B1378" s="259" t="s">
        <v>627</v>
      </c>
      <c r="C1378" s="260" t="s">
        <v>26</v>
      </c>
      <c r="D1378" s="260" t="s">
        <v>14</v>
      </c>
      <c r="E1378" s="328">
        <v>2.9600000000000001E-5</v>
      </c>
      <c r="F1378" s="301">
        <v>3390.99</v>
      </c>
      <c r="G1378" s="262">
        <f>TRUNC(TRUNC(E1378,8)*F1378,2)</f>
        <v>0.1</v>
      </c>
    </row>
    <row r="1379" spans="1:7">
      <c r="A1379" s="263"/>
      <c r="B1379" s="264"/>
      <c r="C1379" s="264"/>
      <c r="D1379" s="264"/>
      <c r="E1379" s="265" t="s">
        <v>1300</v>
      </c>
      <c r="F1379" s="265"/>
      <c r="G1379" s="266">
        <f>SUM(G1378:G1378)</f>
        <v>0.1</v>
      </c>
    </row>
    <row r="1380" spans="1:7">
      <c r="A1380" s="263"/>
      <c r="B1380" s="264"/>
      <c r="C1380" s="264"/>
      <c r="D1380" s="264"/>
      <c r="E1380" s="267" t="s">
        <v>255</v>
      </c>
      <c r="F1380" s="267">
        <f>A1376</f>
        <v>90583</v>
      </c>
      <c r="G1380" s="268">
        <f>SUM(G1379)</f>
        <v>0.1</v>
      </c>
    </row>
    <row r="1381" spans="1:7">
      <c r="A1381" s="263"/>
      <c r="B1381" s="264"/>
      <c r="C1381" s="264"/>
      <c r="D1381" s="264"/>
      <c r="E1381" s="269"/>
      <c r="F1381" s="269"/>
      <c r="G1381" s="269"/>
    </row>
    <row r="1382" spans="1:7" ht="31.5">
      <c r="A1382" s="253">
        <v>90584</v>
      </c>
      <c r="B1382" s="254" t="s">
        <v>1296</v>
      </c>
      <c r="C1382" s="254"/>
      <c r="D1382" s="254"/>
      <c r="E1382" s="254"/>
      <c r="F1382" s="254"/>
      <c r="G1382" s="254"/>
    </row>
    <row r="1383" spans="1:7" ht="21">
      <c r="A1383" s="255" t="s">
        <v>268</v>
      </c>
      <c r="B1383" s="256"/>
      <c r="C1383" s="257" t="s">
        <v>4</v>
      </c>
      <c r="D1383" s="257" t="s">
        <v>243</v>
      </c>
      <c r="E1383" s="257" t="s">
        <v>244</v>
      </c>
      <c r="F1383" s="257" t="s">
        <v>245</v>
      </c>
      <c r="G1383" s="257" t="s">
        <v>246</v>
      </c>
    </row>
    <row r="1384" spans="1:7" ht="20">
      <c r="A1384" s="258" t="s">
        <v>626</v>
      </c>
      <c r="B1384" s="259" t="s">
        <v>627</v>
      </c>
      <c r="C1384" s="260" t="s">
        <v>26</v>
      </c>
      <c r="D1384" s="260" t="s">
        <v>14</v>
      </c>
      <c r="E1384" s="271">
        <v>1E-4</v>
      </c>
      <c r="F1384" s="301">
        <v>3390.99</v>
      </c>
      <c r="G1384" s="262">
        <f>TRUNC(TRUNC(E1384,8)*F1384,2)</f>
        <v>0.33</v>
      </c>
    </row>
    <row r="1385" spans="1:7">
      <c r="A1385" s="263"/>
      <c r="B1385" s="264"/>
      <c r="C1385" s="264"/>
      <c r="D1385" s="264"/>
      <c r="E1385" s="265" t="s">
        <v>1300</v>
      </c>
      <c r="F1385" s="265"/>
      <c r="G1385" s="266">
        <f>SUM(G1384:G1384)</f>
        <v>0.33</v>
      </c>
    </row>
    <row r="1386" spans="1:7">
      <c r="A1386" s="263"/>
      <c r="B1386" s="264"/>
      <c r="C1386" s="264"/>
      <c r="D1386" s="264"/>
      <c r="E1386" s="267" t="s">
        <v>255</v>
      </c>
      <c r="F1386" s="267">
        <f>A1382</f>
        <v>90584</v>
      </c>
      <c r="G1386" s="268">
        <f>SUM(G1385)</f>
        <v>0.33</v>
      </c>
    </row>
    <row r="1387" spans="1:7">
      <c r="A1387" s="263"/>
      <c r="B1387" s="264"/>
      <c r="C1387" s="264"/>
      <c r="D1387" s="264"/>
      <c r="E1387" s="269"/>
      <c r="F1387" s="269"/>
      <c r="G1387" s="269"/>
    </row>
    <row r="1388" spans="1:7" ht="31.5">
      <c r="A1388" s="253">
        <v>90585</v>
      </c>
      <c r="B1388" s="254" t="s">
        <v>1297</v>
      </c>
      <c r="C1388" s="254"/>
      <c r="D1388" s="254"/>
      <c r="E1388" s="254"/>
      <c r="F1388" s="254"/>
      <c r="G1388" s="254"/>
    </row>
    <row r="1389" spans="1:7" ht="21">
      <c r="A1389" s="255" t="s">
        <v>584</v>
      </c>
      <c r="B1389" s="256"/>
      <c r="C1389" s="257" t="s">
        <v>4</v>
      </c>
      <c r="D1389" s="257" t="s">
        <v>243</v>
      </c>
      <c r="E1389" s="257" t="s">
        <v>244</v>
      </c>
      <c r="F1389" s="257" t="s">
        <v>245</v>
      </c>
      <c r="G1389" s="257" t="s">
        <v>246</v>
      </c>
    </row>
    <row r="1390" spans="1:7">
      <c r="A1390" s="258" t="s">
        <v>582</v>
      </c>
      <c r="B1390" s="259" t="s">
        <v>583</v>
      </c>
      <c r="C1390" s="260" t="s">
        <v>26</v>
      </c>
      <c r="D1390" s="260" t="s">
        <v>585</v>
      </c>
      <c r="E1390" s="262">
        <v>0.52</v>
      </c>
      <c r="F1390" s="301">
        <v>0.75</v>
      </c>
      <c r="G1390" s="262">
        <f>TRUNC(TRUNC(E1390,8)*F1390,2)</f>
        <v>0.39</v>
      </c>
    </row>
    <row r="1391" spans="1:7" ht="21">
      <c r="A1391" s="263"/>
      <c r="B1391" s="264"/>
      <c r="C1391" s="264"/>
      <c r="D1391" s="264"/>
      <c r="E1391" s="265" t="s">
        <v>1042</v>
      </c>
      <c r="F1391" s="265"/>
      <c r="G1391" s="266">
        <f>SUM(G1390:G1390)</f>
        <v>0.39</v>
      </c>
    </row>
    <row r="1392" spans="1:7">
      <c r="A1392" s="263"/>
      <c r="B1392" s="264"/>
      <c r="C1392" s="264"/>
      <c r="D1392" s="264"/>
      <c r="E1392" s="267" t="s">
        <v>255</v>
      </c>
      <c r="F1392" s="267">
        <f>A1388</f>
        <v>90585</v>
      </c>
      <c r="G1392" s="268">
        <f>SUM(G1391)</f>
        <v>0.39</v>
      </c>
    </row>
  </sheetData>
  <conditionalFormatting sqref="E5:E9">
    <cfRule type="cellIs" dxfId="20" priority="2" operator="equal">
      <formula>0</formula>
    </cfRule>
  </conditionalFormatting>
  <conditionalFormatting sqref="F5:F9">
    <cfRule type="cellIs" dxfId="19" priority="1" operator="equal">
      <formula>0</formula>
    </cfRule>
  </conditionalFormatting>
  <pageMargins left="0.51181102362204722" right="0.51181102362204722" top="0.51181102362204722" bottom="0.70866141732283472" header="0" footer="0.19685039370078741"/>
  <pageSetup paperSize="9" scale="82" orientation="portrait" r:id="rId1"/>
  <headerFooter>
    <oddFooter>&amp;L&amp;9&amp;A&amp;R&amp;9Página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outlinePr summaryBelow="0"/>
  </sheetPr>
  <dimension ref="A1:J173"/>
  <sheetViews>
    <sheetView view="pageBreakPreview" topLeftCell="A19" zoomScale="80" zoomScaleNormal="145" zoomScaleSheetLayoutView="80" workbookViewId="0">
      <selection activeCell="G174" sqref="G174"/>
    </sheetView>
  </sheetViews>
  <sheetFormatPr defaultColWidth="9.1640625" defaultRowHeight="10"/>
  <cols>
    <col min="1" max="1" width="9.25" style="11" customWidth="1"/>
    <col min="2" max="2" width="68.75" style="11" customWidth="1"/>
    <col min="3" max="5" width="15.75" style="11" customWidth="1"/>
    <col min="6" max="6" width="13.1640625" style="233" hidden="1" customWidth="1"/>
    <col min="7" max="7" width="15.75" style="11" customWidth="1"/>
    <col min="8" max="8" width="9.1640625" style="11"/>
    <col min="9" max="9" width="16.83203125" style="11" customWidth="1"/>
    <col min="10" max="16384" width="9.1640625" style="11"/>
  </cols>
  <sheetData>
    <row r="1" spans="1:10" ht="50.15" customHeight="1"/>
    <row r="2" spans="1:10" ht="25" customHeight="1">
      <c r="A2" s="8" t="s">
        <v>1387</v>
      </c>
      <c r="B2" s="8"/>
      <c r="C2" s="8"/>
      <c r="D2" s="8"/>
      <c r="E2" s="8"/>
      <c r="F2" s="234"/>
      <c r="G2" s="8"/>
    </row>
    <row r="3" spans="1:10" ht="5.15" customHeight="1">
      <c r="A3" s="44"/>
      <c r="B3" s="44"/>
      <c r="C3" s="44"/>
      <c r="D3" s="44"/>
      <c r="E3" s="44"/>
      <c r="F3" s="235"/>
      <c r="G3" s="44"/>
    </row>
    <row r="4" spans="1:10" ht="15" customHeight="1">
      <c r="A4" s="14" t="s">
        <v>858</v>
      </c>
      <c r="B4" s="15" t="str">
        <f>RESUMO!B4</f>
        <v>MODERNIZAÇÃO DA SUBESTAÇÃO DE ENERGIA ELÉTRICA DA SEDE DA JUSTIÇA FEDERAL NA PARAIBA</v>
      </c>
      <c r="C4" s="15"/>
      <c r="D4" s="15"/>
      <c r="E4" s="15"/>
      <c r="F4" s="236"/>
      <c r="G4" s="15"/>
    </row>
    <row r="5" spans="1:10" ht="15" customHeight="1">
      <c r="A5" s="21" t="s">
        <v>863</v>
      </c>
      <c r="B5" s="41" t="str">
        <f>RESUMO!B5</f>
        <v>R3 - 15/04/2025</v>
      </c>
      <c r="C5" s="17" t="s">
        <v>874</v>
      </c>
      <c r="D5" s="19"/>
      <c r="E5" s="17" t="s">
        <v>869</v>
      </c>
      <c r="F5" s="235"/>
      <c r="G5" s="20">
        <f>RESUMO!$F$5</f>
        <v>45762</v>
      </c>
    </row>
    <row r="6" spans="1:10" ht="15" customHeight="1">
      <c r="A6" s="21" t="s">
        <v>859</v>
      </c>
      <c r="B6" s="44" t="str">
        <f>RESUMO!B6</f>
        <v>RUA JOÃO TEIXEIRA DE CARVALHO, 480, PEDRO GONDIM, JOÃO PESSOA/PB</v>
      </c>
      <c r="C6" s="23" t="str">
        <f>RESUMO!$C$6</f>
        <v>SINAPI</v>
      </c>
      <c r="D6" s="24" t="str">
        <f>RESUMO!$D$6</f>
        <v>2025/02</v>
      </c>
      <c r="E6" s="21" t="s">
        <v>1308</v>
      </c>
      <c r="F6" s="235"/>
      <c r="G6" s="24">
        <f>RESUMO!$F$6</f>
        <v>0.23530000000000001</v>
      </c>
    </row>
    <row r="7" spans="1:10" ht="15" customHeight="1">
      <c r="A7" s="21" t="s">
        <v>860</v>
      </c>
      <c r="B7" s="44" t="str">
        <f>RESUMO!B7</f>
        <v>JUSTIÇA FEDERAL NA PARAÍBA</v>
      </c>
      <c r="C7" s="23" t="str">
        <f>RESUMO!$C$7</f>
        <v>SICRO</v>
      </c>
      <c r="D7" s="24" t="str">
        <f>RESUMO!$D$7</f>
        <v>2025/01</v>
      </c>
      <c r="E7" s="21" t="s">
        <v>870</v>
      </c>
      <c r="F7" s="235"/>
      <c r="G7" s="24">
        <f>RESUMO!$F$7</f>
        <v>0.1527</v>
      </c>
    </row>
    <row r="8" spans="1:10" ht="15" customHeight="1">
      <c r="A8" s="21" t="s">
        <v>868</v>
      </c>
      <c r="B8" s="44" t="str">
        <f>RESUMO!B8</f>
        <v>MAYRTHON PAULO COSTA JUNIOR</v>
      </c>
      <c r="C8" s="23" t="str">
        <f>RESUMO!$C$8</f>
        <v>-</v>
      </c>
      <c r="D8" s="24">
        <f>RESUMO!$D$8</f>
        <v>0</v>
      </c>
      <c r="E8" s="21" t="s">
        <v>871</v>
      </c>
      <c r="F8" s="235"/>
      <c r="G8" s="24">
        <f>RESUMO!$F$8</f>
        <v>1.1359999999999999</v>
      </c>
    </row>
    <row r="9" spans="1:10" ht="15" customHeight="1">
      <c r="A9" s="25" t="s">
        <v>861</v>
      </c>
      <c r="B9" s="47" t="str">
        <f>RESUMO!B9</f>
        <v>ENGENHEIRO ELETRICISTA - CREA 060191712-0</v>
      </c>
      <c r="C9" s="25" t="s">
        <v>863</v>
      </c>
      <c r="D9" s="27" t="str">
        <f>RESUMO!$D$9</f>
        <v>R3</v>
      </c>
      <c r="E9" s="25" t="s">
        <v>872</v>
      </c>
      <c r="F9" s="237"/>
      <c r="G9" s="27">
        <f>RESUMO!$F$9</f>
        <v>0.6984999999999999</v>
      </c>
    </row>
    <row r="10" spans="1:10" ht="5.15" customHeight="1">
      <c r="A10" s="52"/>
      <c r="B10" s="238" t="s">
        <v>0</v>
      </c>
      <c r="C10" s="238"/>
      <c r="D10" s="52"/>
      <c r="E10" s="52"/>
      <c r="F10" s="239"/>
      <c r="G10" s="52"/>
    </row>
    <row r="11" spans="1:10" ht="25" customHeight="1">
      <c r="A11" s="240" t="s">
        <v>2</v>
      </c>
      <c r="B11" s="241" t="s">
        <v>3</v>
      </c>
      <c r="C11" s="240" t="s">
        <v>4</v>
      </c>
      <c r="D11" s="240" t="s">
        <v>436</v>
      </c>
      <c r="E11" s="240" t="s">
        <v>437</v>
      </c>
      <c r="F11" s="242" t="s">
        <v>6</v>
      </c>
      <c r="G11" s="240" t="s">
        <v>245</v>
      </c>
    </row>
    <row r="12" spans="1:10" ht="20">
      <c r="A12" s="243" t="s">
        <v>416</v>
      </c>
      <c r="B12" s="244" t="s">
        <v>417</v>
      </c>
      <c r="C12" s="243" t="s">
        <v>443</v>
      </c>
      <c r="D12" s="243" t="s">
        <v>256</v>
      </c>
      <c r="E12" s="243" t="s">
        <v>14</v>
      </c>
      <c r="F12" s="245">
        <v>1</v>
      </c>
      <c r="G12" s="246">
        <f>COT_INSU!I46</f>
        <v>557444.75</v>
      </c>
      <c r="I12" s="247"/>
      <c r="J12" s="247"/>
    </row>
    <row r="13" spans="1:10" ht="20">
      <c r="A13" s="243">
        <v>39250</v>
      </c>
      <c r="B13" s="244" t="s">
        <v>421</v>
      </c>
      <c r="C13" s="243" t="s">
        <v>26</v>
      </c>
      <c r="D13" s="243" t="s">
        <v>256</v>
      </c>
      <c r="E13" s="243" t="s">
        <v>70</v>
      </c>
      <c r="F13" s="245">
        <v>421.22</v>
      </c>
      <c r="G13" s="246">
        <v>576.29999999999995</v>
      </c>
      <c r="I13" s="247"/>
    </row>
    <row r="14" spans="1:10" ht="20">
      <c r="A14" s="243" t="s">
        <v>419</v>
      </c>
      <c r="B14" s="244" t="s">
        <v>420</v>
      </c>
      <c r="C14" s="243" t="s">
        <v>443</v>
      </c>
      <c r="D14" s="243" t="s">
        <v>256</v>
      </c>
      <c r="E14" s="243" t="s">
        <v>14</v>
      </c>
      <c r="F14" s="245">
        <v>1</v>
      </c>
      <c r="G14" s="246">
        <f>COT_INSU!I151</f>
        <v>72646.84</v>
      </c>
      <c r="I14" s="247"/>
      <c r="J14" s="247"/>
    </row>
    <row r="15" spans="1:10">
      <c r="A15" s="243">
        <v>40813</v>
      </c>
      <c r="B15" s="244" t="s">
        <v>446</v>
      </c>
      <c r="C15" s="243" t="s">
        <v>26</v>
      </c>
      <c r="D15" s="243" t="s">
        <v>447</v>
      </c>
      <c r="E15" s="243" t="s">
        <v>29</v>
      </c>
      <c r="F15" s="245">
        <v>3.0381300000000002</v>
      </c>
      <c r="G15" s="246">
        <v>23272.23</v>
      </c>
      <c r="I15" s="247"/>
    </row>
    <row r="16" spans="1:10" ht="20">
      <c r="A16" s="243" t="s">
        <v>410</v>
      </c>
      <c r="B16" s="244" t="s">
        <v>411</v>
      </c>
      <c r="C16" s="243" t="s">
        <v>443</v>
      </c>
      <c r="D16" s="243" t="s">
        <v>256</v>
      </c>
      <c r="E16" s="243" t="s">
        <v>14</v>
      </c>
      <c r="F16" s="245">
        <v>1</v>
      </c>
      <c r="G16" s="246">
        <f>COT_INSU!I123</f>
        <v>46136.959999999999</v>
      </c>
      <c r="I16" s="247"/>
      <c r="J16" s="247"/>
    </row>
    <row r="17" spans="1:10" ht="20">
      <c r="A17" s="243">
        <v>1019</v>
      </c>
      <c r="B17" s="244" t="s">
        <v>348</v>
      </c>
      <c r="C17" s="243" t="s">
        <v>26</v>
      </c>
      <c r="D17" s="243" t="s">
        <v>256</v>
      </c>
      <c r="E17" s="243" t="s">
        <v>70</v>
      </c>
      <c r="F17" s="245">
        <v>457.64400000000001</v>
      </c>
      <c r="G17" s="246">
        <v>39.76</v>
      </c>
      <c r="I17" s="247"/>
    </row>
    <row r="18" spans="1:10">
      <c r="A18" s="243">
        <v>40818</v>
      </c>
      <c r="B18" s="244" t="s">
        <v>449</v>
      </c>
      <c r="C18" s="243" t="s">
        <v>26</v>
      </c>
      <c r="D18" s="243" t="s">
        <v>447</v>
      </c>
      <c r="E18" s="243" t="s">
        <v>29</v>
      </c>
      <c r="F18" s="245">
        <v>4.0730399999999998</v>
      </c>
      <c r="G18" s="246">
        <v>3673.17</v>
      </c>
      <c r="I18" s="247"/>
    </row>
    <row r="19" spans="1:10">
      <c r="A19" s="243">
        <v>2436</v>
      </c>
      <c r="B19" s="244" t="s">
        <v>451</v>
      </c>
      <c r="C19" s="243" t="s">
        <v>26</v>
      </c>
      <c r="D19" s="243" t="s">
        <v>447</v>
      </c>
      <c r="E19" s="243" t="s">
        <v>265</v>
      </c>
      <c r="F19" s="245">
        <v>558.49426896499995</v>
      </c>
      <c r="G19" s="246">
        <v>19.48</v>
      </c>
      <c r="I19" s="247"/>
    </row>
    <row r="20" spans="1:10" ht="20">
      <c r="A20" s="243">
        <v>995</v>
      </c>
      <c r="B20" s="244" t="s">
        <v>346</v>
      </c>
      <c r="C20" s="243" t="s">
        <v>26</v>
      </c>
      <c r="D20" s="243" t="s">
        <v>256</v>
      </c>
      <c r="E20" s="243" t="s">
        <v>70</v>
      </c>
      <c r="F20" s="245">
        <v>534.04</v>
      </c>
      <c r="G20" s="246">
        <v>18.14</v>
      </c>
      <c r="I20" s="247"/>
    </row>
    <row r="21" spans="1:10">
      <c r="A21" s="243">
        <v>247</v>
      </c>
      <c r="B21" s="244" t="s">
        <v>453</v>
      </c>
      <c r="C21" s="243" t="s">
        <v>26</v>
      </c>
      <c r="D21" s="243" t="s">
        <v>447</v>
      </c>
      <c r="E21" s="243" t="s">
        <v>265</v>
      </c>
      <c r="F21" s="245">
        <v>544.08816740865598</v>
      </c>
      <c r="G21" s="246">
        <v>15.57</v>
      </c>
      <c r="I21" s="247"/>
    </row>
    <row r="22" spans="1:10">
      <c r="A22" s="243">
        <v>6111</v>
      </c>
      <c r="B22" s="244" t="s">
        <v>455</v>
      </c>
      <c r="C22" s="243" t="s">
        <v>26</v>
      </c>
      <c r="D22" s="243" t="s">
        <v>447</v>
      </c>
      <c r="E22" s="243" t="s">
        <v>265</v>
      </c>
      <c r="F22" s="245">
        <v>465.23412775059683</v>
      </c>
      <c r="G22" s="246">
        <v>14.73</v>
      </c>
      <c r="I22" s="247"/>
    </row>
    <row r="23" spans="1:10" ht="20">
      <c r="A23" s="243">
        <v>10778</v>
      </c>
      <c r="B23" s="244" t="s">
        <v>31</v>
      </c>
      <c r="C23" s="243" t="s">
        <v>26</v>
      </c>
      <c r="D23" s="243" t="s">
        <v>268</v>
      </c>
      <c r="E23" s="243" t="s">
        <v>29</v>
      </c>
      <c r="F23" s="245">
        <v>5</v>
      </c>
      <c r="G23" s="246">
        <v>1059.3699999999999</v>
      </c>
      <c r="I23" s="247"/>
    </row>
    <row r="24" spans="1:10">
      <c r="A24" s="243">
        <v>40944</v>
      </c>
      <c r="B24" s="244" t="s">
        <v>457</v>
      </c>
      <c r="C24" s="243" t="s">
        <v>26</v>
      </c>
      <c r="D24" s="243" t="s">
        <v>447</v>
      </c>
      <c r="E24" s="243" t="s">
        <v>29</v>
      </c>
      <c r="F24" s="245">
        <v>1.01549</v>
      </c>
      <c r="G24" s="246">
        <v>4775.3100000000004</v>
      </c>
      <c r="I24" s="247"/>
    </row>
    <row r="25" spans="1:10">
      <c r="A25" s="243">
        <v>4221</v>
      </c>
      <c r="B25" s="244" t="s">
        <v>459</v>
      </c>
      <c r="C25" s="243" t="s">
        <v>26</v>
      </c>
      <c r="D25" s="243" t="s">
        <v>256</v>
      </c>
      <c r="E25" s="243" t="s">
        <v>335</v>
      </c>
      <c r="F25" s="245">
        <v>728.29242678766127</v>
      </c>
      <c r="G25" s="246">
        <v>6.29</v>
      </c>
      <c r="I25" s="247"/>
    </row>
    <row r="26" spans="1:10">
      <c r="A26" s="243">
        <v>43082</v>
      </c>
      <c r="B26" s="244" t="s">
        <v>317</v>
      </c>
      <c r="C26" s="243" t="s">
        <v>26</v>
      </c>
      <c r="D26" s="243" t="s">
        <v>256</v>
      </c>
      <c r="E26" s="243" t="s">
        <v>83</v>
      </c>
      <c r="F26" s="245">
        <v>426.14460000000003</v>
      </c>
      <c r="G26" s="246">
        <v>10</v>
      </c>
      <c r="I26" s="247"/>
    </row>
    <row r="27" spans="1:10" ht="20">
      <c r="A27" s="243">
        <v>1020</v>
      </c>
      <c r="B27" s="244" t="s">
        <v>345</v>
      </c>
      <c r="C27" s="243" t="s">
        <v>26</v>
      </c>
      <c r="D27" s="243" t="s">
        <v>256</v>
      </c>
      <c r="E27" s="243" t="s">
        <v>70</v>
      </c>
      <c r="F27" s="245">
        <v>373.02</v>
      </c>
      <c r="G27" s="246">
        <v>11.39</v>
      </c>
      <c r="I27" s="247"/>
    </row>
    <row r="28" spans="1:10" ht="20">
      <c r="A28" s="243">
        <v>1021</v>
      </c>
      <c r="B28" s="244" t="s">
        <v>343</v>
      </c>
      <c r="C28" s="243" t="s">
        <v>26</v>
      </c>
      <c r="D28" s="243" t="s">
        <v>256</v>
      </c>
      <c r="E28" s="243" t="s">
        <v>70</v>
      </c>
      <c r="F28" s="245">
        <v>833.07799999999997</v>
      </c>
      <c r="G28" s="246">
        <v>4.78</v>
      </c>
      <c r="I28" s="247"/>
    </row>
    <row r="29" spans="1:10" ht="20">
      <c r="A29" s="243" t="s">
        <v>389</v>
      </c>
      <c r="B29" s="244" t="s">
        <v>390</v>
      </c>
      <c r="C29" s="243" t="s">
        <v>443</v>
      </c>
      <c r="D29" s="243" t="s">
        <v>256</v>
      </c>
      <c r="E29" s="243" t="s">
        <v>14</v>
      </c>
      <c r="F29" s="245">
        <v>4.5</v>
      </c>
      <c r="G29" s="246">
        <f>COT_INSU!I144</f>
        <v>813.39</v>
      </c>
      <c r="I29" s="247"/>
      <c r="J29" s="247"/>
    </row>
    <row r="30" spans="1:10" ht="20">
      <c r="A30" s="243">
        <v>10776</v>
      </c>
      <c r="B30" s="244" t="s">
        <v>28</v>
      </c>
      <c r="C30" s="243" t="s">
        <v>26</v>
      </c>
      <c r="D30" s="243" t="s">
        <v>268</v>
      </c>
      <c r="E30" s="243" t="s">
        <v>29</v>
      </c>
      <c r="F30" s="245">
        <v>5</v>
      </c>
      <c r="G30" s="246">
        <v>662.1</v>
      </c>
      <c r="I30" s="247"/>
    </row>
    <row r="31" spans="1:10" ht="20">
      <c r="A31" s="243">
        <v>4813</v>
      </c>
      <c r="B31" s="244" t="s">
        <v>270</v>
      </c>
      <c r="C31" s="243" t="s">
        <v>26</v>
      </c>
      <c r="D31" s="243" t="s">
        <v>256</v>
      </c>
      <c r="E31" s="243" t="s">
        <v>34</v>
      </c>
      <c r="F31" s="245">
        <v>8</v>
      </c>
      <c r="G31" s="246">
        <v>400</v>
      </c>
      <c r="I31" s="247"/>
    </row>
    <row r="32" spans="1:10" ht="20">
      <c r="A32" s="243">
        <v>37372</v>
      </c>
      <c r="B32" s="244" t="s">
        <v>461</v>
      </c>
      <c r="C32" s="243" t="s">
        <v>26</v>
      </c>
      <c r="D32" s="243" t="s">
        <v>462</v>
      </c>
      <c r="E32" s="243" t="s">
        <v>265</v>
      </c>
      <c r="F32" s="245">
        <v>1915.360167187888</v>
      </c>
      <c r="G32" s="246">
        <v>1.43</v>
      </c>
      <c r="I32" s="247"/>
    </row>
    <row r="33" spans="1:10">
      <c r="A33" s="243">
        <v>2437</v>
      </c>
      <c r="B33" s="244" t="s">
        <v>464</v>
      </c>
      <c r="C33" s="243" t="s">
        <v>26</v>
      </c>
      <c r="D33" s="243" t="s">
        <v>447</v>
      </c>
      <c r="E33" s="243" t="s">
        <v>265</v>
      </c>
      <c r="F33" s="245">
        <v>132.5504</v>
      </c>
      <c r="G33" s="246">
        <v>18.600000000000001</v>
      </c>
      <c r="I33" s="247"/>
    </row>
    <row r="34" spans="1:10" ht="20">
      <c r="A34" s="243">
        <v>7243</v>
      </c>
      <c r="B34" s="244" t="s">
        <v>283</v>
      </c>
      <c r="C34" s="243" t="s">
        <v>26</v>
      </c>
      <c r="D34" s="243" t="s">
        <v>256</v>
      </c>
      <c r="E34" s="243" t="s">
        <v>34</v>
      </c>
      <c r="F34" s="245">
        <v>49.008850000000002</v>
      </c>
      <c r="G34" s="246">
        <v>50.74</v>
      </c>
      <c r="I34" s="247"/>
    </row>
    <row r="35" spans="1:10" ht="20">
      <c r="A35" s="243">
        <v>40863</v>
      </c>
      <c r="B35" s="244" t="s">
        <v>466</v>
      </c>
      <c r="C35" s="243" t="s">
        <v>26</v>
      </c>
      <c r="D35" s="243" t="s">
        <v>462</v>
      </c>
      <c r="E35" s="243" t="s">
        <v>29</v>
      </c>
      <c r="F35" s="245">
        <v>8</v>
      </c>
      <c r="G35" s="246">
        <v>270.51</v>
      </c>
      <c r="I35" s="247"/>
    </row>
    <row r="36" spans="1:10" ht="20">
      <c r="A36" s="243">
        <v>37370</v>
      </c>
      <c r="B36" s="244" t="s">
        <v>468</v>
      </c>
      <c r="C36" s="243" t="s">
        <v>26</v>
      </c>
      <c r="D36" s="243" t="s">
        <v>462</v>
      </c>
      <c r="E36" s="243" t="s">
        <v>265</v>
      </c>
      <c r="F36" s="245">
        <v>1915.360167187888</v>
      </c>
      <c r="G36" s="246">
        <v>0.92</v>
      </c>
      <c r="I36" s="247"/>
    </row>
    <row r="37" spans="1:10" ht="20">
      <c r="A37" s="243">
        <v>1525</v>
      </c>
      <c r="B37" s="244" t="s">
        <v>470</v>
      </c>
      <c r="C37" s="243" t="s">
        <v>26</v>
      </c>
      <c r="D37" s="243" t="s">
        <v>256</v>
      </c>
      <c r="E37" s="243" t="s">
        <v>45</v>
      </c>
      <c r="F37" s="245">
        <v>3.0416699999999999</v>
      </c>
      <c r="G37" s="246">
        <v>594.16</v>
      </c>
      <c r="I37" s="247"/>
    </row>
    <row r="38" spans="1:10">
      <c r="A38" s="243">
        <v>4750</v>
      </c>
      <c r="B38" s="244" t="s">
        <v>472</v>
      </c>
      <c r="C38" s="243" t="s">
        <v>26</v>
      </c>
      <c r="D38" s="243" t="s">
        <v>447</v>
      </c>
      <c r="E38" s="243" t="s">
        <v>265</v>
      </c>
      <c r="F38" s="245">
        <v>89.143370376229996</v>
      </c>
      <c r="G38" s="246">
        <v>19.48</v>
      </c>
      <c r="I38" s="247"/>
    </row>
    <row r="39" spans="1:10" ht="20">
      <c r="A39" s="243">
        <v>37371</v>
      </c>
      <c r="B39" s="244" t="s">
        <v>474</v>
      </c>
      <c r="C39" s="243" t="s">
        <v>26</v>
      </c>
      <c r="D39" s="243" t="s">
        <v>462</v>
      </c>
      <c r="E39" s="243" t="s">
        <v>265</v>
      </c>
      <c r="F39" s="245">
        <v>1915.360167187888</v>
      </c>
      <c r="G39" s="246">
        <v>0.8</v>
      </c>
      <c r="I39" s="247"/>
    </row>
    <row r="40" spans="1:10" ht="20">
      <c r="A40" s="243">
        <v>43484</v>
      </c>
      <c r="B40" s="244" t="s">
        <v>476</v>
      </c>
      <c r="C40" s="243" t="s">
        <v>26</v>
      </c>
      <c r="D40" s="243" t="s">
        <v>462</v>
      </c>
      <c r="E40" s="243" t="s">
        <v>265</v>
      </c>
      <c r="F40" s="245">
        <v>1185.1564248</v>
      </c>
      <c r="G40" s="246">
        <v>1.26</v>
      </c>
      <c r="I40" s="247"/>
    </row>
    <row r="41" spans="1:10" ht="20">
      <c r="A41" s="243">
        <v>44056</v>
      </c>
      <c r="B41" s="244" t="s">
        <v>478</v>
      </c>
      <c r="C41" s="243" t="s">
        <v>26</v>
      </c>
      <c r="D41" s="243" t="s">
        <v>268</v>
      </c>
      <c r="E41" s="243" t="s">
        <v>14</v>
      </c>
      <c r="F41" s="245">
        <v>2.5844000000000002E-3</v>
      </c>
      <c r="G41" s="246">
        <v>477088.26</v>
      </c>
      <c r="I41" s="247"/>
    </row>
    <row r="42" spans="1:10" ht="20">
      <c r="A42" s="243">
        <v>996</v>
      </c>
      <c r="B42" s="244" t="s">
        <v>347</v>
      </c>
      <c r="C42" s="243" t="s">
        <v>26</v>
      </c>
      <c r="D42" s="243" t="s">
        <v>256</v>
      </c>
      <c r="E42" s="243" t="s">
        <v>70</v>
      </c>
      <c r="F42" s="245">
        <v>41.08</v>
      </c>
      <c r="G42" s="246">
        <v>28.14</v>
      </c>
      <c r="I42" s="247"/>
    </row>
    <row r="43" spans="1:10">
      <c r="A43" s="243">
        <v>4783</v>
      </c>
      <c r="B43" s="244" t="s">
        <v>480</v>
      </c>
      <c r="C43" s="243" t="s">
        <v>26</v>
      </c>
      <c r="D43" s="243" t="s">
        <v>447</v>
      </c>
      <c r="E43" s="243" t="s">
        <v>265</v>
      </c>
      <c r="F43" s="245">
        <v>57.561918574711314</v>
      </c>
      <c r="G43" s="246">
        <v>19.18</v>
      </c>
      <c r="I43" s="247"/>
    </row>
    <row r="44" spans="1:10" ht="20">
      <c r="A44" s="243">
        <v>37758</v>
      </c>
      <c r="B44" s="244" t="s">
        <v>482</v>
      </c>
      <c r="C44" s="243" t="s">
        <v>26</v>
      </c>
      <c r="D44" s="243" t="s">
        <v>268</v>
      </c>
      <c r="E44" s="243" t="s">
        <v>14</v>
      </c>
      <c r="F44" s="245">
        <v>1.4338798187999999E-3</v>
      </c>
      <c r="G44" s="246">
        <v>728477.1</v>
      </c>
      <c r="I44" s="247"/>
    </row>
    <row r="45" spans="1:10" ht="20">
      <c r="A45" s="243">
        <v>43460</v>
      </c>
      <c r="B45" s="244" t="s">
        <v>484</v>
      </c>
      <c r="C45" s="243" t="s">
        <v>26</v>
      </c>
      <c r="D45" s="243" t="s">
        <v>462</v>
      </c>
      <c r="E45" s="243" t="s">
        <v>265</v>
      </c>
      <c r="F45" s="245">
        <v>1185.1564248</v>
      </c>
      <c r="G45" s="246">
        <v>0.86</v>
      </c>
      <c r="I45" s="247"/>
    </row>
    <row r="46" spans="1:10" ht="20">
      <c r="A46" s="243">
        <v>43499</v>
      </c>
      <c r="B46" s="244" t="s">
        <v>486</v>
      </c>
      <c r="C46" s="243" t="s">
        <v>26</v>
      </c>
      <c r="D46" s="243" t="s">
        <v>462</v>
      </c>
      <c r="E46" s="243" t="s">
        <v>29</v>
      </c>
      <c r="F46" s="245">
        <v>4</v>
      </c>
      <c r="G46" s="246">
        <v>241.99</v>
      </c>
      <c r="I46" s="247"/>
    </row>
    <row r="47" spans="1:10" ht="20">
      <c r="A47" s="243">
        <v>43083</v>
      </c>
      <c r="B47" s="244" t="s">
        <v>331</v>
      </c>
      <c r="C47" s="243" t="s">
        <v>26</v>
      </c>
      <c r="D47" s="243" t="s">
        <v>256</v>
      </c>
      <c r="E47" s="243" t="s">
        <v>83</v>
      </c>
      <c r="F47" s="245">
        <v>103.16873</v>
      </c>
      <c r="G47" s="246">
        <v>8.66</v>
      </c>
      <c r="I47" s="247"/>
    </row>
    <row r="48" spans="1:10" ht="20">
      <c r="A48" s="243" t="s">
        <v>413</v>
      </c>
      <c r="B48" s="244" t="s">
        <v>414</v>
      </c>
      <c r="C48" s="243" t="s">
        <v>443</v>
      </c>
      <c r="D48" s="243" t="s">
        <v>256</v>
      </c>
      <c r="E48" s="243" t="s">
        <v>70</v>
      </c>
      <c r="F48" s="245">
        <v>5.49</v>
      </c>
      <c r="G48" s="246">
        <f>COT_INSU!I18</f>
        <v>162.35</v>
      </c>
      <c r="I48" s="247"/>
      <c r="J48" s="247"/>
    </row>
    <row r="49" spans="1:9">
      <c r="A49" s="243">
        <v>43146</v>
      </c>
      <c r="B49" s="244" t="s">
        <v>488</v>
      </c>
      <c r="C49" s="243" t="s">
        <v>26</v>
      </c>
      <c r="D49" s="243" t="s">
        <v>256</v>
      </c>
      <c r="E49" s="243" t="s">
        <v>83</v>
      </c>
      <c r="F49" s="245">
        <v>76.52</v>
      </c>
      <c r="G49" s="246">
        <v>12.5</v>
      </c>
      <c r="I49" s="247"/>
    </row>
    <row r="50" spans="1:9">
      <c r="A50" s="243">
        <v>864</v>
      </c>
      <c r="B50" s="244" t="s">
        <v>349</v>
      </c>
      <c r="C50" s="243" t="s">
        <v>26</v>
      </c>
      <c r="D50" s="243" t="s">
        <v>256</v>
      </c>
      <c r="E50" s="243" t="s">
        <v>70</v>
      </c>
      <c r="F50" s="245">
        <v>10.5</v>
      </c>
      <c r="G50" s="246">
        <v>81.66</v>
      </c>
      <c r="I50" s="247"/>
    </row>
    <row r="51" spans="1:9">
      <c r="A51" s="243">
        <v>1213</v>
      </c>
      <c r="B51" s="244" t="s">
        <v>490</v>
      </c>
      <c r="C51" s="243" t="s">
        <v>26</v>
      </c>
      <c r="D51" s="243" t="s">
        <v>447</v>
      </c>
      <c r="E51" s="243" t="s">
        <v>265</v>
      </c>
      <c r="F51" s="245">
        <v>36.884041512480003</v>
      </c>
      <c r="G51" s="246">
        <v>19.260000000000002</v>
      </c>
      <c r="I51" s="247"/>
    </row>
    <row r="52" spans="1:9">
      <c r="A52" s="243">
        <v>4096</v>
      </c>
      <c r="B52" s="244" t="s">
        <v>492</v>
      </c>
      <c r="C52" s="243" t="s">
        <v>26</v>
      </c>
      <c r="D52" s="243" t="s">
        <v>447</v>
      </c>
      <c r="E52" s="243" t="s">
        <v>265</v>
      </c>
      <c r="F52" s="245">
        <v>26.69264738</v>
      </c>
      <c r="G52" s="246">
        <v>23.45</v>
      </c>
      <c r="I52" s="247"/>
    </row>
    <row r="53" spans="1:9" ht="20">
      <c r="A53" s="243">
        <v>7156</v>
      </c>
      <c r="B53" s="244" t="s">
        <v>494</v>
      </c>
      <c r="C53" s="243" t="s">
        <v>26</v>
      </c>
      <c r="D53" s="243" t="s">
        <v>256</v>
      </c>
      <c r="E53" s="243" t="s">
        <v>34</v>
      </c>
      <c r="F53" s="245">
        <v>23.321765599999999</v>
      </c>
      <c r="G53" s="246">
        <v>25.97</v>
      </c>
      <c r="I53" s="247"/>
    </row>
    <row r="54" spans="1:9" ht="20">
      <c r="A54" s="243">
        <v>43491</v>
      </c>
      <c r="B54" s="244" t="s">
        <v>496</v>
      </c>
      <c r="C54" s="243" t="s">
        <v>26</v>
      </c>
      <c r="D54" s="243" t="s">
        <v>462</v>
      </c>
      <c r="E54" s="243" t="s">
        <v>265</v>
      </c>
      <c r="F54" s="245">
        <v>454.14393290895998</v>
      </c>
      <c r="G54" s="246">
        <v>1.39</v>
      </c>
      <c r="I54" s="247"/>
    </row>
    <row r="55" spans="1:9">
      <c r="A55" s="243">
        <v>6194</v>
      </c>
      <c r="B55" s="244" t="s">
        <v>282</v>
      </c>
      <c r="C55" s="243" t="s">
        <v>26</v>
      </c>
      <c r="D55" s="243" t="s">
        <v>256</v>
      </c>
      <c r="E55" s="243" t="s">
        <v>70</v>
      </c>
      <c r="F55" s="245">
        <v>72.599999999999994</v>
      </c>
      <c r="G55" s="246">
        <v>8</v>
      </c>
      <c r="I55" s="247"/>
    </row>
    <row r="56" spans="1:9" ht="20">
      <c r="A56" s="243">
        <v>44474</v>
      </c>
      <c r="B56" s="244" t="s">
        <v>498</v>
      </c>
      <c r="C56" s="243" t="s">
        <v>26</v>
      </c>
      <c r="D56" s="243" t="s">
        <v>268</v>
      </c>
      <c r="E56" s="243" t="s">
        <v>14</v>
      </c>
      <c r="F56" s="245">
        <v>2.11385270754E-4</v>
      </c>
      <c r="G56" s="246">
        <v>2485831.6</v>
      </c>
      <c r="I56" s="247"/>
    </row>
    <row r="57" spans="1:9">
      <c r="A57" s="243">
        <v>4491</v>
      </c>
      <c r="B57" s="244" t="s">
        <v>280</v>
      </c>
      <c r="C57" s="243" t="s">
        <v>26</v>
      </c>
      <c r="D57" s="243" t="s">
        <v>256</v>
      </c>
      <c r="E57" s="243" t="s">
        <v>70</v>
      </c>
      <c r="F57" s="245">
        <v>45.258800000000001</v>
      </c>
      <c r="G57" s="246">
        <v>11.21</v>
      </c>
      <c r="I57" s="247"/>
    </row>
    <row r="58" spans="1:9">
      <c r="A58" s="243">
        <v>7307</v>
      </c>
      <c r="B58" s="244" t="s">
        <v>337</v>
      </c>
      <c r="C58" s="243" t="s">
        <v>26</v>
      </c>
      <c r="D58" s="243" t="s">
        <v>256</v>
      </c>
      <c r="E58" s="243" t="s">
        <v>335</v>
      </c>
      <c r="F58" s="245">
        <v>15.641403334848</v>
      </c>
      <c r="G58" s="246">
        <v>32.96</v>
      </c>
      <c r="I58" s="247"/>
    </row>
    <row r="59" spans="1:9">
      <c r="A59" s="243">
        <v>7311</v>
      </c>
      <c r="B59" s="244" t="s">
        <v>340</v>
      </c>
      <c r="C59" s="243" t="s">
        <v>26</v>
      </c>
      <c r="D59" s="243" t="s">
        <v>256</v>
      </c>
      <c r="E59" s="243" t="s">
        <v>335</v>
      </c>
      <c r="F59" s="245">
        <v>15.611940000000001</v>
      </c>
      <c r="G59" s="246">
        <v>31.56</v>
      </c>
      <c r="I59" s="247"/>
    </row>
    <row r="60" spans="1:9" ht="20">
      <c r="A60" s="243">
        <v>43498</v>
      </c>
      <c r="B60" s="244" t="s">
        <v>500</v>
      </c>
      <c r="C60" s="243" t="s">
        <v>26</v>
      </c>
      <c r="D60" s="243" t="s">
        <v>462</v>
      </c>
      <c r="E60" s="243" t="s">
        <v>29</v>
      </c>
      <c r="F60" s="245">
        <v>3</v>
      </c>
      <c r="G60" s="246">
        <v>146</v>
      </c>
      <c r="I60" s="247"/>
    </row>
    <row r="61" spans="1:9" ht="20">
      <c r="A61" s="243">
        <v>994</v>
      </c>
      <c r="B61" s="244" t="s">
        <v>344</v>
      </c>
      <c r="C61" s="243" t="s">
        <v>26</v>
      </c>
      <c r="D61" s="243" t="s">
        <v>256</v>
      </c>
      <c r="E61" s="243" t="s">
        <v>70</v>
      </c>
      <c r="F61" s="245">
        <v>62.17</v>
      </c>
      <c r="G61" s="246">
        <v>6.95</v>
      </c>
      <c r="I61" s="247"/>
    </row>
    <row r="62" spans="1:9" ht="20">
      <c r="A62" s="243">
        <v>12038</v>
      </c>
      <c r="B62" s="244" t="s">
        <v>399</v>
      </c>
      <c r="C62" s="243" t="s">
        <v>26</v>
      </c>
      <c r="D62" s="243" t="s">
        <v>256</v>
      </c>
      <c r="E62" s="243" t="s">
        <v>14</v>
      </c>
      <c r="F62" s="245">
        <v>1</v>
      </c>
      <c r="G62" s="246">
        <v>460.85</v>
      </c>
      <c r="I62" s="247"/>
    </row>
    <row r="63" spans="1:9" ht="20">
      <c r="A63" s="243">
        <v>1022</v>
      </c>
      <c r="B63" s="244" t="s">
        <v>342</v>
      </c>
      <c r="C63" s="243" t="s">
        <v>26</v>
      </c>
      <c r="D63" s="243" t="s">
        <v>256</v>
      </c>
      <c r="E63" s="243" t="s">
        <v>70</v>
      </c>
      <c r="F63" s="245">
        <v>124.34</v>
      </c>
      <c r="G63" s="246">
        <v>3.11</v>
      </c>
      <c r="I63" s="247"/>
    </row>
    <row r="64" spans="1:9">
      <c r="A64" s="243">
        <v>6117</v>
      </c>
      <c r="B64" s="244" t="s">
        <v>502</v>
      </c>
      <c r="C64" s="243" t="s">
        <v>26</v>
      </c>
      <c r="D64" s="243" t="s">
        <v>447</v>
      </c>
      <c r="E64" s="243" t="s">
        <v>265</v>
      </c>
      <c r="F64" s="245">
        <v>22.48155246428</v>
      </c>
      <c r="G64" s="246">
        <v>15.57</v>
      </c>
      <c r="I64" s="247"/>
    </row>
    <row r="65" spans="1:10" ht="30">
      <c r="A65" s="243">
        <v>10712</v>
      </c>
      <c r="B65" s="244" t="s">
        <v>504</v>
      </c>
      <c r="C65" s="243" t="s">
        <v>26</v>
      </c>
      <c r="D65" s="243" t="s">
        <v>268</v>
      </c>
      <c r="E65" s="243" t="s">
        <v>14</v>
      </c>
      <c r="F65" s="245">
        <v>3.3294000000000002E-3</v>
      </c>
      <c r="G65" s="246">
        <v>101983.98</v>
      </c>
      <c r="I65" s="247"/>
    </row>
    <row r="66" spans="1:10">
      <c r="A66" s="243">
        <v>20020</v>
      </c>
      <c r="B66" s="244" t="s">
        <v>506</v>
      </c>
      <c r="C66" s="243" t="s">
        <v>26</v>
      </c>
      <c r="D66" s="243" t="s">
        <v>447</v>
      </c>
      <c r="E66" s="243" t="s">
        <v>265</v>
      </c>
      <c r="F66" s="245">
        <v>14.825529465880001</v>
      </c>
      <c r="G66" s="246">
        <v>21.74</v>
      </c>
      <c r="I66" s="247"/>
    </row>
    <row r="67" spans="1:10" ht="20">
      <c r="A67" s="243" t="s">
        <v>370</v>
      </c>
      <c r="B67" s="244" t="s">
        <v>371</v>
      </c>
      <c r="C67" s="243" t="s">
        <v>443</v>
      </c>
      <c r="D67" s="243" t="s">
        <v>256</v>
      </c>
      <c r="E67" s="243" t="s">
        <v>70</v>
      </c>
      <c r="F67" s="245">
        <v>15.75</v>
      </c>
      <c r="G67" s="246">
        <f>COT_INSU!I32</f>
        <v>20.83</v>
      </c>
      <c r="I67" s="247"/>
      <c r="J67" s="247"/>
    </row>
    <row r="68" spans="1:10" ht="20">
      <c r="A68" s="243">
        <v>1014</v>
      </c>
      <c r="B68" s="244" t="s">
        <v>341</v>
      </c>
      <c r="C68" s="243" t="s">
        <v>26</v>
      </c>
      <c r="D68" s="243" t="s">
        <v>256</v>
      </c>
      <c r="E68" s="243" t="s">
        <v>70</v>
      </c>
      <c r="F68" s="245">
        <v>124.34</v>
      </c>
      <c r="G68" s="246">
        <v>2.62</v>
      </c>
      <c r="I68" s="247"/>
    </row>
    <row r="69" spans="1:10">
      <c r="A69" s="243">
        <v>10892</v>
      </c>
      <c r="B69" s="244" t="s">
        <v>404</v>
      </c>
      <c r="C69" s="243" t="s">
        <v>26</v>
      </c>
      <c r="D69" s="243" t="s">
        <v>256</v>
      </c>
      <c r="E69" s="243" t="s">
        <v>14</v>
      </c>
      <c r="F69" s="245">
        <v>1</v>
      </c>
      <c r="G69" s="246">
        <v>300</v>
      </c>
      <c r="I69" s="247"/>
    </row>
    <row r="70" spans="1:10">
      <c r="A70" s="243">
        <v>4791</v>
      </c>
      <c r="B70" s="244" t="s">
        <v>302</v>
      </c>
      <c r="C70" s="243" t="s">
        <v>26</v>
      </c>
      <c r="D70" s="243" t="s">
        <v>256</v>
      </c>
      <c r="E70" s="243" t="s">
        <v>83</v>
      </c>
      <c r="F70" s="245">
        <v>6.8868</v>
      </c>
      <c r="G70" s="246">
        <v>40.71</v>
      </c>
      <c r="I70" s="247"/>
    </row>
    <row r="71" spans="1:10" ht="20">
      <c r="A71" s="243">
        <v>43467</v>
      </c>
      <c r="B71" s="244" t="s">
        <v>508</v>
      </c>
      <c r="C71" s="243" t="s">
        <v>26</v>
      </c>
      <c r="D71" s="243" t="s">
        <v>462</v>
      </c>
      <c r="E71" s="243" t="s">
        <v>265</v>
      </c>
      <c r="F71" s="245">
        <v>454.14393290895998</v>
      </c>
      <c r="G71" s="246">
        <v>0.61</v>
      </c>
      <c r="I71" s="247"/>
    </row>
    <row r="72" spans="1:10">
      <c r="A72" s="243" t="s">
        <v>257</v>
      </c>
      <c r="B72" s="244" t="s">
        <v>258</v>
      </c>
      <c r="C72" s="243" t="s">
        <v>443</v>
      </c>
      <c r="D72" s="243" t="s">
        <v>256</v>
      </c>
      <c r="E72" s="243" t="s">
        <v>14</v>
      </c>
      <c r="F72" s="245">
        <v>1</v>
      </c>
      <c r="G72" s="246">
        <v>262.55</v>
      </c>
      <c r="I72" s="247"/>
      <c r="J72" s="247"/>
    </row>
    <row r="73" spans="1:10">
      <c r="A73" s="243">
        <v>36785</v>
      </c>
      <c r="B73" s="244" t="s">
        <v>510</v>
      </c>
      <c r="C73" s="243" t="s">
        <v>26</v>
      </c>
      <c r="D73" s="243" t="s">
        <v>256</v>
      </c>
      <c r="E73" s="243" t="s">
        <v>511</v>
      </c>
      <c r="F73" s="245">
        <v>1.9220656895999999</v>
      </c>
      <c r="G73" s="246">
        <v>116.02</v>
      </c>
      <c r="I73" s="247"/>
    </row>
    <row r="74" spans="1:10" ht="20">
      <c r="A74" s="243">
        <v>3379</v>
      </c>
      <c r="B74" s="244" t="s">
        <v>409</v>
      </c>
      <c r="C74" s="243" t="s">
        <v>26</v>
      </c>
      <c r="D74" s="243" t="s">
        <v>256</v>
      </c>
      <c r="E74" s="243" t="s">
        <v>14</v>
      </c>
      <c r="F74" s="245">
        <v>3</v>
      </c>
      <c r="G74" s="246">
        <v>74.290000000000006</v>
      </c>
      <c r="I74" s="247"/>
    </row>
    <row r="75" spans="1:10" ht="20">
      <c r="A75" s="243">
        <v>11029</v>
      </c>
      <c r="B75" s="244" t="s">
        <v>332</v>
      </c>
      <c r="C75" s="243" t="s">
        <v>26</v>
      </c>
      <c r="D75" s="243" t="s">
        <v>256</v>
      </c>
      <c r="E75" s="243" t="s">
        <v>58</v>
      </c>
      <c r="F75" s="245">
        <v>98.811499999999995</v>
      </c>
      <c r="G75" s="246">
        <v>2.23</v>
      </c>
      <c r="I75" s="247"/>
    </row>
    <row r="76" spans="1:10">
      <c r="A76" s="243">
        <v>4718</v>
      </c>
      <c r="B76" s="244" t="s">
        <v>513</v>
      </c>
      <c r="C76" s="243" t="s">
        <v>26</v>
      </c>
      <c r="D76" s="243" t="s">
        <v>256</v>
      </c>
      <c r="E76" s="243" t="s">
        <v>45</v>
      </c>
      <c r="F76" s="245">
        <v>2.2764700000000002</v>
      </c>
      <c r="G76" s="246">
        <v>100</v>
      </c>
      <c r="I76" s="247"/>
    </row>
    <row r="77" spans="1:10" ht="20">
      <c r="A77" s="243" t="s">
        <v>377</v>
      </c>
      <c r="B77" s="244" t="s">
        <v>378</v>
      </c>
      <c r="C77" s="243" t="s">
        <v>443</v>
      </c>
      <c r="D77" s="243" t="s">
        <v>256</v>
      </c>
      <c r="E77" s="243" t="s">
        <v>14</v>
      </c>
      <c r="F77" s="245">
        <v>1</v>
      </c>
      <c r="G77" s="246">
        <f>COT_INSU!I53</f>
        <v>212.14</v>
      </c>
      <c r="I77" s="247"/>
      <c r="J77" s="247"/>
    </row>
    <row r="78" spans="1:10">
      <c r="A78" s="243">
        <v>6160</v>
      </c>
      <c r="B78" s="244" t="s">
        <v>515</v>
      </c>
      <c r="C78" s="243" t="s">
        <v>26</v>
      </c>
      <c r="D78" s="243" t="s">
        <v>447</v>
      </c>
      <c r="E78" s="243" t="s">
        <v>265</v>
      </c>
      <c r="F78" s="245">
        <v>8.7264686880000006</v>
      </c>
      <c r="G78" s="246">
        <v>19.239999999999998</v>
      </c>
      <c r="I78" s="247"/>
    </row>
    <row r="79" spans="1:10" ht="20">
      <c r="A79" s="243">
        <v>37734</v>
      </c>
      <c r="B79" s="244" t="s">
        <v>517</v>
      </c>
      <c r="C79" s="243" t="s">
        <v>26</v>
      </c>
      <c r="D79" s="243" t="s">
        <v>268</v>
      </c>
      <c r="E79" s="243" t="s">
        <v>14</v>
      </c>
      <c r="F79" s="245">
        <v>2.0345883409999999E-3</v>
      </c>
      <c r="G79" s="246">
        <v>81699.7</v>
      </c>
      <c r="I79" s="247"/>
    </row>
    <row r="80" spans="1:10">
      <c r="A80" s="243">
        <v>11963</v>
      </c>
      <c r="B80" s="244" t="s">
        <v>324</v>
      </c>
      <c r="C80" s="243" t="s">
        <v>26</v>
      </c>
      <c r="D80" s="243" t="s">
        <v>256</v>
      </c>
      <c r="E80" s="243" t="s">
        <v>14</v>
      </c>
      <c r="F80" s="245">
        <v>16</v>
      </c>
      <c r="G80" s="246">
        <v>10.49</v>
      </c>
      <c r="I80" s="247"/>
    </row>
    <row r="81" spans="1:10">
      <c r="A81" s="243">
        <v>44497</v>
      </c>
      <c r="B81" s="244" t="s">
        <v>519</v>
      </c>
      <c r="C81" s="243" t="s">
        <v>26</v>
      </c>
      <c r="D81" s="243" t="s">
        <v>447</v>
      </c>
      <c r="E81" s="243" t="s">
        <v>265</v>
      </c>
      <c r="F81" s="245">
        <v>10.5405844032</v>
      </c>
      <c r="G81" s="246">
        <v>14.78</v>
      </c>
      <c r="I81" s="247"/>
    </row>
    <row r="82" spans="1:10" ht="20">
      <c r="A82" s="243">
        <v>43494</v>
      </c>
      <c r="B82" s="244" t="s">
        <v>521</v>
      </c>
      <c r="C82" s="243" t="s">
        <v>26</v>
      </c>
      <c r="D82" s="243" t="s">
        <v>462</v>
      </c>
      <c r="E82" s="243" t="s">
        <v>29</v>
      </c>
      <c r="F82" s="245">
        <v>1</v>
      </c>
      <c r="G82" s="246">
        <v>153.54</v>
      </c>
      <c r="I82" s="247"/>
    </row>
    <row r="83" spans="1:10" ht="20">
      <c r="A83" s="243">
        <v>10685</v>
      </c>
      <c r="B83" s="244" t="s">
        <v>523</v>
      </c>
      <c r="C83" s="243" t="s">
        <v>26</v>
      </c>
      <c r="D83" s="243" t="s">
        <v>268</v>
      </c>
      <c r="E83" s="243" t="s">
        <v>14</v>
      </c>
      <c r="F83" s="245">
        <v>1.8045833520000001E-4</v>
      </c>
      <c r="G83" s="246">
        <v>850000</v>
      </c>
      <c r="I83" s="247"/>
    </row>
    <row r="84" spans="1:10" ht="20">
      <c r="A84" s="243" t="s">
        <v>367</v>
      </c>
      <c r="B84" s="244" t="s">
        <v>368</v>
      </c>
      <c r="C84" s="243" t="s">
        <v>443</v>
      </c>
      <c r="D84" s="243" t="s">
        <v>256</v>
      </c>
      <c r="E84" s="243" t="s">
        <v>14</v>
      </c>
      <c r="F84" s="245">
        <v>44</v>
      </c>
      <c r="G84" s="246">
        <f>COT_INSU!I109</f>
        <v>3.3</v>
      </c>
      <c r="I84" s="247"/>
      <c r="J84" s="247"/>
    </row>
    <row r="85" spans="1:10" ht="20">
      <c r="A85" s="243" t="s">
        <v>392</v>
      </c>
      <c r="B85" s="244" t="s">
        <v>393</v>
      </c>
      <c r="C85" s="243" t="s">
        <v>443</v>
      </c>
      <c r="D85" s="243" t="s">
        <v>256</v>
      </c>
      <c r="E85" s="243" t="s">
        <v>14</v>
      </c>
      <c r="F85" s="245">
        <v>1</v>
      </c>
      <c r="G85" s="246">
        <f>COT_INSU!I60</f>
        <v>142.53</v>
      </c>
      <c r="I85" s="247"/>
      <c r="J85" s="247"/>
    </row>
    <row r="86" spans="1:10">
      <c r="A86" s="243">
        <v>4509</v>
      </c>
      <c r="B86" s="244" t="s">
        <v>273</v>
      </c>
      <c r="C86" s="243" t="s">
        <v>26</v>
      </c>
      <c r="D86" s="243" t="s">
        <v>256</v>
      </c>
      <c r="E86" s="243" t="s">
        <v>70</v>
      </c>
      <c r="F86" s="245">
        <v>25.666399999999999</v>
      </c>
      <c r="G86" s="246">
        <v>5.69</v>
      </c>
      <c r="I86" s="247"/>
    </row>
    <row r="87" spans="1:10" ht="20">
      <c r="A87" s="243" t="s">
        <v>373</v>
      </c>
      <c r="B87" s="244" t="s">
        <v>374</v>
      </c>
      <c r="C87" s="243" t="s">
        <v>443</v>
      </c>
      <c r="D87" s="243" t="s">
        <v>256</v>
      </c>
      <c r="E87" s="243" t="s">
        <v>70</v>
      </c>
      <c r="F87" s="245">
        <v>3</v>
      </c>
      <c r="G87" s="246">
        <f>COT_INSU!I25</f>
        <v>39.74</v>
      </c>
      <c r="I87" s="247"/>
      <c r="J87" s="247"/>
    </row>
    <row r="88" spans="1:10" ht="20">
      <c r="A88" s="243">
        <v>37752</v>
      </c>
      <c r="B88" s="244" t="s">
        <v>525</v>
      </c>
      <c r="C88" s="243" t="s">
        <v>26</v>
      </c>
      <c r="D88" s="243" t="s">
        <v>268</v>
      </c>
      <c r="E88" s="243" t="s">
        <v>14</v>
      </c>
      <c r="F88" s="245">
        <v>2.0521995999999999E-4</v>
      </c>
      <c r="G88" s="246">
        <v>578010.79</v>
      </c>
      <c r="I88" s="247"/>
    </row>
    <row r="89" spans="1:10" ht="20">
      <c r="A89" s="243">
        <v>42407</v>
      </c>
      <c r="B89" s="244" t="s">
        <v>527</v>
      </c>
      <c r="C89" s="243" t="s">
        <v>26</v>
      </c>
      <c r="D89" s="243" t="s">
        <v>256</v>
      </c>
      <c r="E89" s="243" t="s">
        <v>70</v>
      </c>
      <c r="F89" s="245">
        <v>19.157164600000002</v>
      </c>
      <c r="G89" s="246">
        <v>5.92</v>
      </c>
      <c r="I89" s="247"/>
    </row>
    <row r="90" spans="1:10" ht="20">
      <c r="A90" s="243">
        <v>43466</v>
      </c>
      <c r="B90" s="244" t="s">
        <v>529</v>
      </c>
      <c r="C90" s="243" t="s">
        <v>26</v>
      </c>
      <c r="D90" s="243" t="s">
        <v>462</v>
      </c>
      <c r="E90" s="243" t="s">
        <v>265</v>
      </c>
      <c r="F90" s="245">
        <v>56.600279820559997</v>
      </c>
      <c r="G90" s="246">
        <v>2.0499999999999998</v>
      </c>
      <c r="I90" s="247"/>
    </row>
    <row r="91" spans="1:10" ht="20">
      <c r="A91" s="243">
        <v>43489</v>
      </c>
      <c r="B91" s="244" t="s">
        <v>531</v>
      </c>
      <c r="C91" s="243" t="s">
        <v>26</v>
      </c>
      <c r="D91" s="243" t="s">
        <v>462</v>
      </c>
      <c r="E91" s="243" t="s">
        <v>265</v>
      </c>
      <c r="F91" s="245">
        <v>88.9221991</v>
      </c>
      <c r="G91" s="246">
        <v>1.31</v>
      </c>
      <c r="I91" s="247"/>
    </row>
    <row r="92" spans="1:10" ht="20">
      <c r="A92" s="243">
        <v>395</v>
      </c>
      <c r="B92" s="244" t="s">
        <v>375</v>
      </c>
      <c r="C92" s="243" t="s">
        <v>26</v>
      </c>
      <c r="D92" s="243" t="s">
        <v>256</v>
      </c>
      <c r="E92" s="243" t="s">
        <v>14</v>
      </c>
      <c r="F92" s="245">
        <v>22.5</v>
      </c>
      <c r="G92" s="246">
        <v>4.1399999999999997</v>
      </c>
      <c r="I92" s="247"/>
    </row>
    <row r="93" spans="1:10" ht="20">
      <c r="A93" s="243">
        <v>43490</v>
      </c>
      <c r="B93" s="244" t="s">
        <v>533</v>
      </c>
      <c r="C93" s="243" t="s">
        <v>26</v>
      </c>
      <c r="D93" s="243" t="s">
        <v>462</v>
      </c>
      <c r="E93" s="243" t="s">
        <v>265</v>
      </c>
      <c r="F93" s="245">
        <v>56.600279820559997</v>
      </c>
      <c r="G93" s="246">
        <v>1.85</v>
      </c>
      <c r="I93" s="247"/>
    </row>
    <row r="94" spans="1:10" ht="20">
      <c r="A94" s="243">
        <v>43483</v>
      </c>
      <c r="B94" s="244" t="s">
        <v>535</v>
      </c>
      <c r="C94" s="243" t="s">
        <v>26</v>
      </c>
      <c r="D94" s="243" t="s">
        <v>462</v>
      </c>
      <c r="E94" s="243" t="s">
        <v>265</v>
      </c>
      <c r="F94" s="245">
        <v>61.446483000000001</v>
      </c>
      <c r="G94" s="246">
        <v>1.43</v>
      </c>
      <c r="I94" s="247"/>
    </row>
    <row r="95" spans="1:10">
      <c r="A95" s="243">
        <v>21127</v>
      </c>
      <c r="B95" s="244" t="s">
        <v>299</v>
      </c>
      <c r="C95" s="243" t="s">
        <v>26</v>
      </c>
      <c r="D95" s="243" t="s">
        <v>256</v>
      </c>
      <c r="E95" s="243" t="s">
        <v>14</v>
      </c>
      <c r="F95" s="245">
        <v>23.998000000000001</v>
      </c>
      <c r="G95" s="246">
        <v>3.4</v>
      </c>
      <c r="I95" s="247"/>
    </row>
    <row r="96" spans="1:10">
      <c r="A96" s="243">
        <v>1333</v>
      </c>
      <c r="B96" s="244" t="s">
        <v>315</v>
      </c>
      <c r="C96" s="243" t="s">
        <v>26</v>
      </c>
      <c r="D96" s="243" t="s">
        <v>256</v>
      </c>
      <c r="E96" s="243" t="s">
        <v>83</v>
      </c>
      <c r="F96" s="245">
        <v>9.072756</v>
      </c>
      <c r="G96" s="246">
        <v>9.32</v>
      </c>
      <c r="I96" s="247"/>
    </row>
    <row r="97" spans="1:10" ht="20">
      <c r="A97" s="243">
        <v>43475</v>
      </c>
      <c r="B97" s="244" t="s">
        <v>537</v>
      </c>
      <c r="C97" s="243" t="s">
        <v>26</v>
      </c>
      <c r="D97" s="243" t="s">
        <v>462</v>
      </c>
      <c r="E97" s="243" t="s">
        <v>29</v>
      </c>
      <c r="F97" s="245">
        <v>4</v>
      </c>
      <c r="G97" s="246">
        <v>15.46</v>
      </c>
      <c r="I97" s="247"/>
    </row>
    <row r="98" spans="1:10" ht="20">
      <c r="A98" s="243">
        <v>43465</v>
      </c>
      <c r="B98" s="244" t="s">
        <v>539</v>
      </c>
      <c r="C98" s="243" t="s">
        <v>26</v>
      </c>
      <c r="D98" s="243" t="s">
        <v>462</v>
      </c>
      <c r="E98" s="243" t="s">
        <v>265</v>
      </c>
      <c r="F98" s="245">
        <v>88.9221991</v>
      </c>
      <c r="G98" s="246">
        <v>0.78</v>
      </c>
      <c r="I98" s="247"/>
    </row>
    <row r="99" spans="1:10" ht="20">
      <c r="A99" s="243" t="s">
        <v>361</v>
      </c>
      <c r="B99" s="244" t="s">
        <v>362</v>
      </c>
      <c r="C99" s="243" t="s">
        <v>443</v>
      </c>
      <c r="D99" s="243" t="s">
        <v>256</v>
      </c>
      <c r="E99" s="243" t="s">
        <v>14</v>
      </c>
      <c r="F99" s="245">
        <v>52</v>
      </c>
      <c r="G99" s="246">
        <f>COT_INSU!I95</f>
        <v>1.42</v>
      </c>
      <c r="I99" s="247"/>
      <c r="J99" s="247"/>
    </row>
    <row r="100" spans="1:10">
      <c r="A100" s="243">
        <v>5318</v>
      </c>
      <c r="B100" s="244" t="s">
        <v>334</v>
      </c>
      <c r="C100" s="243" t="s">
        <v>26</v>
      </c>
      <c r="D100" s="243" t="s">
        <v>256</v>
      </c>
      <c r="E100" s="243" t="s">
        <v>335</v>
      </c>
      <c r="F100" s="245">
        <v>3.5818423572000002</v>
      </c>
      <c r="G100" s="246">
        <v>19.29</v>
      </c>
      <c r="I100" s="247"/>
    </row>
    <row r="101" spans="1:10">
      <c r="A101" s="243">
        <v>4777</v>
      </c>
      <c r="B101" s="244" t="s">
        <v>326</v>
      </c>
      <c r="C101" s="243" t="s">
        <v>26</v>
      </c>
      <c r="D101" s="243" t="s">
        <v>256</v>
      </c>
      <c r="E101" s="243" t="s">
        <v>83</v>
      </c>
      <c r="F101" s="245">
        <v>7.3131912000000003</v>
      </c>
      <c r="G101" s="246">
        <v>8.02</v>
      </c>
      <c r="I101" s="247"/>
    </row>
    <row r="102" spans="1:10">
      <c r="A102" s="243">
        <v>12869</v>
      </c>
      <c r="B102" s="244" t="s">
        <v>541</v>
      </c>
      <c r="C102" s="243" t="s">
        <v>26</v>
      </c>
      <c r="D102" s="243" t="s">
        <v>447</v>
      </c>
      <c r="E102" s="243" t="s">
        <v>265</v>
      </c>
      <c r="F102" s="245">
        <v>2.9789114736000002</v>
      </c>
      <c r="G102" s="246">
        <v>19.03</v>
      </c>
      <c r="I102" s="247"/>
    </row>
    <row r="103" spans="1:10">
      <c r="A103" s="243">
        <v>4254</v>
      </c>
      <c r="B103" s="244" t="s">
        <v>543</v>
      </c>
      <c r="C103" s="243" t="s">
        <v>26</v>
      </c>
      <c r="D103" s="243" t="s">
        <v>447</v>
      </c>
      <c r="E103" s="243" t="s">
        <v>265</v>
      </c>
      <c r="F103" s="245">
        <v>2.3110470627300002</v>
      </c>
      <c r="G103" s="246">
        <v>24.88</v>
      </c>
      <c r="I103" s="247"/>
    </row>
    <row r="104" spans="1:10">
      <c r="A104" s="243">
        <v>2586</v>
      </c>
      <c r="B104" s="244" t="s">
        <v>382</v>
      </c>
      <c r="C104" s="243" t="s">
        <v>26</v>
      </c>
      <c r="D104" s="243" t="s">
        <v>256</v>
      </c>
      <c r="E104" s="243" t="s">
        <v>14</v>
      </c>
      <c r="F104" s="245">
        <v>3</v>
      </c>
      <c r="G104" s="246">
        <v>18.47</v>
      </c>
      <c r="I104" s="247"/>
    </row>
    <row r="105" spans="1:10">
      <c r="A105" s="243">
        <v>38102</v>
      </c>
      <c r="B105" s="244" t="s">
        <v>545</v>
      </c>
      <c r="C105" s="243" t="s">
        <v>26</v>
      </c>
      <c r="D105" s="243" t="s">
        <v>256</v>
      </c>
      <c r="E105" s="243" t="s">
        <v>14</v>
      </c>
      <c r="F105" s="245">
        <v>6</v>
      </c>
      <c r="G105" s="246">
        <v>9.25</v>
      </c>
      <c r="I105" s="247"/>
    </row>
    <row r="106" spans="1:10" ht="20">
      <c r="A106" s="243">
        <v>43488</v>
      </c>
      <c r="B106" s="244" t="s">
        <v>547</v>
      </c>
      <c r="C106" s="243" t="s">
        <v>26</v>
      </c>
      <c r="D106" s="243" t="s">
        <v>462</v>
      </c>
      <c r="E106" s="243" t="s">
        <v>265</v>
      </c>
      <c r="F106" s="245">
        <v>59.563947558368</v>
      </c>
      <c r="G106" s="246">
        <v>0.89</v>
      </c>
      <c r="I106" s="247"/>
    </row>
    <row r="107" spans="1:10">
      <c r="A107" s="243">
        <v>1379</v>
      </c>
      <c r="B107" s="244" t="s">
        <v>304</v>
      </c>
      <c r="C107" s="243" t="s">
        <v>26</v>
      </c>
      <c r="D107" s="243" t="s">
        <v>256</v>
      </c>
      <c r="E107" s="243" t="s">
        <v>83</v>
      </c>
      <c r="F107" s="245">
        <v>71.433669899999998</v>
      </c>
      <c r="G107" s="246">
        <v>0.7</v>
      </c>
      <c r="I107" s="247"/>
    </row>
    <row r="108" spans="1:10">
      <c r="A108" s="243">
        <v>5061</v>
      </c>
      <c r="B108" s="244" t="s">
        <v>281</v>
      </c>
      <c r="C108" s="243" t="s">
        <v>26</v>
      </c>
      <c r="D108" s="243" t="s">
        <v>256</v>
      </c>
      <c r="E108" s="243" t="s">
        <v>83</v>
      </c>
      <c r="F108" s="245">
        <v>2.4683999999999999</v>
      </c>
      <c r="G108" s="246">
        <v>20</v>
      </c>
      <c r="I108" s="247"/>
    </row>
    <row r="109" spans="1:10">
      <c r="A109" s="243">
        <v>38774</v>
      </c>
      <c r="B109" s="244" t="s">
        <v>394</v>
      </c>
      <c r="C109" s="243" t="s">
        <v>26</v>
      </c>
      <c r="D109" s="243" t="s">
        <v>256</v>
      </c>
      <c r="E109" s="243" t="s">
        <v>14</v>
      </c>
      <c r="F109" s="245">
        <v>4</v>
      </c>
      <c r="G109" s="246">
        <v>10.87</v>
      </c>
      <c r="I109" s="247"/>
    </row>
    <row r="110" spans="1:10">
      <c r="A110" s="243">
        <v>42408</v>
      </c>
      <c r="B110" s="244" t="s">
        <v>549</v>
      </c>
      <c r="C110" s="243" t="s">
        <v>26</v>
      </c>
      <c r="D110" s="243" t="s">
        <v>256</v>
      </c>
      <c r="E110" s="243" t="s">
        <v>34</v>
      </c>
      <c r="F110" s="245">
        <v>19.895199999999999</v>
      </c>
      <c r="G110" s="246">
        <v>2.42</v>
      </c>
      <c r="I110" s="247"/>
    </row>
    <row r="111" spans="1:10" ht="20">
      <c r="A111" s="243">
        <v>6193</v>
      </c>
      <c r="B111" s="244" t="s">
        <v>551</v>
      </c>
      <c r="C111" s="243" t="s">
        <v>26</v>
      </c>
      <c r="D111" s="243" t="s">
        <v>256</v>
      </c>
      <c r="E111" s="243" t="s">
        <v>70</v>
      </c>
      <c r="F111" s="245">
        <v>2.6399400000000002</v>
      </c>
      <c r="G111" s="246">
        <v>16.84</v>
      </c>
      <c r="I111" s="247"/>
    </row>
    <row r="112" spans="1:10">
      <c r="A112" s="243">
        <v>7340</v>
      </c>
      <c r="B112" s="244" t="s">
        <v>553</v>
      </c>
      <c r="C112" s="243" t="s">
        <v>26</v>
      </c>
      <c r="D112" s="243" t="s">
        <v>256</v>
      </c>
      <c r="E112" s="243" t="s">
        <v>335</v>
      </c>
      <c r="F112" s="245">
        <v>1.3028</v>
      </c>
      <c r="G112" s="246">
        <v>33.5</v>
      </c>
      <c r="I112" s="247"/>
    </row>
    <row r="113" spans="1:10" ht="20">
      <c r="A113" s="243" t="s">
        <v>353</v>
      </c>
      <c r="B113" s="244" t="s">
        <v>354</v>
      </c>
      <c r="C113" s="243" t="s">
        <v>443</v>
      </c>
      <c r="D113" s="243" t="s">
        <v>256</v>
      </c>
      <c r="E113" s="243" t="s">
        <v>14</v>
      </c>
      <c r="F113" s="245">
        <v>65</v>
      </c>
      <c r="G113" s="246">
        <f>COT_INSU!I102</f>
        <v>0.64</v>
      </c>
      <c r="I113" s="247"/>
      <c r="J113" s="247"/>
    </row>
    <row r="114" spans="1:10">
      <c r="A114" s="243">
        <v>4234</v>
      </c>
      <c r="B114" s="244" t="s">
        <v>555</v>
      </c>
      <c r="C114" s="243" t="s">
        <v>26</v>
      </c>
      <c r="D114" s="243" t="s">
        <v>447</v>
      </c>
      <c r="E114" s="243" t="s">
        <v>265</v>
      </c>
      <c r="F114" s="245">
        <v>1.79790728832</v>
      </c>
      <c r="G114" s="246">
        <v>20.93</v>
      </c>
      <c r="I114" s="247"/>
    </row>
    <row r="115" spans="1:10" ht="20">
      <c r="A115" s="243" t="s">
        <v>358</v>
      </c>
      <c r="B115" s="244" t="s">
        <v>359</v>
      </c>
      <c r="C115" s="243" t="s">
        <v>443</v>
      </c>
      <c r="D115" s="243" t="s">
        <v>256</v>
      </c>
      <c r="E115" s="243" t="s">
        <v>14</v>
      </c>
      <c r="F115" s="245">
        <v>30</v>
      </c>
      <c r="G115" s="246">
        <f>COT_INSU!I88</f>
        <v>1.1200000000000001</v>
      </c>
      <c r="I115" s="247"/>
      <c r="J115" s="247"/>
    </row>
    <row r="116" spans="1:10">
      <c r="A116" s="243">
        <v>40549</v>
      </c>
      <c r="B116" s="244" t="s">
        <v>329</v>
      </c>
      <c r="C116" s="243" t="s">
        <v>26</v>
      </c>
      <c r="D116" s="243" t="s">
        <v>256</v>
      </c>
      <c r="E116" s="243" t="s">
        <v>330</v>
      </c>
      <c r="F116" s="245">
        <v>0.16667000000000001</v>
      </c>
      <c r="G116" s="246">
        <v>205.62</v>
      </c>
      <c r="I116" s="247"/>
    </row>
    <row r="117" spans="1:10">
      <c r="A117" s="243">
        <v>44079</v>
      </c>
      <c r="B117" s="244" t="s">
        <v>385</v>
      </c>
      <c r="C117" s="243" t="s">
        <v>26</v>
      </c>
      <c r="D117" s="243" t="s">
        <v>256</v>
      </c>
      <c r="E117" s="243" t="s">
        <v>14</v>
      </c>
      <c r="F117" s="245">
        <v>2</v>
      </c>
      <c r="G117" s="246">
        <v>16.329999999999998</v>
      </c>
      <c r="I117" s="247"/>
    </row>
    <row r="118" spans="1:10">
      <c r="A118" s="243">
        <v>2590</v>
      </c>
      <c r="B118" s="244" t="s">
        <v>384</v>
      </c>
      <c r="C118" s="243" t="s">
        <v>26</v>
      </c>
      <c r="D118" s="243" t="s">
        <v>256</v>
      </c>
      <c r="E118" s="243" t="s">
        <v>14</v>
      </c>
      <c r="F118" s="245">
        <v>2</v>
      </c>
      <c r="G118" s="246">
        <v>16.16</v>
      </c>
      <c r="I118" s="247"/>
    </row>
    <row r="119" spans="1:10" ht="20">
      <c r="A119" s="243">
        <v>43459</v>
      </c>
      <c r="B119" s="244" t="s">
        <v>557</v>
      </c>
      <c r="C119" s="243" t="s">
        <v>26</v>
      </c>
      <c r="D119" s="243" t="s">
        <v>462</v>
      </c>
      <c r="E119" s="243" t="s">
        <v>265</v>
      </c>
      <c r="F119" s="245">
        <v>61.446483000000001</v>
      </c>
      <c r="G119" s="246">
        <v>0.44</v>
      </c>
      <c r="I119" s="247"/>
    </row>
    <row r="120" spans="1:10">
      <c r="A120" s="243">
        <v>378</v>
      </c>
      <c r="B120" s="244" t="s">
        <v>559</v>
      </c>
      <c r="C120" s="243" t="s">
        <v>26</v>
      </c>
      <c r="D120" s="243" t="s">
        <v>447</v>
      </c>
      <c r="E120" s="243" t="s">
        <v>265</v>
      </c>
      <c r="F120" s="245">
        <v>1.4468252232959999</v>
      </c>
      <c r="G120" s="246">
        <v>19.48</v>
      </c>
      <c r="I120" s="247"/>
    </row>
    <row r="121" spans="1:10" ht="20">
      <c r="A121" s="243" t="s">
        <v>407</v>
      </c>
      <c r="B121" s="244" t="s">
        <v>408</v>
      </c>
      <c r="C121" s="243" t="s">
        <v>443</v>
      </c>
      <c r="D121" s="243" t="s">
        <v>256</v>
      </c>
      <c r="E121" s="243" t="s">
        <v>14</v>
      </c>
      <c r="F121" s="245">
        <v>3</v>
      </c>
      <c r="G121" s="246">
        <f>COT_INSU!I39</f>
        <v>8.56</v>
      </c>
      <c r="I121" s="247"/>
      <c r="J121" s="247"/>
    </row>
    <row r="122" spans="1:10">
      <c r="A122" s="243">
        <v>2588</v>
      </c>
      <c r="B122" s="244" t="s">
        <v>383</v>
      </c>
      <c r="C122" s="243" t="s">
        <v>26</v>
      </c>
      <c r="D122" s="243" t="s">
        <v>256</v>
      </c>
      <c r="E122" s="243" t="s">
        <v>14</v>
      </c>
      <c r="F122" s="245">
        <v>1</v>
      </c>
      <c r="G122" s="246">
        <v>24.2</v>
      </c>
      <c r="I122" s="247"/>
    </row>
    <row r="123" spans="1:10">
      <c r="A123" s="243">
        <v>370</v>
      </c>
      <c r="B123" s="244" t="s">
        <v>561</v>
      </c>
      <c r="C123" s="243" t="s">
        <v>26</v>
      </c>
      <c r="D123" s="243" t="s">
        <v>256</v>
      </c>
      <c r="E123" s="243" t="s">
        <v>45</v>
      </c>
      <c r="F123" s="245">
        <v>0.18905693400000001</v>
      </c>
      <c r="G123" s="246">
        <v>140</v>
      </c>
      <c r="I123" s="247"/>
    </row>
    <row r="124" spans="1:10">
      <c r="A124" s="243">
        <v>4230</v>
      </c>
      <c r="B124" s="244" t="s">
        <v>563</v>
      </c>
      <c r="C124" s="243" t="s">
        <v>26</v>
      </c>
      <c r="D124" s="243" t="s">
        <v>447</v>
      </c>
      <c r="E124" s="243" t="s">
        <v>265</v>
      </c>
      <c r="F124" s="245">
        <v>1.2138081119999999</v>
      </c>
      <c r="G124" s="246">
        <v>19.45</v>
      </c>
      <c r="I124" s="247"/>
    </row>
    <row r="125" spans="1:10">
      <c r="A125" s="243">
        <v>4251</v>
      </c>
      <c r="B125" s="244" t="s">
        <v>565</v>
      </c>
      <c r="C125" s="243" t="s">
        <v>26</v>
      </c>
      <c r="D125" s="243" t="s">
        <v>447</v>
      </c>
      <c r="E125" s="243" t="s">
        <v>265</v>
      </c>
      <c r="F125" s="245">
        <v>1.3121892489191271</v>
      </c>
      <c r="G125" s="246">
        <v>17.64</v>
      </c>
      <c r="I125" s="247"/>
    </row>
    <row r="126" spans="1:10">
      <c r="A126" s="243">
        <v>38101</v>
      </c>
      <c r="B126" s="244" t="s">
        <v>567</v>
      </c>
      <c r="C126" s="243" t="s">
        <v>26</v>
      </c>
      <c r="D126" s="243" t="s">
        <v>256</v>
      </c>
      <c r="E126" s="243" t="s">
        <v>14</v>
      </c>
      <c r="F126" s="245">
        <v>3</v>
      </c>
      <c r="G126" s="246">
        <v>7.23</v>
      </c>
      <c r="I126" s="247"/>
    </row>
    <row r="127" spans="1:10">
      <c r="A127" s="243">
        <v>44499</v>
      </c>
      <c r="B127" s="244" t="s">
        <v>569</v>
      </c>
      <c r="C127" s="243" t="s">
        <v>26</v>
      </c>
      <c r="D127" s="243" t="s">
        <v>447</v>
      </c>
      <c r="E127" s="243" t="s">
        <v>265</v>
      </c>
      <c r="F127" s="245">
        <v>1.2665189375999999</v>
      </c>
      <c r="G127" s="246">
        <v>15.57</v>
      </c>
      <c r="I127" s="247"/>
    </row>
    <row r="128" spans="1:10" ht="20">
      <c r="A128" s="243">
        <v>37373</v>
      </c>
      <c r="B128" s="244" t="s">
        <v>571</v>
      </c>
      <c r="C128" s="243" t="s">
        <v>26</v>
      </c>
      <c r="D128" s="243" t="s">
        <v>462</v>
      </c>
      <c r="E128" s="243" t="s">
        <v>265</v>
      </c>
      <c r="F128" s="245">
        <v>1915.360167187888</v>
      </c>
      <c r="G128" s="246">
        <v>0.08</v>
      </c>
      <c r="I128" s="247"/>
    </row>
    <row r="129" spans="1:10">
      <c r="A129" s="243">
        <v>2581</v>
      </c>
      <c r="B129" s="244" t="s">
        <v>381</v>
      </c>
      <c r="C129" s="243" t="s">
        <v>26</v>
      </c>
      <c r="D129" s="243" t="s">
        <v>256</v>
      </c>
      <c r="E129" s="243" t="s">
        <v>14</v>
      </c>
      <c r="F129" s="245">
        <v>1</v>
      </c>
      <c r="G129" s="246">
        <v>17.670000000000002</v>
      </c>
      <c r="I129" s="247"/>
    </row>
    <row r="130" spans="1:10">
      <c r="A130" s="243">
        <v>10997</v>
      </c>
      <c r="B130" s="244" t="s">
        <v>316</v>
      </c>
      <c r="C130" s="243" t="s">
        <v>26</v>
      </c>
      <c r="D130" s="243" t="s">
        <v>256</v>
      </c>
      <c r="E130" s="243" t="s">
        <v>83</v>
      </c>
      <c r="F130" s="245">
        <v>0.61614000000000002</v>
      </c>
      <c r="G130" s="246">
        <v>28.48</v>
      </c>
      <c r="I130" s="247"/>
    </row>
    <row r="131" spans="1:10" ht="20">
      <c r="A131" s="243">
        <v>4350</v>
      </c>
      <c r="B131" s="244" t="s">
        <v>376</v>
      </c>
      <c r="C131" s="243" t="s">
        <v>26</v>
      </c>
      <c r="D131" s="243" t="s">
        <v>256</v>
      </c>
      <c r="E131" s="243" t="s">
        <v>14</v>
      </c>
      <c r="F131" s="245">
        <v>25.625</v>
      </c>
      <c r="G131" s="246">
        <v>0.7</v>
      </c>
      <c r="I131" s="247"/>
    </row>
    <row r="132" spans="1:10" ht="30">
      <c r="A132" s="243">
        <v>3363</v>
      </c>
      <c r="B132" s="244" t="s">
        <v>573</v>
      </c>
      <c r="C132" s="243" t="s">
        <v>26</v>
      </c>
      <c r="D132" s="243" t="s">
        <v>268</v>
      </c>
      <c r="E132" s="243" t="s">
        <v>14</v>
      </c>
      <c r="F132" s="245">
        <v>1.1380588000000001E-4</v>
      </c>
      <c r="G132" s="246">
        <v>143450</v>
      </c>
      <c r="I132" s="247"/>
    </row>
    <row r="133" spans="1:10">
      <c r="A133" s="243">
        <v>43132</v>
      </c>
      <c r="B133" s="244" t="s">
        <v>575</v>
      </c>
      <c r="C133" s="243" t="s">
        <v>26</v>
      </c>
      <c r="D133" s="243" t="s">
        <v>256</v>
      </c>
      <c r="E133" s="243" t="s">
        <v>83</v>
      </c>
      <c r="F133" s="245">
        <v>0.6544373</v>
      </c>
      <c r="G133" s="246">
        <v>25</v>
      </c>
      <c r="I133" s="247"/>
    </row>
    <row r="134" spans="1:10" ht="20">
      <c r="A134" s="243">
        <v>43492</v>
      </c>
      <c r="B134" s="244" t="s">
        <v>577</v>
      </c>
      <c r="C134" s="243" t="s">
        <v>26</v>
      </c>
      <c r="D134" s="243" t="s">
        <v>462</v>
      </c>
      <c r="E134" s="243" t="s">
        <v>265</v>
      </c>
      <c r="F134" s="245">
        <v>8.6120999999999999</v>
      </c>
      <c r="G134" s="246">
        <v>1.82</v>
      </c>
      <c r="I134" s="247"/>
    </row>
    <row r="135" spans="1:10" ht="20">
      <c r="A135" s="243" t="s">
        <v>386</v>
      </c>
      <c r="B135" s="244" t="s">
        <v>387</v>
      </c>
      <c r="C135" s="243" t="s">
        <v>443</v>
      </c>
      <c r="D135" s="243" t="s">
        <v>256</v>
      </c>
      <c r="E135" s="243" t="s">
        <v>14</v>
      </c>
      <c r="F135" s="245">
        <v>2</v>
      </c>
      <c r="G135" s="246">
        <f>COT_INSU!I116</f>
        <v>6.72</v>
      </c>
      <c r="I135" s="247"/>
      <c r="J135" s="247"/>
    </row>
    <row r="136" spans="1:10">
      <c r="A136" s="243">
        <v>4721</v>
      </c>
      <c r="B136" s="244" t="s">
        <v>579</v>
      </c>
      <c r="C136" s="243" t="s">
        <v>26</v>
      </c>
      <c r="D136" s="243" t="s">
        <v>256</v>
      </c>
      <c r="E136" s="243" t="s">
        <v>45</v>
      </c>
      <c r="F136" s="245">
        <v>0.13221585299999999</v>
      </c>
      <c r="G136" s="246">
        <v>99.47</v>
      </c>
      <c r="I136" s="247"/>
    </row>
    <row r="137" spans="1:10">
      <c r="A137" s="243">
        <v>38112</v>
      </c>
      <c r="B137" s="244" t="s">
        <v>581</v>
      </c>
      <c r="C137" s="243" t="s">
        <v>26</v>
      </c>
      <c r="D137" s="243" t="s">
        <v>256</v>
      </c>
      <c r="E137" s="243" t="s">
        <v>14</v>
      </c>
      <c r="F137" s="245">
        <v>2</v>
      </c>
      <c r="G137" s="246">
        <v>6.35</v>
      </c>
      <c r="I137" s="247"/>
    </row>
    <row r="138" spans="1:10">
      <c r="A138" s="243">
        <v>2705</v>
      </c>
      <c r="B138" s="244" t="s">
        <v>583</v>
      </c>
      <c r="C138" s="243" t="s">
        <v>26</v>
      </c>
      <c r="D138" s="243" t="s">
        <v>584</v>
      </c>
      <c r="E138" s="243" t="s">
        <v>585</v>
      </c>
      <c r="F138" s="245">
        <v>15.86113482</v>
      </c>
      <c r="G138" s="246">
        <v>0.75</v>
      </c>
      <c r="I138" s="247"/>
    </row>
    <row r="139" spans="1:10" ht="20">
      <c r="A139" s="243">
        <v>43470</v>
      </c>
      <c r="B139" s="244" t="s">
        <v>587</v>
      </c>
      <c r="C139" s="243" t="s">
        <v>26</v>
      </c>
      <c r="D139" s="243" t="s">
        <v>462</v>
      </c>
      <c r="E139" s="243" t="s">
        <v>29</v>
      </c>
      <c r="F139" s="245">
        <v>1</v>
      </c>
      <c r="G139" s="246">
        <v>11.14</v>
      </c>
      <c r="I139" s="247"/>
    </row>
    <row r="140" spans="1:10" ht="20">
      <c r="A140" s="243">
        <v>43468</v>
      </c>
      <c r="B140" s="244" t="s">
        <v>589</v>
      </c>
      <c r="C140" s="243" t="s">
        <v>26</v>
      </c>
      <c r="D140" s="243" t="s">
        <v>462</v>
      </c>
      <c r="E140" s="243" t="s">
        <v>265</v>
      </c>
      <c r="F140" s="245">
        <v>8.6120999999999999</v>
      </c>
      <c r="G140" s="246">
        <v>1.21</v>
      </c>
      <c r="I140" s="247"/>
    </row>
    <row r="141" spans="1:10" ht="20">
      <c r="A141" s="243" t="s">
        <v>402</v>
      </c>
      <c r="B141" s="244" t="s">
        <v>403</v>
      </c>
      <c r="C141" s="243" t="s">
        <v>443</v>
      </c>
      <c r="D141" s="243" t="s">
        <v>256</v>
      </c>
      <c r="E141" s="243" t="s">
        <v>14</v>
      </c>
      <c r="F141" s="245">
        <v>3</v>
      </c>
      <c r="G141" s="246">
        <f>COT_INSU!I137</f>
        <v>3.48</v>
      </c>
      <c r="I141" s="247"/>
      <c r="J141" s="247"/>
    </row>
    <row r="142" spans="1:10">
      <c r="A142" s="243">
        <v>38094</v>
      </c>
      <c r="B142" s="244" t="s">
        <v>591</v>
      </c>
      <c r="C142" s="243" t="s">
        <v>26</v>
      </c>
      <c r="D142" s="243" t="s">
        <v>256</v>
      </c>
      <c r="E142" s="243" t="s">
        <v>14</v>
      </c>
      <c r="F142" s="245">
        <v>4</v>
      </c>
      <c r="G142" s="246">
        <v>2.69</v>
      </c>
      <c r="I142" s="247"/>
    </row>
    <row r="143" spans="1:10">
      <c r="A143" s="243">
        <v>2696</v>
      </c>
      <c r="B143" s="244" t="s">
        <v>593</v>
      </c>
      <c r="C143" s="243" t="s">
        <v>26</v>
      </c>
      <c r="D143" s="243" t="s">
        <v>447</v>
      </c>
      <c r="E143" s="243" t="s">
        <v>265</v>
      </c>
      <c r="F143" s="245">
        <v>0.46686818000000002</v>
      </c>
      <c r="G143" s="246">
        <v>19.18</v>
      </c>
      <c r="I143" s="247"/>
    </row>
    <row r="144" spans="1:10" ht="20">
      <c r="A144" s="243" t="s">
        <v>364</v>
      </c>
      <c r="B144" s="244" t="s">
        <v>365</v>
      </c>
      <c r="C144" s="243" t="s">
        <v>443</v>
      </c>
      <c r="D144" s="243" t="s">
        <v>256</v>
      </c>
      <c r="E144" s="243" t="s">
        <v>14</v>
      </c>
      <c r="F144" s="245">
        <v>4</v>
      </c>
      <c r="G144" s="246">
        <f>COT_INSU!I74</f>
        <v>2.11</v>
      </c>
      <c r="I144" s="247"/>
      <c r="J144" s="247"/>
    </row>
    <row r="145" spans="1:10">
      <c r="A145" s="243">
        <v>6114</v>
      </c>
      <c r="B145" s="244" t="s">
        <v>595</v>
      </c>
      <c r="C145" s="243" t="s">
        <v>26</v>
      </c>
      <c r="D145" s="243" t="s">
        <v>447</v>
      </c>
      <c r="E145" s="243" t="s">
        <v>265</v>
      </c>
      <c r="F145" s="245">
        <v>0.48227507443200002</v>
      </c>
      <c r="G145" s="246">
        <v>15.57</v>
      </c>
      <c r="I145" s="247"/>
    </row>
    <row r="146" spans="1:10">
      <c r="A146" s="243">
        <v>246</v>
      </c>
      <c r="B146" s="244" t="s">
        <v>597</v>
      </c>
      <c r="C146" s="243" t="s">
        <v>26</v>
      </c>
      <c r="D146" s="243" t="s">
        <v>447</v>
      </c>
      <c r="E146" s="243" t="s">
        <v>265</v>
      </c>
      <c r="F146" s="245">
        <v>0.46686818000000002</v>
      </c>
      <c r="G146" s="246">
        <v>15.57</v>
      </c>
      <c r="I146" s="247"/>
    </row>
    <row r="147" spans="1:10">
      <c r="A147" s="243">
        <v>4253</v>
      </c>
      <c r="B147" s="244" t="s">
        <v>599</v>
      </c>
      <c r="C147" s="243" t="s">
        <v>26</v>
      </c>
      <c r="D147" s="243" t="s">
        <v>447</v>
      </c>
      <c r="E147" s="243" t="s">
        <v>265</v>
      </c>
      <c r="F147" s="245">
        <v>0.44636226039999999</v>
      </c>
      <c r="G147" s="246">
        <v>16.079999999999998</v>
      </c>
      <c r="I147" s="247"/>
    </row>
    <row r="148" spans="1:10" ht="20">
      <c r="A148" s="243">
        <v>43474</v>
      </c>
      <c r="B148" s="244" t="s">
        <v>601</v>
      </c>
      <c r="C148" s="243" t="s">
        <v>26</v>
      </c>
      <c r="D148" s="243" t="s">
        <v>462</v>
      </c>
      <c r="E148" s="243" t="s">
        <v>29</v>
      </c>
      <c r="F148" s="245">
        <v>3</v>
      </c>
      <c r="G148" s="246">
        <v>2.35</v>
      </c>
      <c r="I148" s="247"/>
    </row>
    <row r="149" spans="1:10" ht="20">
      <c r="A149" s="243">
        <v>36522</v>
      </c>
      <c r="B149" s="244" t="s">
        <v>603</v>
      </c>
      <c r="C149" s="243" t="s">
        <v>26</v>
      </c>
      <c r="D149" s="243" t="s">
        <v>268</v>
      </c>
      <c r="E149" s="243" t="s">
        <v>14</v>
      </c>
      <c r="F149" s="245">
        <v>5.4836173736971202E-5</v>
      </c>
      <c r="G149" s="246">
        <v>98588.33</v>
      </c>
      <c r="I149" s="247"/>
    </row>
    <row r="150" spans="1:10" ht="20">
      <c r="A150" s="243">
        <v>38099</v>
      </c>
      <c r="B150" s="244" t="s">
        <v>605</v>
      </c>
      <c r="C150" s="243" t="s">
        <v>26</v>
      </c>
      <c r="D150" s="243" t="s">
        <v>256</v>
      </c>
      <c r="E150" s="243" t="s">
        <v>14</v>
      </c>
      <c r="F150" s="245">
        <v>4</v>
      </c>
      <c r="G150" s="246">
        <v>1.4</v>
      </c>
      <c r="I150" s="247"/>
    </row>
    <row r="151" spans="1:10" ht="20">
      <c r="A151" s="243" t="s">
        <v>350</v>
      </c>
      <c r="B151" s="244" t="s">
        <v>351</v>
      </c>
      <c r="C151" s="243" t="s">
        <v>443</v>
      </c>
      <c r="D151" s="243" t="s">
        <v>256</v>
      </c>
      <c r="E151" s="243" t="s">
        <v>14</v>
      </c>
      <c r="F151" s="245">
        <v>10</v>
      </c>
      <c r="G151" s="246">
        <f>COT_INSU!I67</f>
        <v>0.41</v>
      </c>
      <c r="I151" s="247"/>
      <c r="J151" s="247"/>
    </row>
    <row r="152" spans="1:10">
      <c r="A152" s="243">
        <v>4222</v>
      </c>
      <c r="B152" s="244" t="s">
        <v>607</v>
      </c>
      <c r="C152" s="243" t="s">
        <v>26</v>
      </c>
      <c r="D152" s="243" t="s">
        <v>256</v>
      </c>
      <c r="E152" s="243" t="s">
        <v>335</v>
      </c>
      <c r="F152" s="245">
        <v>0.65349419099999995</v>
      </c>
      <c r="G152" s="246">
        <v>6.27</v>
      </c>
      <c r="I152" s="247"/>
    </row>
    <row r="153" spans="1:10" ht="20">
      <c r="A153" s="243" t="s">
        <v>400</v>
      </c>
      <c r="B153" s="244" t="s">
        <v>401</v>
      </c>
      <c r="C153" s="243" t="s">
        <v>443</v>
      </c>
      <c r="D153" s="243" t="s">
        <v>256</v>
      </c>
      <c r="E153" s="243" t="s">
        <v>14</v>
      </c>
      <c r="F153" s="245">
        <v>1</v>
      </c>
      <c r="G153" s="246">
        <f>COT_INSU!I130</f>
        <v>3.98</v>
      </c>
      <c r="I153" s="247"/>
      <c r="J153" s="247"/>
    </row>
    <row r="154" spans="1:10">
      <c r="A154" s="243">
        <v>5068</v>
      </c>
      <c r="B154" s="244" t="s">
        <v>609</v>
      </c>
      <c r="C154" s="243" t="s">
        <v>26</v>
      </c>
      <c r="D154" s="243" t="s">
        <v>256</v>
      </c>
      <c r="E154" s="243" t="s">
        <v>83</v>
      </c>
      <c r="F154" s="245">
        <v>0.18173500000000001</v>
      </c>
      <c r="G154" s="246">
        <v>20.34</v>
      </c>
      <c r="I154" s="247"/>
    </row>
    <row r="155" spans="1:10">
      <c r="A155" s="243">
        <v>5065</v>
      </c>
      <c r="B155" s="244" t="s">
        <v>271</v>
      </c>
      <c r="C155" s="243" t="s">
        <v>26</v>
      </c>
      <c r="D155" s="243" t="s">
        <v>256</v>
      </c>
      <c r="E155" s="243" t="s">
        <v>83</v>
      </c>
      <c r="F155" s="245">
        <v>9.0399999999999994E-2</v>
      </c>
      <c r="G155" s="246">
        <v>38.700000000000003</v>
      </c>
      <c r="I155" s="247"/>
    </row>
    <row r="156" spans="1:10" ht="20">
      <c r="A156" s="243" t="s">
        <v>356</v>
      </c>
      <c r="B156" s="244" t="s">
        <v>357</v>
      </c>
      <c r="C156" s="243" t="s">
        <v>443</v>
      </c>
      <c r="D156" s="243" t="s">
        <v>256</v>
      </c>
      <c r="E156" s="243" t="s">
        <v>14</v>
      </c>
      <c r="F156" s="245">
        <v>5</v>
      </c>
      <c r="G156" s="246">
        <f>COT_INSU!I81</f>
        <v>0.64</v>
      </c>
      <c r="I156" s="247"/>
      <c r="J156" s="247"/>
    </row>
    <row r="157" spans="1:10">
      <c r="A157" s="243">
        <v>4517</v>
      </c>
      <c r="B157" s="244" t="s">
        <v>611</v>
      </c>
      <c r="C157" s="243" t="s">
        <v>26</v>
      </c>
      <c r="D157" s="243" t="s">
        <v>256</v>
      </c>
      <c r="E157" s="243" t="s">
        <v>70</v>
      </c>
      <c r="F157" s="245">
        <v>0.84172000000000002</v>
      </c>
      <c r="G157" s="246">
        <v>3.92</v>
      </c>
      <c r="I157" s="247"/>
    </row>
    <row r="158" spans="1:10" ht="20">
      <c r="A158" s="243">
        <v>11950</v>
      </c>
      <c r="B158" s="244" t="s">
        <v>380</v>
      </c>
      <c r="C158" s="243" t="s">
        <v>26</v>
      </c>
      <c r="D158" s="243" t="s">
        <v>256</v>
      </c>
      <c r="E158" s="243" t="s">
        <v>14</v>
      </c>
      <c r="F158" s="245">
        <v>14</v>
      </c>
      <c r="G158" s="246">
        <v>0.2</v>
      </c>
      <c r="I158" s="247"/>
    </row>
    <row r="159" spans="1:10" ht="30">
      <c r="A159" s="243">
        <v>39813</v>
      </c>
      <c r="B159" s="244" t="s">
        <v>613</v>
      </c>
      <c r="C159" s="243" t="s">
        <v>26</v>
      </c>
      <c r="D159" s="243" t="s">
        <v>268</v>
      </c>
      <c r="E159" s="243" t="s">
        <v>14</v>
      </c>
      <c r="F159" s="245">
        <v>6.1634880468403196E-5</v>
      </c>
      <c r="G159" s="246">
        <v>38940.199999999997</v>
      </c>
      <c r="I159" s="247"/>
    </row>
    <row r="160" spans="1:10">
      <c r="A160" s="243">
        <v>5069</v>
      </c>
      <c r="B160" s="244" t="s">
        <v>272</v>
      </c>
      <c r="C160" s="243" t="s">
        <v>26</v>
      </c>
      <c r="D160" s="243" t="s">
        <v>256</v>
      </c>
      <c r="E160" s="243" t="s">
        <v>83</v>
      </c>
      <c r="F160" s="245">
        <v>0.1056</v>
      </c>
      <c r="G160" s="246">
        <v>20.74</v>
      </c>
      <c r="I160" s="247"/>
    </row>
    <row r="161" spans="1:9" ht="30">
      <c r="A161" s="243">
        <v>11281</v>
      </c>
      <c r="B161" s="244" t="s">
        <v>615</v>
      </c>
      <c r="C161" s="243" t="s">
        <v>26</v>
      </c>
      <c r="D161" s="243" t="s">
        <v>268</v>
      </c>
      <c r="E161" s="243" t="s">
        <v>14</v>
      </c>
      <c r="F161" s="245">
        <v>1.1854287099999999E-4</v>
      </c>
      <c r="G161" s="246">
        <v>12782.95</v>
      </c>
      <c r="I161" s="247"/>
    </row>
    <row r="162" spans="1:9">
      <c r="A162" s="243">
        <v>1332</v>
      </c>
      <c r="B162" s="244" t="s">
        <v>323</v>
      </c>
      <c r="C162" s="243" t="s">
        <v>26</v>
      </c>
      <c r="D162" s="243" t="s">
        <v>256</v>
      </c>
      <c r="E162" s="243" t="s">
        <v>83</v>
      </c>
      <c r="F162" s="245">
        <v>0.16</v>
      </c>
      <c r="G162" s="246">
        <v>9.4700000000000006</v>
      </c>
      <c r="I162" s="247"/>
    </row>
    <row r="163" spans="1:9" ht="20">
      <c r="A163" s="243">
        <v>43485</v>
      </c>
      <c r="B163" s="244" t="s">
        <v>617</v>
      </c>
      <c r="C163" s="243" t="s">
        <v>26</v>
      </c>
      <c r="D163" s="243" t="s">
        <v>462</v>
      </c>
      <c r="E163" s="243" t="s">
        <v>265</v>
      </c>
      <c r="F163" s="245">
        <v>0.91479999999999995</v>
      </c>
      <c r="G163" s="246">
        <v>1.1299999999999999</v>
      </c>
      <c r="I163" s="247"/>
    </row>
    <row r="164" spans="1:9" ht="20">
      <c r="A164" s="243">
        <v>43464</v>
      </c>
      <c r="B164" s="244" t="s">
        <v>619</v>
      </c>
      <c r="C164" s="243" t="s">
        <v>26</v>
      </c>
      <c r="D164" s="243" t="s">
        <v>462</v>
      </c>
      <c r="E164" s="243" t="s">
        <v>265</v>
      </c>
      <c r="F164" s="245">
        <v>59.563947558368</v>
      </c>
      <c r="G164" s="246">
        <v>0.01</v>
      </c>
      <c r="I164" s="247"/>
    </row>
    <row r="165" spans="1:9" ht="20">
      <c r="A165" s="243">
        <v>43461</v>
      </c>
      <c r="B165" s="244" t="s">
        <v>621</v>
      </c>
      <c r="C165" s="243" t="s">
        <v>26</v>
      </c>
      <c r="D165" s="243" t="s">
        <v>462</v>
      </c>
      <c r="E165" s="243" t="s">
        <v>265</v>
      </c>
      <c r="F165" s="245">
        <v>0.91479999999999995</v>
      </c>
      <c r="G165" s="246">
        <v>0.31</v>
      </c>
      <c r="I165" s="247"/>
    </row>
    <row r="166" spans="1:9">
      <c r="A166" s="243">
        <v>2692</v>
      </c>
      <c r="B166" s="244" t="s">
        <v>623</v>
      </c>
      <c r="C166" s="243" t="s">
        <v>26</v>
      </c>
      <c r="D166" s="243" t="s">
        <v>256</v>
      </c>
      <c r="E166" s="243" t="s">
        <v>335</v>
      </c>
      <c r="F166" s="245">
        <v>3.2521000000000001E-2</v>
      </c>
      <c r="G166" s="246">
        <v>9.76</v>
      </c>
      <c r="I166" s="247"/>
    </row>
    <row r="167" spans="1:9" ht="20">
      <c r="A167" s="243">
        <v>36487</v>
      </c>
      <c r="B167" s="244" t="s">
        <v>625</v>
      </c>
      <c r="C167" s="243" t="s">
        <v>26</v>
      </c>
      <c r="D167" s="243" t="s">
        <v>268</v>
      </c>
      <c r="E167" s="243" t="s">
        <v>14</v>
      </c>
      <c r="F167" s="245">
        <v>4.5522815200000002E-5</v>
      </c>
      <c r="G167" s="246">
        <v>4373.4399999999996</v>
      </c>
      <c r="I167" s="247"/>
    </row>
    <row r="168" spans="1:9" ht="20">
      <c r="A168" s="243">
        <v>13896</v>
      </c>
      <c r="B168" s="244" t="s">
        <v>627</v>
      </c>
      <c r="C168" s="243" t="s">
        <v>26</v>
      </c>
      <c r="D168" s="243" t="s">
        <v>268</v>
      </c>
      <c r="E168" s="243" t="s">
        <v>14</v>
      </c>
      <c r="F168" s="245">
        <v>6.1336136400000002E-5</v>
      </c>
      <c r="G168" s="246">
        <v>3390.99</v>
      </c>
      <c r="I168" s="247"/>
    </row>
    <row r="169" spans="1:9">
      <c r="A169" s="243">
        <v>10658</v>
      </c>
      <c r="B169" s="244" t="s">
        <v>629</v>
      </c>
      <c r="C169" s="243" t="s">
        <v>26</v>
      </c>
      <c r="D169" s="243" t="s">
        <v>268</v>
      </c>
      <c r="E169" s="243" t="s">
        <v>14</v>
      </c>
      <c r="F169" s="245">
        <v>2.0729268000000001E-5</v>
      </c>
      <c r="G169" s="246">
        <v>9400</v>
      </c>
      <c r="I169" s="247"/>
    </row>
    <row r="170" spans="1:9" ht="20">
      <c r="A170" s="243">
        <v>14618</v>
      </c>
      <c r="B170" s="244" t="s">
        <v>631</v>
      </c>
      <c r="C170" s="243" t="s">
        <v>26</v>
      </c>
      <c r="D170" s="243" t="s">
        <v>268</v>
      </c>
      <c r="E170" s="243" t="s">
        <v>14</v>
      </c>
      <c r="F170" s="245">
        <v>1.1595672E-4</v>
      </c>
      <c r="G170" s="246">
        <v>1192.76</v>
      </c>
      <c r="I170" s="247"/>
    </row>
    <row r="171" spans="1:9" ht="30">
      <c r="A171" s="243">
        <v>1442</v>
      </c>
      <c r="B171" s="244" t="s">
        <v>633</v>
      </c>
      <c r="C171" s="243" t="s">
        <v>26</v>
      </c>
      <c r="D171" s="243" t="s">
        <v>268</v>
      </c>
      <c r="E171" s="243" t="s">
        <v>14</v>
      </c>
      <c r="F171" s="245">
        <v>1.2100872799999999E-5</v>
      </c>
      <c r="G171" s="246">
        <v>10731.19</v>
      </c>
      <c r="I171" s="247"/>
    </row>
    <row r="172" spans="1:9" ht="20">
      <c r="A172" s="243">
        <v>40864</v>
      </c>
      <c r="B172" s="244" t="s">
        <v>635</v>
      </c>
      <c r="C172" s="243" t="s">
        <v>26</v>
      </c>
      <c r="D172" s="243" t="s">
        <v>462</v>
      </c>
      <c r="E172" s="243" t="s">
        <v>29</v>
      </c>
      <c r="F172" s="245">
        <v>8</v>
      </c>
      <c r="G172" s="246">
        <v>15.46</v>
      </c>
      <c r="I172" s="247"/>
    </row>
    <row r="173" spans="1:9">
      <c r="I173" s="247"/>
    </row>
  </sheetData>
  <autoFilter ref="A11:G172" xr:uid="{00000000-0009-0000-0000-000005000000}"/>
  <conditionalFormatting sqref="D5:D9">
    <cfRule type="cellIs" dxfId="18" priority="2" operator="equal">
      <formula>0</formula>
    </cfRule>
  </conditionalFormatting>
  <conditionalFormatting sqref="E5:E9">
    <cfRule type="cellIs" dxfId="17" priority="1" operator="equal">
      <formula>0</formula>
    </cfRule>
  </conditionalFormatting>
  <pageMargins left="0.51181102362204722" right="0.51181102362204722" top="0.51181102362204722" bottom="0.70866141732283472" header="0" footer="0.19685039370078741"/>
  <pageSetup paperSize="9" scale="80" orientation="landscape" r:id="rId1"/>
  <headerFooter>
    <oddFooter>&amp;L&amp;9&amp;A&amp;R&amp;9Página &amp;P de &amp;N</oddFooter>
  </headerFooter>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I153"/>
  <sheetViews>
    <sheetView view="pageBreakPreview" topLeftCell="A122" zoomScale="70" zoomScaleNormal="115" zoomScaleSheetLayoutView="70" zoomScalePageLayoutView="85" workbookViewId="0">
      <selection activeCell="I147" sqref="I147:I151"/>
    </sheetView>
  </sheetViews>
  <sheetFormatPr defaultColWidth="9.25" defaultRowHeight="15" customHeight="1"/>
  <cols>
    <col min="1" max="1" width="9" style="3" customWidth="1"/>
    <col min="2" max="2" width="12.75" style="3" customWidth="1"/>
    <col min="3" max="3" width="42.4140625" style="3" customWidth="1"/>
    <col min="4" max="4" width="8.1640625" style="3" customWidth="1"/>
    <col min="5" max="5" width="12.75" style="3" customWidth="1"/>
    <col min="6" max="6" width="28.75" style="4" customWidth="1"/>
    <col min="7" max="8" width="28.75" style="5" customWidth="1"/>
    <col min="9" max="9" width="12.75" style="3" customWidth="1"/>
    <col min="10" max="10" width="16.75" style="3" customWidth="1"/>
    <col min="11" max="11" width="17.25" style="3" customWidth="1"/>
    <col min="12" max="34" width="12.83203125" style="3" customWidth="1"/>
    <col min="35" max="35" width="1.25" style="3" customWidth="1"/>
    <col min="36" max="37" width="12.83203125" style="3" customWidth="1"/>
    <col min="38" max="16384" width="9.25" style="3"/>
  </cols>
  <sheetData>
    <row r="1" spans="1:9" ht="50.15" customHeight="1"/>
    <row r="2" spans="1:9" ht="25" customHeight="1">
      <c r="A2" s="8" t="s">
        <v>954</v>
      </c>
      <c r="B2" s="8"/>
      <c r="C2" s="8"/>
      <c r="D2" s="8"/>
      <c r="E2" s="8"/>
      <c r="F2" s="8"/>
      <c r="G2" s="8"/>
      <c r="H2" s="8"/>
      <c r="I2" s="8"/>
    </row>
    <row r="3" spans="1:9" ht="5.15" customHeight="1">
      <c r="A3" s="44"/>
      <c r="B3" s="44"/>
      <c r="C3" s="44"/>
      <c r="D3" s="44"/>
      <c r="E3" s="44"/>
      <c r="F3" s="44"/>
      <c r="G3" s="44"/>
      <c r="H3" s="44"/>
      <c r="I3" s="44"/>
    </row>
    <row r="4" spans="1:9" ht="15" customHeight="1">
      <c r="A4" s="14" t="s">
        <v>858</v>
      </c>
      <c r="B4" s="15" t="str">
        <f>RESUMO!B4</f>
        <v>MODERNIZAÇÃO DA SUBESTAÇÃO DE ENERGIA ELÉTRICA DA SEDE DA JUSTIÇA FEDERAL NA PARAIBA</v>
      </c>
      <c r="C4" s="15"/>
      <c r="D4" s="15"/>
      <c r="E4" s="15"/>
      <c r="F4" s="15"/>
      <c r="G4" s="15"/>
      <c r="H4" s="15"/>
      <c r="I4" s="187"/>
    </row>
    <row r="5" spans="1:9" ht="15" customHeight="1">
      <c r="A5" s="21" t="s">
        <v>863</v>
      </c>
      <c r="B5" s="44" t="str">
        <f>RESUMO!B5</f>
        <v>R3 - 15/04/2025</v>
      </c>
      <c r="C5" s="44"/>
      <c r="D5" s="44"/>
      <c r="E5" s="44"/>
      <c r="F5" s="17" t="s">
        <v>874</v>
      </c>
      <c r="G5" s="19"/>
      <c r="H5" s="17" t="s">
        <v>869</v>
      </c>
      <c r="I5" s="20">
        <f>RESUMO!$F$5</f>
        <v>45762</v>
      </c>
    </row>
    <row r="6" spans="1:9" ht="15" customHeight="1">
      <c r="A6" s="21" t="s">
        <v>859</v>
      </c>
      <c r="B6" s="44" t="str">
        <f>RESUMO!B6</f>
        <v>RUA JOÃO TEIXEIRA DE CARVALHO, 480, PEDRO GONDIM, JOÃO PESSOA/PB</v>
      </c>
      <c r="C6" s="44"/>
      <c r="D6" s="44"/>
      <c r="E6" s="44"/>
      <c r="F6" s="23" t="str">
        <f>RESUMO!$C$6</f>
        <v>SINAPI</v>
      </c>
      <c r="G6" s="24" t="str">
        <f>RESUMO!$D$6</f>
        <v>2025/02</v>
      </c>
      <c r="H6" s="21" t="s">
        <v>1308</v>
      </c>
      <c r="I6" s="24">
        <f>RESUMO!$F$6</f>
        <v>0.23530000000000001</v>
      </c>
    </row>
    <row r="7" spans="1:9" ht="15" customHeight="1">
      <c r="A7" s="21" t="s">
        <v>860</v>
      </c>
      <c r="B7" s="44" t="str">
        <f>RESUMO!B7</f>
        <v>JUSTIÇA FEDERAL NA PARAÍBA</v>
      </c>
      <c r="C7" s="44"/>
      <c r="D7" s="44"/>
      <c r="E7" s="44"/>
      <c r="F7" s="23" t="str">
        <f>RESUMO!$C$7</f>
        <v>SICRO</v>
      </c>
      <c r="G7" s="24" t="str">
        <f>RESUMO!$D$7</f>
        <v>2025/01</v>
      </c>
      <c r="H7" s="21" t="s">
        <v>870</v>
      </c>
      <c r="I7" s="24">
        <f>RESUMO!$F$7</f>
        <v>0.1527</v>
      </c>
    </row>
    <row r="8" spans="1:9" ht="15" customHeight="1">
      <c r="A8" s="21" t="s">
        <v>868</v>
      </c>
      <c r="B8" s="44" t="str">
        <f>RESUMO!B8</f>
        <v>MAYRTHON PAULO COSTA JUNIOR</v>
      </c>
      <c r="C8" s="44"/>
      <c r="D8" s="44"/>
      <c r="E8" s="44"/>
      <c r="F8" s="23" t="str">
        <f>RESUMO!$C$8</f>
        <v>-</v>
      </c>
      <c r="G8" s="24">
        <f>RESUMO!$D$8</f>
        <v>0</v>
      </c>
      <c r="H8" s="21" t="s">
        <v>871</v>
      </c>
      <c r="I8" s="24">
        <f>RESUMO!$F$8</f>
        <v>1.1359999999999999</v>
      </c>
    </row>
    <row r="9" spans="1:9" ht="15" customHeight="1">
      <c r="A9" s="25" t="s">
        <v>861</v>
      </c>
      <c r="B9" s="47" t="str">
        <f>RESUMO!B9</f>
        <v>ENGENHEIRO ELETRICISTA - CREA 060191712-0</v>
      </c>
      <c r="C9" s="47"/>
      <c r="D9" s="47"/>
      <c r="E9" s="47"/>
      <c r="F9" s="25" t="s">
        <v>863</v>
      </c>
      <c r="G9" s="27" t="str">
        <f>RESUMO!$D$9</f>
        <v>R3</v>
      </c>
      <c r="H9" s="25" t="s">
        <v>872</v>
      </c>
      <c r="I9" s="27">
        <f>RESUMO!$F$9</f>
        <v>0.6984999999999999</v>
      </c>
    </row>
    <row r="10" spans="1:9" ht="5.15" customHeight="1">
      <c r="F10" s="3"/>
      <c r="G10" s="3"/>
      <c r="H10" s="3"/>
    </row>
    <row r="11" spans="1:9" s="194" customFormat="1" ht="25" customHeight="1">
      <c r="A11" s="188" t="s">
        <v>1</v>
      </c>
      <c r="B11" s="189" t="s">
        <v>956</v>
      </c>
      <c r="C11" s="188" t="s">
        <v>3</v>
      </c>
      <c r="D11" s="190" t="s">
        <v>437</v>
      </c>
      <c r="E11" s="190" t="s">
        <v>716</v>
      </c>
      <c r="F11" s="191" t="s">
        <v>717</v>
      </c>
      <c r="G11" s="192" t="s">
        <v>718</v>
      </c>
      <c r="H11" s="192" t="s">
        <v>719</v>
      </c>
      <c r="I11" s="193" t="s">
        <v>720</v>
      </c>
    </row>
    <row r="12" spans="1:9" s="194" customFormat="1" ht="5.15" customHeight="1" thickBot="1">
      <c r="A12" s="195"/>
      <c r="B12" s="195"/>
      <c r="C12" s="196"/>
      <c r="D12" s="197"/>
      <c r="E12" s="197"/>
      <c r="F12" s="198"/>
      <c r="G12" s="198"/>
      <c r="H12" s="198"/>
      <c r="I12" s="198"/>
    </row>
    <row r="13" spans="1:9" s="207" customFormat="1" ht="30" customHeight="1">
      <c r="A13" s="199"/>
      <c r="B13" s="200" t="s">
        <v>413</v>
      </c>
      <c r="C13" s="201" t="s">
        <v>414</v>
      </c>
      <c r="D13" s="202" t="s">
        <v>14</v>
      </c>
      <c r="E13" s="203" t="s">
        <v>721</v>
      </c>
      <c r="F13" s="204" t="s">
        <v>722</v>
      </c>
      <c r="G13" s="204" t="s">
        <v>723</v>
      </c>
      <c r="H13" s="205" t="s">
        <v>724</v>
      </c>
      <c r="I13" s="206">
        <f>MIN(F18:H18)</f>
        <v>158.33000000000001</v>
      </c>
    </row>
    <row r="14" spans="1:9" s="207" customFormat="1" ht="15" customHeight="1">
      <c r="A14" s="208"/>
      <c r="B14" s="209"/>
      <c r="C14" s="210"/>
      <c r="D14" s="211"/>
      <c r="E14" s="212" t="s">
        <v>725</v>
      </c>
      <c r="F14" s="213" t="s">
        <v>726</v>
      </c>
      <c r="G14" s="213" t="s">
        <v>727</v>
      </c>
      <c r="H14" s="214" t="s">
        <v>728</v>
      </c>
      <c r="I14" s="404" t="s">
        <v>1395</v>
      </c>
    </row>
    <row r="15" spans="1:9" s="207" customFormat="1" ht="15" customHeight="1">
      <c r="A15" s="208"/>
      <c r="B15" s="209"/>
      <c r="C15" s="210"/>
      <c r="D15" s="211"/>
      <c r="E15" s="212" t="s">
        <v>729</v>
      </c>
      <c r="F15" s="215" t="s">
        <v>730</v>
      </c>
      <c r="G15" s="215" t="s">
        <v>730</v>
      </c>
      <c r="H15" s="216" t="s">
        <v>730</v>
      </c>
      <c r="I15" s="404"/>
    </row>
    <row r="16" spans="1:9" s="207" customFormat="1" ht="15" customHeight="1">
      <c r="A16" s="208"/>
      <c r="B16" s="209"/>
      <c r="C16" s="210"/>
      <c r="D16" s="211"/>
      <c r="E16" s="212" t="s">
        <v>731</v>
      </c>
      <c r="F16" s="215" t="s">
        <v>732</v>
      </c>
      <c r="G16" s="215" t="s">
        <v>733</v>
      </c>
      <c r="H16" s="216"/>
      <c r="I16" s="404"/>
    </row>
    <row r="17" spans="1:9" s="207" customFormat="1" ht="15" customHeight="1">
      <c r="A17" s="208"/>
      <c r="B17" s="209"/>
      <c r="C17" s="210"/>
      <c r="D17" s="211"/>
      <c r="E17" s="212" t="s">
        <v>734</v>
      </c>
      <c r="F17" s="215" t="s">
        <v>735</v>
      </c>
      <c r="G17" s="215" t="s">
        <v>736</v>
      </c>
      <c r="H17" s="216" t="s">
        <v>737</v>
      </c>
      <c r="I17" s="231">
        <v>1.0254481600000001</v>
      </c>
    </row>
    <row r="18" spans="1:9" s="207" customFormat="1" ht="15" customHeight="1" thickBot="1">
      <c r="A18" s="217"/>
      <c r="B18" s="218"/>
      <c r="C18" s="219"/>
      <c r="D18" s="220"/>
      <c r="E18" s="221" t="s">
        <v>255</v>
      </c>
      <c r="F18" s="222">
        <v>158.33000000000001</v>
      </c>
      <c r="G18" s="222">
        <v>180.32</v>
      </c>
      <c r="H18" s="223" t="s">
        <v>955</v>
      </c>
      <c r="I18" s="232">
        <f>TRUNC(I13*I17,2)</f>
        <v>162.35</v>
      </c>
    </row>
    <row r="19" spans="1:9" s="207" customFormat="1" ht="15" customHeight="1" thickBot="1">
      <c r="A19" s="195"/>
      <c r="B19" s="195"/>
      <c r="C19" s="196"/>
      <c r="D19" s="197"/>
      <c r="E19" s="197"/>
      <c r="F19" s="198"/>
      <c r="G19" s="198"/>
      <c r="H19" s="198"/>
      <c r="I19" s="198"/>
    </row>
    <row r="20" spans="1:9" s="207" customFormat="1" ht="30" customHeight="1">
      <c r="A20" s="199"/>
      <c r="B20" s="200" t="s">
        <v>373</v>
      </c>
      <c r="C20" s="201" t="s">
        <v>374</v>
      </c>
      <c r="D20" s="202" t="s">
        <v>14</v>
      </c>
      <c r="E20" s="203" t="s">
        <v>721</v>
      </c>
      <c r="F20" s="204" t="s">
        <v>738</v>
      </c>
      <c r="G20" s="204" t="s">
        <v>739</v>
      </c>
      <c r="H20" s="205" t="s">
        <v>740</v>
      </c>
      <c r="I20" s="224">
        <f>MIN(F25:H25)</f>
        <v>38.76</v>
      </c>
    </row>
    <row r="21" spans="1:9" s="207" customFormat="1" ht="15" customHeight="1">
      <c r="A21" s="208"/>
      <c r="B21" s="209"/>
      <c r="C21" s="210"/>
      <c r="D21" s="211"/>
      <c r="E21" s="212" t="s">
        <v>725</v>
      </c>
      <c r="F21" s="213" t="s">
        <v>741</v>
      </c>
      <c r="G21" s="213" t="s">
        <v>742</v>
      </c>
      <c r="H21" s="214" t="s">
        <v>743</v>
      </c>
      <c r="I21" s="404" t="s">
        <v>1395</v>
      </c>
    </row>
    <row r="22" spans="1:9" s="207" customFormat="1" ht="15" customHeight="1">
      <c r="A22" s="208"/>
      <c r="B22" s="209"/>
      <c r="C22" s="210"/>
      <c r="D22" s="211"/>
      <c r="E22" s="212" t="s">
        <v>729</v>
      </c>
      <c r="F22" s="215" t="s">
        <v>744</v>
      </c>
      <c r="G22" s="215" t="s">
        <v>744</v>
      </c>
      <c r="H22" s="216" t="s">
        <v>744</v>
      </c>
      <c r="I22" s="404"/>
    </row>
    <row r="23" spans="1:9" s="207" customFormat="1" ht="15" customHeight="1">
      <c r="A23" s="208"/>
      <c r="B23" s="209"/>
      <c r="C23" s="210"/>
      <c r="D23" s="211"/>
      <c r="E23" s="212" t="s">
        <v>731</v>
      </c>
      <c r="F23" s="215" t="s">
        <v>745</v>
      </c>
      <c r="G23" s="215" t="s">
        <v>746</v>
      </c>
      <c r="H23" s="225" t="s">
        <v>747</v>
      </c>
      <c r="I23" s="404"/>
    </row>
    <row r="24" spans="1:9" s="207" customFormat="1" ht="15" customHeight="1">
      <c r="A24" s="208"/>
      <c r="B24" s="209"/>
      <c r="C24" s="210"/>
      <c r="D24" s="211"/>
      <c r="E24" s="212" t="s">
        <v>734</v>
      </c>
      <c r="F24" s="215" t="s">
        <v>748</v>
      </c>
      <c r="G24" s="215" t="s">
        <v>749</v>
      </c>
      <c r="H24" s="216" t="s">
        <v>750</v>
      </c>
      <c r="I24" s="231">
        <v>1.0254481600000001</v>
      </c>
    </row>
    <row r="25" spans="1:9" s="207" customFormat="1" ht="15" customHeight="1" thickBot="1">
      <c r="A25" s="217"/>
      <c r="B25" s="218"/>
      <c r="C25" s="219"/>
      <c r="D25" s="220"/>
      <c r="E25" s="221" t="s">
        <v>255</v>
      </c>
      <c r="F25" s="222">
        <v>51.23</v>
      </c>
      <c r="G25" s="222">
        <v>72.06</v>
      </c>
      <c r="H25" s="226">
        <v>38.76</v>
      </c>
      <c r="I25" s="232">
        <f>TRUNC(I20*I24,2)</f>
        <v>39.74</v>
      </c>
    </row>
    <row r="26" spans="1:9" s="207" customFormat="1" ht="15" customHeight="1" thickBot="1">
      <c r="A26" s="195"/>
      <c r="B26" s="195"/>
      <c r="C26" s="196"/>
      <c r="D26" s="197"/>
      <c r="E26" s="197"/>
      <c r="F26" s="198"/>
      <c r="G26" s="198"/>
      <c r="H26" s="198"/>
      <c r="I26" s="198"/>
    </row>
    <row r="27" spans="1:9" s="207" customFormat="1" ht="30" customHeight="1">
      <c r="A27" s="199"/>
      <c r="B27" s="200" t="s">
        <v>370</v>
      </c>
      <c r="C27" s="201" t="s">
        <v>371</v>
      </c>
      <c r="D27" s="202" t="s">
        <v>14</v>
      </c>
      <c r="E27" s="203" t="s">
        <v>721</v>
      </c>
      <c r="F27" s="205" t="s">
        <v>751</v>
      </c>
      <c r="G27" s="204" t="s">
        <v>739</v>
      </c>
      <c r="H27" s="205" t="s">
        <v>752</v>
      </c>
      <c r="I27" s="224">
        <f>MIN(F32:H32)</f>
        <v>20.32</v>
      </c>
    </row>
    <row r="28" spans="1:9" s="207" customFormat="1" ht="15" customHeight="1">
      <c r="A28" s="208"/>
      <c r="B28" s="209"/>
      <c r="C28" s="210"/>
      <c r="D28" s="211"/>
      <c r="E28" s="212" t="s">
        <v>725</v>
      </c>
      <c r="F28" s="214" t="s">
        <v>753</v>
      </c>
      <c r="G28" s="213" t="s">
        <v>742</v>
      </c>
      <c r="H28" s="214" t="s">
        <v>754</v>
      </c>
      <c r="I28" s="404" t="s">
        <v>1395</v>
      </c>
    </row>
    <row r="29" spans="1:9" s="207" customFormat="1" ht="15" customHeight="1">
      <c r="A29" s="208"/>
      <c r="B29" s="209"/>
      <c r="C29" s="210"/>
      <c r="D29" s="211"/>
      <c r="E29" s="212" t="s">
        <v>729</v>
      </c>
      <c r="F29" s="227">
        <v>45533</v>
      </c>
      <c r="G29" s="215" t="s">
        <v>744</v>
      </c>
      <c r="H29" s="216" t="s">
        <v>744</v>
      </c>
      <c r="I29" s="404"/>
    </row>
    <row r="30" spans="1:9" s="207" customFormat="1" ht="15" customHeight="1">
      <c r="A30" s="208"/>
      <c r="B30" s="209"/>
      <c r="C30" s="210"/>
      <c r="D30" s="211"/>
      <c r="E30" s="212" t="s">
        <v>731</v>
      </c>
      <c r="F30" s="216" t="s">
        <v>755</v>
      </c>
      <c r="G30" s="215" t="s">
        <v>746</v>
      </c>
      <c r="H30" s="225" t="s">
        <v>756</v>
      </c>
      <c r="I30" s="404"/>
    </row>
    <row r="31" spans="1:9" s="207" customFormat="1" ht="15" customHeight="1">
      <c r="A31" s="208"/>
      <c r="B31" s="209"/>
      <c r="C31" s="210"/>
      <c r="D31" s="211"/>
      <c r="E31" s="212" t="s">
        <v>734</v>
      </c>
      <c r="F31" s="216" t="s">
        <v>757</v>
      </c>
      <c r="G31" s="215" t="s">
        <v>749</v>
      </c>
      <c r="H31" s="216" t="s">
        <v>733</v>
      </c>
      <c r="I31" s="231">
        <v>1.0254481600000001</v>
      </c>
    </row>
    <row r="32" spans="1:9" s="207" customFormat="1" ht="15" customHeight="1" thickBot="1">
      <c r="A32" s="217"/>
      <c r="B32" s="218"/>
      <c r="C32" s="219"/>
      <c r="D32" s="220"/>
      <c r="E32" s="221" t="s">
        <v>255</v>
      </c>
      <c r="F32" s="226">
        <v>45.87</v>
      </c>
      <c r="G32" s="222">
        <v>36.07</v>
      </c>
      <c r="H32" s="226">
        <v>20.32</v>
      </c>
      <c r="I32" s="232">
        <f>TRUNC(I27*I31,2)</f>
        <v>20.83</v>
      </c>
    </row>
    <row r="33" spans="1:9" s="207" customFormat="1" ht="15" customHeight="1" thickBot="1">
      <c r="A33" s="195"/>
      <c r="B33" s="195"/>
      <c r="C33" s="196"/>
      <c r="D33" s="197"/>
      <c r="E33" s="197"/>
      <c r="F33" s="198"/>
      <c r="G33" s="198"/>
      <c r="H33" s="198"/>
      <c r="I33" s="198"/>
    </row>
    <row r="34" spans="1:9" s="207" customFormat="1" ht="30" customHeight="1">
      <c r="A34" s="199"/>
      <c r="B34" s="200" t="s">
        <v>407</v>
      </c>
      <c r="C34" s="201" t="s">
        <v>408</v>
      </c>
      <c r="D34" s="202" t="s">
        <v>70</v>
      </c>
      <c r="E34" s="203" t="s">
        <v>721</v>
      </c>
      <c r="F34" s="204" t="s">
        <v>758</v>
      </c>
      <c r="G34" s="204" t="s">
        <v>759</v>
      </c>
      <c r="H34" s="205" t="s">
        <v>751</v>
      </c>
      <c r="I34" s="224">
        <f>MIN(F39:H39)</f>
        <v>8.35</v>
      </c>
    </row>
    <row r="35" spans="1:9" s="207" customFormat="1" ht="15" customHeight="1">
      <c r="A35" s="208"/>
      <c r="B35" s="209"/>
      <c r="C35" s="210"/>
      <c r="D35" s="211"/>
      <c r="E35" s="212" t="s">
        <v>725</v>
      </c>
      <c r="F35" s="213" t="s">
        <v>760</v>
      </c>
      <c r="G35" s="213" t="s">
        <v>761</v>
      </c>
      <c r="H35" s="214" t="s">
        <v>753</v>
      </c>
      <c r="I35" s="404" t="s">
        <v>1395</v>
      </c>
    </row>
    <row r="36" spans="1:9" s="207" customFormat="1" ht="15" customHeight="1">
      <c r="A36" s="208"/>
      <c r="B36" s="209"/>
      <c r="C36" s="210"/>
      <c r="D36" s="211"/>
      <c r="E36" s="212" t="s">
        <v>729</v>
      </c>
      <c r="F36" s="215" t="s">
        <v>762</v>
      </c>
      <c r="G36" s="215" t="s">
        <v>762</v>
      </c>
      <c r="H36" s="227" t="s">
        <v>762</v>
      </c>
      <c r="I36" s="404"/>
    </row>
    <row r="37" spans="1:9" s="207" customFormat="1" ht="15" customHeight="1">
      <c r="A37" s="208"/>
      <c r="B37" s="209"/>
      <c r="C37" s="210"/>
      <c r="D37" s="211"/>
      <c r="E37" s="212" t="s">
        <v>731</v>
      </c>
      <c r="F37" s="213"/>
      <c r="G37" s="215" t="s">
        <v>755</v>
      </c>
      <c r="H37" s="216" t="s">
        <v>755</v>
      </c>
      <c r="I37" s="404"/>
    </row>
    <row r="38" spans="1:9" s="207" customFormat="1" ht="15" customHeight="1">
      <c r="A38" s="208"/>
      <c r="B38" s="209"/>
      <c r="C38" s="210"/>
      <c r="D38" s="211"/>
      <c r="E38" s="212" t="s">
        <v>734</v>
      </c>
      <c r="F38" s="215" t="s">
        <v>763</v>
      </c>
      <c r="G38" s="215" t="s">
        <v>764</v>
      </c>
      <c r="H38" s="216" t="s">
        <v>757</v>
      </c>
      <c r="I38" s="231">
        <v>1.0254481600000001</v>
      </c>
    </row>
    <row r="39" spans="1:9" s="207" customFormat="1" ht="15" customHeight="1" thickBot="1">
      <c r="A39" s="217"/>
      <c r="B39" s="218"/>
      <c r="C39" s="219"/>
      <c r="D39" s="220"/>
      <c r="E39" s="221" t="s">
        <v>255</v>
      </c>
      <c r="F39" s="222">
        <v>8.35</v>
      </c>
      <c r="G39" s="222">
        <v>8.8000000000000007</v>
      </c>
      <c r="H39" s="226">
        <v>24.43</v>
      </c>
      <c r="I39" s="232">
        <f>TRUNC(I34*I38,2)</f>
        <v>8.56</v>
      </c>
    </row>
    <row r="40" spans="1:9" s="207" customFormat="1" ht="15" customHeight="1" thickBot="1">
      <c r="A40" s="195"/>
      <c r="B40" s="195"/>
      <c r="C40" s="196"/>
      <c r="D40" s="197"/>
      <c r="E40" s="197"/>
      <c r="F40" s="198"/>
      <c r="G40" s="198"/>
      <c r="H40" s="198"/>
      <c r="I40" s="198"/>
    </row>
    <row r="41" spans="1:9" s="207" customFormat="1" ht="30" customHeight="1">
      <c r="A41" s="199"/>
      <c r="B41" s="200" t="s">
        <v>416</v>
      </c>
      <c r="C41" s="201" t="s">
        <v>417</v>
      </c>
      <c r="D41" s="202" t="s">
        <v>70</v>
      </c>
      <c r="E41" s="203" t="s">
        <v>721</v>
      </c>
      <c r="F41" s="204" t="s">
        <v>765</v>
      </c>
      <c r="G41" s="205" t="s">
        <v>766</v>
      </c>
      <c r="H41" s="205" t="s">
        <v>767</v>
      </c>
      <c r="I41" s="224">
        <f>MIN(F46:H46)</f>
        <v>543610.86</v>
      </c>
    </row>
    <row r="42" spans="1:9" s="207" customFormat="1" ht="15" customHeight="1">
      <c r="A42" s="208"/>
      <c r="B42" s="209"/>
      <c r="C42" s="210"/>
      <c r="D42" s="211"/>
      <c r="E42" s="212" t="s">
        <v>725</v>
      </c>
      <c r="F42" s="213" t="s">
        <v>768</v>
      </c>
      <c r="G42" s="214" t="s">
        <v>769</v>
      </c>
      <c r="H42" s="214" t="s">
        <v>770</v>
      </c>
      <c r="I42" s="404" t="s">
        <v>1395</v>
      </c>
    </row>
    <row r="43" spans="1:9" s="207" customFormat="1" ht="15" customHeight="1">
      <c r="A43" s="208"/>
      <c r="B43" s="209"/>
      <c r="C43" s="210"/>
      <c r="D43" s="211"/>
      <c r="E43" s="212" t="s">
        <v>729</v>
      </c>
      <c r="F43" s="215" t="s">
        <v>771</v>
      </c>
      <c r="G43" s="216" t="s">
        <v>771</v>
      </c>
      <c r="H43" s="216" t="s">
        <v>771</v>
      </c>
      <c r="I43" s="404"/>
    </row>
    <row r="44" spans="1:9" s="207" customFormat="1" ht="15" customHeight="1">
      <c r="A44" s="208"/>
      <c r="B44" s="209"/>
      <c r="C44" s="210"/>
      <c r="D44" s="211"/>
      <c r="E44" s="212" t="s">
        <v>731</v>
      </c>
      <c r="F44" s="215" t="s">
        <v>755</v>
      </c>
      <c r="G44" s="215" t="s">
        <v>755</v>
      </c>
      <c r="H44" s="215" t="s">
        <v>755</v>
      </c>
      <c r="I44" s="404"/>
    </row>
    <row r="45" spans="1:9" s="207" customFormat="1" ht="15" customHeight="1">
      <c r="A45" s="208"/>
      <c r="B45" s="209"/>
      <c r="C45" s="210"/>
      <c r="D45" s="211"/>
      <c r="E45" s="212" t="s">
        <v>734</v>
      </c>
      <c r="F45" s="215" t="s">
        <v>772</v>
      </c>
      <c r="G45" s="216" t="s">
        <v>773</v>
      </c>
      <c r="H45" s="216" t="s">
        <v>774</v>
      </c>
      <c r="I45" s="231">
        <v>1.0254481600000001</v>
      </c>
    </row>
    <row r="46" spans="1:9" s="207" customFormat="1" ht="15" customHeight="1" thickBot="1">
      <c r="A46" s="217"/>
      <c r="B46" s="218"/>
      <c r="C46" s="219"/>
      <c r="D46" s="220"/>
      <c r="E46" s="221" t="s">
        <v>255</v>
      </c>
      <c r="F46" s="222">
        <v>650150</v>
      </c>
      <c r="G46" s="226">
        <v>604000</v>
      </c>
      <c r="H46" s="226">
        <v>543610.86</v>
      </c>
      <c r="I46" s="232">
        <f>TRUNC(I41*I45,2)</f>
        <v>557444.75</v>
      </c>
    </row>
    <row r="47" spans="1:9" s="207" customFormat="1" ht="15" customHeight="1" thickBot="1">
      <c r="A47" s="195"/>
      <c r="B47" s="195"/>
      <c r="C47" s="196"/>
      <c r="D47" s="197"/>
      <c r="E47" s="197"/>
      <c r="F47" s="198"/>
      <c r="G47" s="198"/>
      <c r="H47" s="198"/>
      <c r="I47" s="198"/>
    </row>
    <row r="48" spans="1:9" s="207" customFormat="1" ht="30" customHeight="1">
      <c r="A48" s="199"/>
      <c r="B48" s="200" t="s">
        <v>377</v>
      </c>
      <c r="C48" s="201" t="s">
        <v>378</v>
      </c>
      <c r="D48" s="202" t="s">
        <v>70</v>
      </c>
      <c r="E48" s="203" t="s">
        <v>721</v>
      </c>
      <c r="F48" s="204" t="s">
        <v>775</v>
      </c>
      <c r="G48" s="205" t="s">
        <v>776</v>
      </c>
      <c r="H48" s="205" t="s">
        <v>777</v>
      </c>
      <c r="I48" s="224">
        <f>MIN(F53:H53)</f>
        <v>206.88</v>
      </c>
    </row>
    <row r="49" spans="1:9" s="207" customFormat="1" ht="15" customHeight="1">
      <c r="A49" s="208"/>
      <c r="B49" s="209"/>
      <c r="C49" s="210"/>
      <c r="D49" s="211"/>
      <c r="E49" s="212" t="s">
        <v>725</v>
      </c>
      <c r="F49" s="213" t="s">
        <v>778</v>
      </c>
      <c r="G49" s="214" t="s">
        <v>779</v>
      </c>
      <c r="H49" s="214" t="s">
        <v>780</v>
      </c>
      <c r="I49" s="404" t="s">
        <v>1395</v>
      </c>
    </row>
    <row r="50" spans="1:9" s="207" customFormat="1" ht="15" customHeight="1">
      <c r="A50" s="208"/>
      <c r="B50" s="209"/>
      <c r="C50" s="210"/>
      <c r="D50" s="211"/>
      <c r="E50" s="212" t="s">
        <v>729</v>
      </c>
      <c r="F50" s="215" t="s">
        <v>781</v>
      </c>
      <c r="G50" s="216" t="s">
        <v>781</v>
      </c>
      <c r="H50" s="216"/>
      <c r="I50" s="404"/>
    </row>
    <row r="51" spans="1:9" s="207" customFormat="1" ht="15" customHeight="1">
      <c r="A51" s="208"/>
      <c r="B51" s="209"/>
      <c r="C51" s="210"/>
      <c r="D51" s="211"/>
      <c r="E51" s="212" t="s">
        <v>731</v>
      </c>
      <c r="F51" s="215" t="s">
        <v>755</v>
      </c>
      <c r="G51" s="215" t="s">
        <v>755</v>
      </c>
      <c r="H51" s="215" t="s">
        <v>755</v>
      </c>
      <c r="I51" s="404"/>
    </row>
    <row r="52" spans="1:9" s="207" customFormat="1" ht="15" customHeight="1">
      <c r="A52" s="208"/>
      <c r="B52" s="209"/>
      <c r="C52" s="210"/>
      <c r="D52" s="211"/>
      <c r="E52" s="212" t="s">
        <v>734</v>
      </c>
      <c r="F52" s="215" t="s">
        <v>782</v>
      </c>
      <c r="G52" s="216" t="s">
        <v>783</v>
      </c>
      <c r="H52" s="216" t="s">
        <v>784</v>
      </c>
      <c r="I52" s="231">
        <v>1.0254481600000001</v>
      </c>
    </row>
    <row r="53" spans="1:9" s="207" customFormat="1" ht="15" customHeight="1" thickBot="1">
      <c r="A53" s="217"/>
      <c r="B53" s="218"/>
      <c r="C53" s="219"/>
      <c r="D53" s="220"/>
      <c r="E53" s="221" t="s">
        <v>255</v>
      </c>
      <c r="F53" s="222">
        <v>206.88</v>
      </c>
      <c r="G53" s="222">
        <v>591.66</v>
      </c>
      <c r="H53" s="226">
        <v>321.72000000000003</v>
      </c>
      <c r="I53" s="232">
        <f>TRUNC(I48*I52,2)</f>
        <v>212.14</v>
      </c>
    </row>
    <row r="54" spans="1:9" s="207" customFormat="1" ht="15" customHeight="1" thickBot="1">
      <c r="A54" s="195"/>
      <c r="B54" s="195"/>
      <c r="C54" s="196"/>
      <c r="D54" s="197"/>
      <c r="E54" s="197"/>
      <c r="F54" s="198"/>
      <c r="G54" s="198"/>
      <c r="H54" s="198"/>
      <c r="I54" s="198"/>
    </row>
    <row r="55" spans="1:9" s="207" customFormat="1" ht="30" customHeight="1">
      <c r="A55" s="199"/>
      <c r="B55" s="200" t="s">
        <v>392</v>
      </c>
      <c r="C55" s="201" t="s">
        <v>393</v>
      </c>
      <c r="D55" s="202" t="s">
        <v>14</v>
      </c>
      <c r="E55" s="203" t="s">
        <v>721</v>
      </c>
      <c r="F55" s="204" t="s">
        <v>785</v>
      </c>
      <c r="G55" s="205" t="s">
        <v>786</v>
      </c>
      <c r="H55" s="205" t="s">
        <v>787</v>
      </c>
      <c r="I55" s="224">
        <f>MIN(F60:H60)</f>
        <v>139</v>
      </c>
    </row>
    <row r="56" spans="1:9" s="207" customFormat="1" ht="15" customHeight="1">
      <c r="A56" s="208"/>
      <c r="B56" s="209"/>
      <c r="C56" s="210"/>
      <c r="D56" s="211"/>
      <c r="E56" s="212" t="s">
        <v>725</v>
      </c>
      <c r="F56" s="213" t="s">
        <v>788</v>
      </c>
      <c r="G56" s="214" t="s">
        <v>789</v>
      </c>
      <c r="H56" s="214" t="s">
        <v>790</v>
      </c>
      <c r="I56" s="404" t="s">
        <v>1395</v>
      </c>
    </row>
    <row r="57" spans="1:9" s="207" customFormat="1" ht="15" customHeight="1">
      <c r="A57" s="208"/>
      <c r="B57" s="209"/>
      <c r="C57" s="210"/>
      <c r="D57" s="211"/>
      <c r="E57" s="212" t="s">
        <v>729</v>
      </c>
      <c r="F57" s="215" t="s">
        <v>791</v>
      </c>
      <c r="G57" s="227">
        <v>45533</v>
      </c>
      <c r="H57" s="216" t="s">
        <v>791</v>
      </c>
      <c r="I57" s="404"/>
    </row>
    <row r="58" spans="1:9" s="207" customFormat="1" ht="15" customHeight="1">
      <c r="A58" s="208"/>
      <c r="B58" s="209"/>
      <c r="C58" s="210"/>
      <c r="D58" s="211"/>
      <c r="E58" s="212" t="s">
        <v>731</v>
      </c>
      <c r="F58" s="215" t="s">
        <v>755</v>
      </c>
      <c r="G58" s="216" t="s">
        <v>792</v>
      </c>
      <c r="H58" s="216" t="s">
        <v>755</v>
      </c>
      <c r="I58" s="404"/>
    </row>
    <row r="59" spans="1:9" s="207" customFormat="1" ht="15" customHeight="1">
      <c r="A59" s="208"/>
      <c r="B59" s="209"/>
      <c r="C59" s="210"/>
      <c r="D59" s="211"/>
      <c r="E59" s="212" t="s">
        <v>734</v>
      </c>
      <c r="F59" s="215" t="s">
        <v>793</v>
      </c>
      <c r="G59" s="216" t="s">
        <v>794</v>
      </c>
      <c r="H59" s="216" t="s">
        <v>795</v>
      </c>
      <c r="I59" s="231">
        <v>1.0254481600000001</v>
      </c>
    </row>
    <row r="60" spans="1:9" s="207" customFormat="1" ht="15" customHeight="1" thickBot="1">
      <c r="A60" s="217"/>
      <c r="B60" s="218"/>
      <c r="C60" s="219"/>
      <c r="D60" s="220"/>
      <c r="E60" s="221" t="s">
        <v>255</v>
      </c>
      <c r="F60" s="222">
        <v>233.32999999999998</v>
      </c>
      <c r="G60" s="226">
        <v>139</v>
      </c>
      <c r="H60" s="226">
        <v>436.59000000000003</v>
      </c>
      <c r="I60" s="232">
        <f>TRUNC(I55*I59,2)</f>
        <v>142.53</v>
      </c>
    </row>
    <row r="61" spans="1:9" s="207" customFormat="1" ht="15" customHeight="1" thickBot="1">
      <c r="A61" s="195"/>
      <c r="B61" s="195"/>
      <c r="C61" s="196"/>
      <c r="D61" s="197"/>
      <c r="E61" s="197"/>
      <c r="F61" s="198"/>
      <c r="G61" s="198"/>
      <c r="H61" s="198"/>
      <c r="I61" s="198"/>
    </row>
    <row r="62" spans="1:9" s="207" customFormat="1" ht="30" customHeight="1">
      <c r="A62" s="199"/>
      <c r="B62" s="200" t="s">
        <v>350</v>
      </c>
      <c r="C62" s="201" t="s">
        <v>796</v>
      </c>
      <c r="D62" s="202" t="s">
        <v>797</v>
      </c>
      <c r="E62" s="203" t="s">
        <v>721</v>
      </c>
      <c r="F62" s="204" t="s">
        <v>798</v>
      </c>
      <c r="G62" s="204" t="s">
        <v>799</v>
      </c>
      <c r="H62" s="205" t="s">
        <v>800</v>
      </c>
      <c r="I62" s="224">
        <f>MIN(F67:H67)</f>
        <v>0.4</v>
      </c>
    </row>
    <row r="63" spans="1:9" s="207" customFormat="1" ht="15" customHeight="1">
      <c r="A63" s="208"/>
      <c r="B63" s="209"/>
      <c r="C63" s="210"/>
      <c r="D63" s="211"/>
      <c r="E63" s="212" t="s">
        <v>725</v>
      </c>
      <c r="F63" s="213" t="s">
        <v>753</v>
      </c>
      <c r="G63" s="213" t="s">
        <v>801</v>
      </c>
      <c r="H63" s="214" t="s">
        <v>802</v>
      </c>
      <c r="I63" s="404" t="s">
        <v>1395</v>
      </c>
    </row>
    <row r="64" spans="1:9" s="207" customFormat="1" ht="15" customHeight="1">
      <c r="A64" s="208"/>
      <c r="B64" s="209"/>
      <c r="C64" s="210"/>
      <c r="D64" s="211"/>
      <c r="E64" s="212" t="s">
        <v>729</v>
      </c>
      <c r="F64" s="215" t="s">
        <v>803</v>
      </c>
      <c r="G64" s="215" t="s">
        <v>803</v>
      </c>
      <c r="H64" s="227"/>
      <c r="I64" s="404"/>
    </row>
    <row r="65" spans="1:9" s="207" customFormat="1" ht="15" customHeight="1">
      <c r="A65" s="208"/>
      <c r="B65" s="209"/>
      <c r="C65" s="210"/>
      <c r="D65" s="211"/>
      <c r="E65" s="212" t="s">
        <v>731</v>
      </c>
      <c r="F65" s="215" t="s">
        <v>804</v>
      </c>
      <c r="G65" s="215" t="s">
        <v>804</v>
      </c>
      <c r="H65" s="215" t="s">
        <v>804</v>
      </c>
      <c r="I65" s="404"/>
    </row>
    <row r="66" spans="1:9" s="207" customFormat="1" ht="15" customHeight="1">
      <c r="A66" s="208"/>
      <c r="B66" s="209"/>
      <c r="C66" s="210"/>
      <c r="D66" s="211"/>
      <c r="E66" s="212" t="s">
        <v>734</v>
      </c>
      <c r="F66" s="215" t="s">
        <v>757</v>
      </c>
      <c r="G66" s="215" t="s">
        <v>805</v>
      </c>
      <c r="H66" s="216" t="s">
        <v>806</v>
      </c>
      <c r="I66" s="231">
        <v>1.0254481600000001</v>
      </c>
    </row>
    <row r="67" spans="1:9" s="207" customFormat="1" ht="15" customHeight="1" thickBot="1">
      <c r="A67" s="217"/>
      <c r="B67" s="218"/>
      <c r="C67" s="219"/>
      <c r="D67" s="220"/>
      <c r="E67" s="221" t="s">
        <v>255</v>
      </c>
      <c r="F67" s="222">
        <v>0.56999999999999995</v>
      </c>
      <c r="G67" s="222">
        <v>0.49</v>
      </c>
      <c r="H67" s="226">
        <v>0.4</v>
      </c>
      <c r="I67" s="232">
        <f>TRUNC(I62*I66,2)</f>
        <v>0.41</v>
      </c>
    </row>
    <row r="68" spans="1:9" s="207" customFormat="1" ht="15" customHeight="1" thickBot="1">
      <c r="A68" s="195"/>
      <c r="B68" s="195"/>
      <c r="C68" s="196"/>
      <c r="D68" s="197"/>
      <c r="E68" s="197"/>
      <c r="F68" s="198"/>
      <c r="G68" s="198"/>
      <c r="H68" s="198"/>
      <c r="I68" s="198"/>
    </row>
    <row r="69" spans="1:9" s="207" customFormat="1" ht="30" customHeight="1">
      <c r="A69" s="199"/>
      <c r="B69" s="200" t="s">
        <v>364</v>
      </c>
      <c r="C69" s="201" t="s">
        <v>807</v>
      </c>
      <c r="D69" s="202" t="s">
        <v>14</v>
      </c>
      <c r="E69" s="203" t="s">
        <v>721</v>
      </c>
      <c r="F69" s="204" t="s">
        <v>808</v>
      </c>
      <c r="G69" s="204" t="s">
        <v>798</v>
      </c>
      <c r="H69" s="205" t="s">
        <v>738</v>
      </c>
      <c r="I69" s="224">
        <f>MIN(F74:H74)</f>
        <v>2.06</v>
      </c>
    </row>
    <row r="70" spans="1:9" s="207" customFormat="1" ht="15" customHeight="1">
      <c r="A70" s="208"/>
      <c r="B70" s="209"/>
      <c r="C70" s="210"/>
      <c r="D70" s="211"/>
      <c r="E70" s="212" t="s">
        <v>725</v>
      </c>
      <c r="F70" s="213" t="s">
        <v>809</v>
      </c>
      <c r="G70" s="213" t="s">
        <v>753</v>
      </c>
      <c r="H70" s="214" t="s">
        <v>741</v>
      </c>
      <c r="I70" s="404" t="s">
        <v>1395</v>
      </c>
    </row>
    <row r="71" spans="1:9" s="207" customFormat="1" ht="15" customHeight="1">
      <c r="A71" s="208"/>
      <c r="B71" s="209"/>
      <c r="C71" s="210"/>
      <c r="D71" s="211"/>
      <c r="E71" s="212" t="s">
        <v>729</v>
      </c>
      <c r="F71" s="215" t="s">
        <v>810</v>
      </c>
      <c r="G71" s="215" t="s">
        <v>803</v>
      </c>
      <c r="H71" s="216" t="s">
        <v>810</v>
      </c>
      <c r="I71" s="404"/>
    </row>
    <row r="72" spans="1:9" s="207" customFormat="1" ht="15" customHeight="1">
      <c r="A72" s="208"/>
      <c r="B72" s="209"/>
      <c r="C72" s="210"/>
      <c r="D72" s="211"/>
      <c r="E72" s="212" t="s">
        <v>731</v>
      </c>
      <c r="F72" s="215" t="s">
        <v>804</v>
      </c>
      <c r="G72" s="215" t="s">
        <v>804</v>
      </c>
      <c r="H72" s="216" t="s">
        <v>755</v>
      </c>
      <c r="I72" s="404"/>
    </row>
    <row r="73" spans="1:9" s="207" customFormat="1" ht="15" customHeight="1">
      <c r="A73" s="208"/>
      <c r="B73" s="209"/>
      <c r="C73" s="210"/>
      <c r="D73" s="211"/>
      <c r="E73" s="212" t="s">
        <v>734</v>
      </c>
      <c r="F73" s="215" t="s">
        <v>811</v>
      </c>
      <c r="G73" s="215" t="s">
        <v>757</v>
      </c>
      <c r="H73" s="216" t="s">
        <v>748</v>
      </c>
      <c r="I73" s="231">
        <v>1.0254481600000001</v>
      </c>
    </row>
    <row r="74" spans="1:9" s="207" customFormat="1" ht="15" customHeight="1" thickBot="1">
      <c r="A74" s="217"/>
      <c r="B74" s="218"/>
      <c r="C74" s="219"/>
      <c r="D74" s="220"/>
      <c r="E74" s="221" t="s">
        <v>255</v>
      </c>
      <c r="F74" s="222">
        <v>3.09</v>
      </c>
      <c r="G74" s="222">
        <v>2.06</v>
      </c>
      <c r="H74" s="226">
        <v>3.06</v>
      </c>
      <c r="I74" s="232">
        <f>TRUNC(I69*I73,2)</f>
        <v>2.11</v>
      </c>
    </row>
    <row r="75" spans="1:9" s="207" customFormat="1" ht="15" customHeight="1" thickBot="1">
      <c r="A75" s="195"/>
      <c r="B75" s="195"/>
      <c r="C75" s="196"/>
      <c r="D75" s="197"/>
      <c r="E75" s="197"/>
      <c r="F75" s="198"/>
      <c r="G75" s="198"/>
      <c r="H75" s="198"/>
      <c r="I75" s="198"/>
    </row>
    <row r="76" spans="1:9" s="207" customFormat="1" ht="30" customHeight="1">
      <c r="A76" s="199"/>
      <c r="B76" s="200" t="s">
        <v>356</v>
      </c>
      <c r="C76" s="201" t="s">
        <v>357</v>
      </c>
      <c r="D76" s="202" t="s">
        <v>14</v>
      </c>
      <c r="E76" s="203" t="s">
        <v>721</v>
      </c>
      <c r="F76" s="204" t="s">
        <v>812</v>
      </c>
      <c r="G76" s="204" t="s">
        <v>813</v>
      </c>
      <c r="H76" s="205" t="s">
        <v>814</v>
      </c>
      <c r="I76" s="224">
        <f>MIN(F81:H81)</f>
        <v>0.63</v>
      </c>
    </row>
    <row r="77" spans="1:9" s="207" customFormat="1" ht="15" customHeight="1">
      <c r="A77" s="208"/>
      <c r="B77" s="209"/>
      <c r="C77" s="210"/>
      <c r="D77" s="211"/>
      <c r="E77" s="212" t="s">
        <v>725</v>
      </c>
      <c r="F77" s="213" t="s">
        <v>815</v>
      </c>
      <c r="G77" s="213" t="s">
        <v>753</v>
      </c>
      <c r="H77" s="214" t="s">
        <v>816</v>
      </c>
      <c r="I77" s="404" t="s">
        <v>1395</v>
      </c>
    </row>
    <row r="78" spans="1:9" s="207" customFormat="1" ht="15" customHeight="1">
      <c r="A78" s="208"/>
      <c r="B78" s="209"/>
      <c r="C78" s="210"/>
      <c r="D78" s="211"/>
      <c r="E78" s="212" t="s">
        <v>729</v>
      </c>
      <c r="F78" s="215" t="s">
        <v>810</v>
      </c>
      <c r="G78" s="215" t="s">
        <v>810</v>
      </c>
      <c r="H78" s="216" t="s">
        <v>803</v>
      </c>
      <c r="I78" s="404"/>
    </row>
    <row r="79" spans="1:9" s="207" customFormat="1" ht="15" customHeight="1">
      <c r="A79" s="208"/>
      <c r="B79" s="209"/>
      <c r="C79" s="210"/>
      <c r="D79" s="211"/>
      <c r="E79" s="212" t="s">
        <v>731</v>
      </c>
      <c r="F79" s="215" t="s">
        <v>755</v>
      </c>
      <c r="G79" s="215" t="s">
        <v>755</v>
      </c>
      <c r="H79" s="215" t="s">
        <v>755</v>
      </c>
      <c r="I79" s="404"/>
    </row>
    <row r="80" spans="1:9" s="207" customFormat="1" ht="15" customHeight="1">
      <c r="A80" s="208"/>
      <c r="B80" s="209"/>
      <c r="C80" s="210"/>
      <c r="D80" s="211"/>
      <c r="E80" s="212" t="s">
        <v>734</v>
      </c>
      <c r="F80" s="215" t="s">
        <v>818</v>
      </c>
      <c r="G80" s="215" t="s">
        <v>757</v>
      </c>
      <c r="H80" s="216" t="s">
        <v>817</v>
      </c>
      <c r="I80" s="231">
        <v>1.0254481600000001</v>
      </c>
    </row>
    <row r="81" spans="1:9" s="207" customFormat="1" ht="15" customHeight="1" thickBot="1">
      <c r="A81" s="217"/>
      <c r="B81" s="218"/>
      <c r="C81" s="219"/>
      <c r="D81" s="220"/>
      <c r="E81" s="221" t="s">
        <v>255</v>
      </c>
      <c r="F81" s="222">
        <v>1.36</v>
      </c>
      <c r="G81" s="222">
        <v>0.99</v>
      </c>
      <c r="H81" s="226">
        <v>0.63</v>
      </c>
      <c r="I81" s="232">
        <f>TRUNC(I76*I80,2)</f>
        <v>0.64</v>
      </c>
    </row>
    <row r="82" spans="1:9" s="207" customFormat="1" ht="15" customHeight="1" thickBot="1">
      <c r="A82" s="195"/>
      <c r="B82" s="195"/>
      <c r="C82" s="196"/>
      <c r="D82" s="197"/>
      <c r="E82" s="197"/>
      <c r="F82" s="198"/>
      <c r="G82" s="198"/>
      <c r="H82" s="198"/>
      <c r="I82" s="198"/>
    </row>
    <row r="83" spans="1:9" s="207" customFormat="1" ht="30" customHeight="1">
      <c r="A83" s="199"/>
      <c r="B83" s="200" t="s">
        <v>358</v>
      </c>
      <c r="C83" s="201" t="s">
        <v>359</v>
      </c>
      <c r="D83" s="202" t="s">
        <v>70</v>
      </c>
      <c r="E83" s="203" t="s">
        <v>721</v>
      </c>
      <c r="F83" s="204" t="s">
        <v>808</v>
      </c>
      <c r="G83" s="204" t="s">
        <v>813</v>
      </c>
      <c r="H83" s="205" t="s">
        <v>819</v>
      </c>
      <c r="I83" s="224">
        <f>MIN(F88:H88)</f>
        <v>1.1000000000000001</v>
      </c>
    </row>
    <row r="84" spans="1:9" s="207" customFormat="1" ht="15" customHeight="1">
      <c r="A84" s="208"/>
      <c r="B84" s="209"/>
      <c r="C84" s="210"/>
      <c r="D84" s="211"/>
      <c r="E84" s="212" t="s">
        <v>725</v>
      </c>
      <c r="F84" s="213" t="s">
        <v>809</v>
      </c>
      <c r="G84" s="213" t="s">
        <v>753</v>
      </c>
      <c r="H84" s="214" t="s">
        <v>820</v>
      </c>
      <c r="I84" s="404" t="s">
        <v>1395</v>
      </c>
    </row>
    <row r="85" spans="1:9" s="207" customFormat="1" ht="15" customHeight="1">
      <c r="A85" s="208"/>
      <c r="B85" s="209"/>
      <c r="C85" s="210"/>
      <c r="D85" s="211"/>
      <c r="E85" s="212" t="s">
        <v>729</v>
      </c>
      <c r="F85" s="215" t="s">
        <v>810</v>
      </c>
      <c r="G85" s="215" t="s">
        <v>810</v>
      </c>
      <c r="H85" s="216" t="s">
        <v>810</v>
      </c>
      <c r="I85" s="404"/>
    </row>
    <row r="86" spans="1:9" s="207" customFormat="1" ht="15" customHeight="1">
      <c r="A86" s="208"/>
      <c r="B86" s="209"/>
      <c r="C86" s="210"/>
      <c r="D86" s="211"/>
      <c r="E86" s="212" t="s">
        <v>731</v>
      </c>
      <c r="F86" s="215" t="s">
        <v>821</v>
      </c>
      <c r="G86" s="215" t="s">
        <v>821</v>
      </c>
      <c r="H86" s="216" t="s">
        <v>821</v>
      </c>
      <c r="I86" s="404"/>
    </row>
    <row r="87" spans="1:9" s="207" customFormat="1" ht="15" customHeight="1">
      <c r="A87" s="208"/>
      <c r="B87" s="209"/>
      <c r="C87" s="210"/>
      <c r="D87" s="211"/>
      <c r="E87" s="212" t="s">
        <v>734</v>
      </c>
      <c r="F87" s="215" t="s">
        <v>811</v>
      </c>
      <c r="G87" s="215" t="s">
        <v>757</v>
      </c>
      <c r="H87" s="216" t="s">
        <v>822</v>
      </c>
      <c r="I87" s="231">
        <v>1.0254481600000001</v>
      </c>
    </row>
    <row r="88" spans="1:9" s="207" customFormat="1" ht="15" customHeight="1" thickBot="1">
      <c r="A88" s="217"/>
      <c r="B88" s="218"/>
      <c r="C88" s="219"/>
      <c r="D88" s="220"/>
      <c r="E88" s="221" t="s">
        <v>255</v>
      </c>
      <c r="F88" s="222">
        <v>1.1599999999999999</v>
      </c>
      <c r="G88" s="222">
        <v>1.1000000000000001</v>
      </c>
      <c r="H88" s="226">
        <v>1.65</v>
      </c>
      <c r="I88" s="232">
        <f>TRUNC(I83*I87,2)</f>
        <v>1.1200000000000001</v>
      </c>
    </row>
    <row r="89" spans="1:9" s="207" customFormat="1" ht="15" customHeight="1" thickBot="1">
      <c r="A89" s="195"/>
      <c r="B89" s="195"/>
      <c r="C89" s="196"/>
      <c r="D89" s="197"/>
      <c r="E89" s="197"/>
      <c r="F89" s="198"/>
      <c r="G89" s="198"/>
      <c r="H89" s="198"/>
      <c r="I89" s="198"/>
    </row>
    <row r="90" spans="1:9" s="207" customFormat="1" ht="30" customHeight="1">
      <c r="A90" s="199"/>
      <c r="B90" s="200" t="s">
        <v>361</v>
      </c>
      <c r="C90" s="201" t="s">
        <v>362</v>
      </c>
      <c r="D90" s="202" t="s">
        <v>14</v>
      </c>
      <c r="E90" s="203" t="s">
        <v>721</v>
      </c>
      <c r="F90" s="204" t="s">
        <v>808</v>
      </c>
      <c r="G90" s="204" t="s">
        <v>813</v>
      </c>
      <c r="H90" s="205" t="s">
        <v>819</v>
      </c>
      <c r="I90" s="224">
        <f>MIN(F95:H95)</f>
        <v>1.39</v>
      </c>
    </row>
    <row r="91" spans="1:9" s="207" customFormat="1" ht="15" customHeight="1">
      <c r="A91" s="208"/>
      <c r="B91" s="209"/>
      <c r="C91" s="210"/>
      <c r="D91" s="211"/>
      <c r="E91" s="212" t="s">
        <v>725</v>
      </c>
      <c r="F91" s="213" t="s">
        <v>809</v>
      </c>
      <c r="G91" s="213" t="s">
        <v>753</v>
      </c>
      <c r="H91" s="214" t="s">
        <v>820</v>
      </c>
      <c r="I91" s="404" t="s">
        <v>1395</v>
      </c>
    </row>
    <row r="92" spans="1:9" s="207" customFormat="1" ht="15" customHeight="1">
      <c r="A92" s="208"/>
      <c r="B92" s="209"/>
      <c r="C92" s="210"/>
      <c r="D92" s="211"/>
      <c r="E92" s="212" t="s">
        <v>729</v>
      </c>
      <c r="F92" s="215" t="s">
        <v>810</v>
      </c>
      <c r="G92" s="215" t="s">
        <v>810</v>
      </c>
      <c r="H92" s="216" t="s">
        <v>810</v>
      </c>
      <c r="I92" s="404"/>
    </row>
    <row r="93" spans="1:9" s="207" customFormat="1" ht="15" customHeight="1">
      <c r="A93" s="208"/>
      <c r="B93" s="209"/>
      <c r="C93" s="210"/>
      <c r="D93" s="211"/>
      <c r="E93" s="212" t="s">
        <v>731</v>
      </c>
      <c r="F93" s="215" t="s">
        <v>821</v>
      </c>
      <c r="G93" s="215" t="s">
        <v>821</v>
      </c>
      <c r="H93" s="216" t="s">
        <v>821</v>
      </c>
      <c r="I93" s="404"/>
    </row>
    <row r="94" spans="1:9" s="207" customFormat="1" ht="15" customHeight="1">
      <c r="A94" s="208"/>
      <c r="B94" s="209"/>
      <c r="C94" s="210"/>
      <c r="D94" s="211"/>
      <c r="E94" s="212" t="s">
        <v>734</v>
      </c>
      <c r="F94" s="215" t="s">
        <v>811</v>
      </c>
      <c r="G94" s="215" t="s">
        <v>757</v>
      </c>
      <c r="H94" s="216" t="s">
        <v>822</v>
      </c>
      <c r="I94" s="231">
        <v>1.0254481600000001</v>
      </c>
    </row>
    <row r="95" spans="1:9" s="207" customFormat="1" ht="15" customHeight="1" thickBot="1">
      <c r="A95" s="217"/>
      <c r="B95" s="218"/>
      <c r="C95" s="219"/>
      <c r="D95" s="220"/>
      <c r="E95" s="221" t="s">
        <v>255</v>
      </c>
      <c r="F95" s="222">
        <v>2.1800000000000002</v>
      </c>
      <c r="G95" s="222">
        <v>1.39</v>
      </c>
      <c r="H95" s="226">
        <v>2.8</v>
      </c>
      <c r="I95" s="232">
        <f>TRUNC(I90*I94,2)</f>
        <v>1.42</v>
      </c>
    </row>
    <row r="96" spans="1:9" s="207" customFormat="1" ht="15" customHeight="1" thickBot="1">
      <c r="A96" s="195"/>
      <c r="B96" s="195"/>
      <c r="C96" s="196"/>
      <c r="D96" s="197"/>
      <c r="E96" s="197"/>
      <c r="F96" s="198"/>
      <c r="G96" s="198"/>
      <c r="H96" s="198"/>
      <c r="I96" s="198"/>
    </row>
    <row r="97" spans="1:9" s="207" customFormat="1" ht="30" customHeight="1">
      <c r="A97" s="199"/>
      <c r="B97" s="200" t="s">
        <v>353</v>
      </c>
      <c r="C97" s="201" t="s">
        <v>823</v>
      </c>
      <c r="D97" s="202" t="s">
        <v>14</v>
      </c>
      <c r="E97" s="203" t="s">
        <v>721</v>
      </c>
      <c r="F97" s="204" t="s">
        <v>813</v>
      </c>
      <c r="G97" s="204" t="s">
        <v>799</v>
      </c>
      <c r="H97" s="205" t="s">
        <v>814</v>
      </c>
      <c r="I97" s="224">
        <f>MIN(F102:H102)</f>
        <v>0.63</v>
      </c>
    </row>
    <row r="98" spans="1:9" s="207" customFormat="1" ht="15" customHeight="1">
      <c r="A98" s="208"/>
      <c r="B98" s="209"/>
      <c r="C98" s="210"/>
      <c r="D98" s="211"/>
      <c r="E98" s="212" t="s">
        <v>725</v>
      </c>
      <c r="F98" s="213" t="s">
        <v>753</v>
      </c>
      <c r="G98" s="213" t="s">
        <v>801</v>
      </c>
      <c r="H98" s="214" t="s">
        <v>816</v>
      </c>
      <c r="I98" s="404" t="s">
        <v>1395</v>
      </c>
    </row>
    <row r="99" spans="1:9" s="207" customFormat="1" ht="15" customHeight="1">
      <c r="A99" s="208"/>
      <c r="B99" s="209"/>
      <c r="C99" s="210"/>
      <c r="D99" s="211"/>
      <c r="E99" s="212" t="s">
        <v>729</v>
      </c>
      <c r="F99" s="215" t="s">
        <v>803</v>
      </c>
      <c r="G99" s="215" t="s">
        <v>803</v>
      </c>
      <c r="H99" s="216" t="s">
        <v>803</v>
      </c>
      <c r="I99" s="404"/>
    </row>
    <row r="100" spans="1:9" s="207" customFormat="1" ht="15" customHeight="1">
      <c r="A100" s="208"/>
      <c r="B100" s="209"/>
      <c r="C100" s="210"/>
      <c r="D100" s="211"/>
      <c r="E100" s="212" t="s">
        <v>731</v>
      </c>
      <c r="F100" s="215" t="s">
        <v>821</v>
      </c>
      <c r="G100" s="215" t="s">
        <v>821</v>
      </c>
      <c r="H100" s="216" t="s">
        <v>821</v>
      </c>
      <c r="I100" s="404"/>
    </row>
    <row r="101" spans="1:9" s="207" customFormat="1" ht="15" customHeight="1">
      <c r="A101" s="208"/>
      <c r="B101" s="209"/>
      <c r="C101" s="210"/>
      <c r="D101" s="211"/>
      <c r="E101" s="212" t="s">
        <v>734</v>
      </c>
      <c r="F101" s="215" t="s">
        <v>757</v>
      </c>
      <c r="G101" s="215" t="s">
        <v>805</v>
      </c>
      <c r="H101" s="216" t="s">
        <v>817</v>
      </c>
      <c r="I101" s="231">
        <v>1.0254481600000001</v>
      </c>
    </row>
    <row r="102" spans="1:9" s="207" customFormat="1" ht="15" customHeight="1" thickBot="1">
      <c r="A102" s="217"/>
      <c r="B102" s="218"/>
      <c r="C102" s="219"/>
      <c r="D102" s="220"/>
      <c r="E102" s="221" t="s">
        <v>255</v>
      </c>
      <c r="F102" s="222">
        <v>0.89</v>
      </c>
      <c r="G102" s="222">
        <v>0.8</v>
      </c>
      <c r="H102" s="226">
        <v>0.63</v>
      </c>
      <c r="I102" s="232">
        <f>TRUNC(I97*I101,2)</f>
        <v>0.64</v>
      </c>
    </row>
    <row r="103" spans="1:9" s="207" customFormat="1" ht="15" customHeight="1" thickBot="1">
      <c r="A103" s="195"/>
      <c r="B103" s="195"/>
      <c r="C103" s="196"/>
      <c r="D103" s="197"/>
      <c r="E103" s="197"/>
      <c r="F103" s="198"/>
      <c r="G103" s="198"/>
      <c r="H103" s="198"/>
      <c r="I103" s="198"/>
    </row>
    <row r="104" spans="1:9" s="207" customFormat="1" ht="30" customHeight="1">
      <c r="A104" s="199"/>
      <c r="B104" s="200" t="s">
        <v>367</v>
      </c>
      <c r="C104" s="201" t="s">
        <v>368</v>
      </c>
      <c r="D104" s="202" t="s">
        <v>14</v>
      </c>
      <c r="E104" s="203" t="s">
        <v>721</v>
      </c>
      <c r="F104" s="204" t="s">
        <v>808</v>
      </c>
      <c r="G104" s="204" t="s">
        <v>813</v>
      </c>
      <c r="H104" s="205" t="s">
        <v>738</v>
      </c>
      <c r="I104" s="224">
        <f>MIN(F109:H109)</f>
        <v>3.22</v>
      </c>
    </row>
    <row r="105" spans="1:9" s="207" customFormat="1" ht="15" customHeight="1">
      <c r="A105" s="208"/>
      <c r="B105" s="209"/>
      <c r="C105" s="210"/>
      <c r="D105" s="211"/>
      <c r="E105" s="212" t="s">
        <v>725</v>
      </c>
      <c r="F105" s="213" t="s">
        <v>809</v>
      </c>
      <c r="G105" s="213" t="s">
        <v>753</v>
      </c>
      <c r="H105" s="214" t="s">
        <v>741</v>
      </c>
      <c r="I105" s="404" t="s">
        <v>1395</v>
      </c>
    </row>
    <row r="106" spans="1:9" s="207" customFormat="1" ht="15" customHeight="1">
      <c r="A106" s="208"/>
      <c r="B106" s="209"/>
      <c r="C106" s="210"/>
      <c r="D106" s="211"/>
      <c r="E106" s="212" t="s">
        <v>729</v>
      </c>
      <c r="F106" s="215" t="s">
        <v>810</v>
      </c>
      <c r="G106" s="215" t="s">
        <v>810</v>
      </c>
      <c r="H106" s="216" t="s">
        <v>810</v>
      </c>
      <c r="I106" s="404"/>
    </row>
    <row r="107" spans="1:9" s="207" customFormat="1" ht="15" customHeight="1">
      <c r="A107" s="208"/>
      <c r="B107" s="209"/>
      <c r="C107" s="210"/>
      <c r="D107" s="211"/>
      <c r="E107" s="212" t="s">
        <v>731</v>
      </c>
      <c r="F107" s="216" t="s">
        <v>755</v>
      </c>
      <c r="G107" s="216" t="s">
        <v>755</v>
      </c>
      <c r="H107" s="216" t="s">
        <v>755</v>
      </c>
      <c r="I107" s="404"/>
    </row>
    <row r="108" spans="1:9" s="207" customFormat="1" ht="15" customHeight="1">
      <c r="A108" s="208"/>
      <c r="B108" s="209"/>
      <c r="C108" s="210"/>
      <c r="D108" s="211"/>
      <c r="E108" s="212" t="s">
        <v>734</v>
      </c>
      <c r="F108" s="215" t="s">
        <v>811</v>
      </c>
      <c r="G108" s="215" t="s">
        <v>757</v>
      </c>
      <c r="H108" s="216" t="s">
        <v>748</v>
      </c>
      <c r="I108" s="231">
        <v>1.0254481600000001</v>
      </c>
    </row>
    <row r="109" spans="1:9" s="207" customFormat="1" ht="15" customHeight="1" thickBot="1">
      <c r="A109" s="217"/>
      <c r="B109" s="218"/>
      <c r="C109" s="219"/>
      <c r="D109" s="220"/>
      <c r="E109" s="221" t="s">
        <v>255</v>
      </c>
      <c r="F109" s="222">
        <v>4.74</v>
      </c>
      <c r="G109" s="222">
        <v>3.54</v>
      </c>
      <c r="H109" s="226">
        <v>3.22</v>
      </c>
      <c r="I109" s="232">
        <f>TRUNC(I104*I108,2)</f>
        <v>3.3</v>
      </c>
    </row>
    <row r="110" spans="1:9" s="207" customFormat="1" ht="15" customHeight="1" thickBot="1">
      <c r="A110" s="195"/>
      <c r="B110" s="195"/>
      <c r="C110" s="196"/>
      <c r="D110" s="197"/>
      <c r="E110" s="197"/>
      <c r="F110" s="198"/>
      <c r="G110" s="198"/>
      <c r="H110" s="198"/>
      <c r="I110" s="198"/>
    </row>
    <row r="111" spans="1:9" s="207" customFormat="1" ht="30" customHeight="1">
      <c r="A111" s="199"/>
      <c r="B111" s="200" t="s">
        <v>386</v>
      </c>
      <c r="C111" s="201" t="s">
        <v>387</v>
      </c>
      <c r="D111" s="202" t="s">
        <v>70</v>
      </c>
      <c r="E111" s="203" t="s">
        <v>721</v>
      </c>
      <c r="F111" s="204" t="s">
        <v>824</v>
      </c>
      <c r="G111" s="204" t="s">
        <v>825</v>
      </c>
      <c r="H111" s="205" t="s">
        <v>826</v>
      </c>
      <c r="I111" s="224">
        <f>MIN(F116:H116)</f>
        <v>6.56</v>
      </c>
    </row>
    <row r="112" spans="1:9" s="207" customFormat="1" ht="15" customHeight="1">
      <c r="A112" s="208"/>
      <c r="B112" s="209"/>
      <c r="C112" s="210"/>
      <c r="D112" s="211"/>
      <c r="E112" s="212" t="s">
        <v>725</v>
      </c>
      <c r="F112" s="213" t="s">
        <v>827</v>
      </c>
      <c r="G112" s="213" t="s">
        <v>828</v>
      </c>
      <c r="H112" s="214" t="s">
        <v>829</v>
      </c>
      <c r="I112" s="404" t="s">
        <v>1395</v>
      </c>
    </row>
    <row r="113" spans="1:9" s="207" customFormat="1" ht="15" customHeight="1">
      <c r="A113" s="208"/>
      <c r="B113" s="209"/>
      <c r="C113" s="210"/>
      <c r="D113" s="211"/>
      <c r="E113" s="212" t="s">
        <v>729</v>
      </c>
      <c r="F113" s="215" t="s">
        <v>830</v>
      </c>
      <c r="G113" s="215" t="s">
        <v>830</v>
      </c>
      <c r="H113" s="215" t="s">
        <v>830</v>
      </c>
      <c r="I113" s="404"/>
    </row>
    <row r="114" spans="1:9" s="207" customFormat="1" ht="15" customHeight="1">
      <c r="A114" s="208"/>
      <c r="B114" s="209"/>
      <c r="C114" s="210"/>
      <c r="D114" s="211"/>
      <c r="E114" s="212" t="s">
        <v>731</v>
      </c>
      <c r="F114" s="215" t="s">
        <v>755</v>
      </c>
      <c r="G114" s="215" t="s">
        <v>755</v>
      </c>
      <c r="H114" s="216" t="s">
        <v>831</v>
      </c>
      <c r="I114" s="404"/>
    </row>
    <row r="115" spans="1:9" s="207" customFormat="1" ht="15" customHeight="1">
      <c r="A115" s="208"/>
      <c r="B115" s="209"/>
      <c r="C115" s="210"/>
      <c r="D115" s="211"/>
      <c r="E115" s="212" t="s">
        <v>734</v>
      </c>
      <c r="F115" s="215" t="s">
        <v>832</v>
      </c>
      <c r="G115" s="215" t="s">
        <v>833</v>
      </c>
      <c r="H115" s="216" t="s">
        <v>834</v>
      </c>
      <c r="I115" s="231">
        <v>1.0254481600000001</v>
      </c>
    </row>
    <row r="116" spans="1:9" s="207" customFormat="1" ht="15" customHeight="1" thickBot="1">
      <c r="A116" s="217"/>
      <c r="B116" s="218"/>
      <c r="C116" s="219"/>
      <c r="D116" s="220"/>
      <c r="E116" s="221" t="s">
        <v>255</v>
      </c>
      <c r="F116" s="222">
        <v>6.56</v>
      </c>
      <c r="G116" s="222">
        <v>19.989999999999998</v>
      </c>
      <c r="H116" s="226">
        <v>14.9</v>
      </c>
      <c r="I116" s="232">
        <f>TRUNC(I111*I115,2)</f>
        <v>6.72</v>
      </c>
    </row>
    <row r="117" spans="1:9" s="207" customFormat="1" ht="15" customHeight="1" thickBot="1">
      <c r="A117" s="195"/>
      <c r="B117" s="195"/>
      <c r="C117" s="196"/>
      <c r="D117" s="197"/>
      <c r="E117" s="197"/>
      <c r="F117" s="198"/>
      <c r="G117" s="198"/>
      <c r="H117" s="198"/>
      <c r="I117" s="198"/>
    </row>
    <row r="118" spans="1:9" s="207" customFormat="1" ht="30" customHeight="1">
      <c r="A118" s="199"/>
      <c r="B118" s="200" t="s">
        <v>410</v>
      </c>
      <c r="C118" s="201" t="s">
        <v>411</v>
      </c>
      <c r="D118" s="202" t="s">
        <v>70</v>
      </c>
      <c r="E118" s="203" t="s">
        <v>721</v>
      </c>
      <c r="F118" s="204" t="s">
        <v>835</v>
      </c>
      <c r="G118" s="204" t="s">
        <v>836</v>
      </c>
      <c r="H118" s="205" t="s">
        <v>722</v>
      </c>
      <c r="I118" s="224">
        <f>MIN(F123:H123)</f>
        <v>44992</v>
      </c>
    </row>
    <row r="119" spans="1:9" s="207" customFormat="1" ht="15" customHeight="1">
      <c r="A119" s="208"/>
      <c r="B119" s="209"/>
      <c r="C119" s="210"/>
      <c r="D119" s="211"/>
      <c r="E119" s="212" t="s">
        <v>725</v>
      </c>
      <c r="F119" s="213" t="s">
        <v>837</v>
      </c>
      <c r="G119" s="213" t="s">
        <v>838</v>
      </c>
      <c r="H119" s="214" t="s">
        <v>726</v>
      </c>
      <c r="I119" s="404" t="s">
        <v>1395</v>
      </c>
    </row>
    <row r="120" spans="1:9" s="207" customFormat="1" ht="15" customHeight="1">
      <c r="A120" s="208"/>
      <c r="B120" s="209"/>
      <c r="C120" s="210"/>
      <c r="D120" s="211"/>
      <c r="E120" s="212" t="s">
        <v>729</v>
      </c>
      <c r="F120" s="215" t="s">
        <v>730</v>
      </c>
      <c r="G120" s="215" t="s">
        <v>730</v>
      </c>
      <c r="H120" s="227">
        <v>45544</v>
      </c>
      <c r="I120" s="404"/>
    </row>
    <row r="121" spans="1:9" s="207" customFormat="1" ht="15" customHeight="1">
      <c r="A121" s="208"/>
      <c r="B121" s="209"/>
      <c r="C121" s="210"/>
      <c r="D121" s="211"/>
      <c r="E121" s="212" t="s">
        <v>731</v>
      </c>
      <c r="F121" s="215" t="s">
        <v>755</v>
      </c>
      <c r="G121" s="215" t="s">
        <v>755</v>
      </c>
      <c r="H121" s="215" t="s">
        <v>755</v>
      </c>
      <c r="I121" s="404"/>
    </row>
    <row r="122" spans="1:9" s="207" customFormat="1" ht="15" customHeight="1">
      <c r="A122" s="208"/>
      <c r="B122" s="209"/>
      <c r="C122" s="210"/>
      <c r="D122" s="211"/>
      <c r="E122" s="212" t="s">
        <v>734</v>
      </c>
      <c r="F122" s="215" t="s">
        <v>839</v>
      </c>
      <c r="G122" s="215" t="s">
        <v>840</v>
      </c>
      <c r="H122" s="216" t="s">
        <v>735</v>
      </c>
      <c r="I122" s="231">
        <v>1.0254481600000001</v>
      </c>
    </row>
    <row r="123" spans="1:9" s="207" customFormat="1" ht="15" customHeight="1" thickBot="1">
      <c r="A123" s="217"/>
      <c r="B123" s="218"/>
      <c r="C123" s="219"/>
      <c r="D123" s="220"/>
      <c r="E123" s="221" t="s">
        <v>255</v>
      </c>
      <c r="F123" s="222">
        <v>56670.78</v>
      </c>
      <c r="G123" s="222">
        <v>44992</v>
      </c>
      <c r="H123" s="226">
        <v>94354.79</v>
      </c>
      <c r="I123" s="232">
        <f>TRUNC(I118*I122,2)</f>
        <v>46136.959999999999</v>
      </c>
    </row>
    <row r="124" spans="1:9" s="207" customFormat="1" ht="15" customHeight="1" thickBot="1">
      <c r="A124" s="195"/>
      <c r="B124" s="195"/>
      <c r="C124" s="196"/>
      <c r="D124" s="197"/>
      <c r="E124" s="197"/>
      <c r="F124" s="198"/>
      <c r="G124" s="198"/>
      <c r="H124" s="198"/>
      <c r="I124" s="198"/>
    </row>
    <row r="125" spans="1:9" s="207" customFormat="1" ht="30" customHeight="1">
      <c r="A125" s="199"/>
      <c r="B125" s="200" t="s">
        <v>400</v>
      </c>
      <c r="C125" s="201" t="s">
        <v>401</v>
      </c>
      <c r="D125" s="202" t="s">
        <v>14</v>
      </c>
      <c r="E125" s="203" t="s">
        <v>721</v>
      </c>
      <c r="F125" s="204" t="s">
        <v>758</v>
      </c>
      <c r="G125" s="204" t="s">
        <v>759</v>
      </c>
      <c r="H125" s="205" t="s">
        <v>813</v>
      </c>
      <c r="I125" s="224">
        <f>MIN(F130:H130)</f>
        <v>3.89</v>
      </c>
    </row>
    <row r="126" spans="1:9" s="207" customFormat="1" ht="15" customHeight="1">
      <c r="A126" s="208"/>
      <c r="B126" s="209"/>
      <c r="C126" s="210"/>
      <c r="D126" s="211"/>
      <c r="E126" s="212" t="s">
        <v>725</v>
      </c>
      <c r="F126" s="213" t="s">
        <v>760</v>
      </c>
      <c r="G126" s="213" t="s">
        <v>761</v>
      </c>
      <c r="H126" s="214" t="s">
        <v>753</v>
      </c>
      <c r="I126" s="404" t="s">
        <v>1395</v>
      </c>
    </row>
    <row r="127" spans="1:9" s="207" customFormat="1" ht="15" customHeight="1">
      <c r="A127" s="208"/>
      <c r="B127" s="209"/>
      <c r="C127" s="210"/>
      <c r="D127" s="211"/>
      <c r="E127" s="212" t="s">
        <v>729</v>
      </c>
      <c r="F127" s="215" t="s">
        <v>762</v>
      </c>
      <c r="G127" s="215" t="s">
        <v>762</v>
      </c>
      <c r="H127" s="216" t="s">
        <v>810</v>
      </c>
      <c r="I127" s="404"/>
    </row>
    <row r="128" spans="1:9" s="207" customFormat="1" ht="15" customHeight="1">
      <c r="A128" s="208"/>
      <c r="B128" s="209"/>
      <c r="C128" s="210"/>
      <c r="D128" s="211"/>
      <c r="E128" s="212" t="s">
        <v>731</v>
      </c>
      <c r="F128" s="215" t="s">
        <v>755</v>
      </c>
      <c r="G128" s="215" t="s">
        <v>755</v>
      </c>
      <c r="H128" s="215" t="s">
        <v>755</v>
      </c>
      <c r="I128" s="404"/>
    </row>
    <row r="129" spans="1:9" s="207" customFormat="1" ht="15" customHeight="1">
      <c r="A129" s="208"/>
      <c r="B129" s="209"/>
      <c r="C129" s="210"/>
      <c r="D129" s="211"/>
      <c r="E129" s="212" t="s">
        <v>734</v>
      </c>
      <c r="F129" s="215" t="s">
        <v>763</v>
      </c>
      <c r="G129" s="215" t="s">
        <v>764</v>
      </c>
      <c r="H129" s="216" t="s">
        <v>757</v>
      </c>
      <c r="I129" s="231">
        <v>1.0254481600000001</v>
      </c>
    </row>
    <row r="130" spans="1:9" s="207" customFormat="1" ht="15" customHeight="1" thickBot="1">
      <c r="A130" s="217"/>
      <c r="B130" s="218"/>
      <c r="C130" s="219"/>
      <c r="D130" s="220"/>
      <c r="E130" s="221" t="s">
        <v>255</v>
      </c>
      <c r="F130" s="222">
        <v>4.95</v>
      </c>
      <c r="G130" s="222">
        <v>4.4000000000000004</v>
      </c>
      <c r="H130" s="226">
        <v>3.89</v>
      </c>
      <c r="I130" s="232">
        <f>TRUNC(I125*I129,2)</f>
        <v>3.98</v>
      </c>
    </row>
    <row r="131" spans="1:9" s="207" customFormat="1" ht="15" customHeight="1" thickBot="1">
      <c r="A131" s="195"/>
      <c r="B131" s="195"/>
      <c r="C131" s="196"/>
      <c r="D131" s="197"/>
      <c r="E131" s="197"/>
      <c r="F131" s="198"/>
      <c r="G131" s="198"/>
      <c r="H131" s="198"/>
      <c r="I131" s="198"/>
    </row>
    <row r="132" spans="1:9" s="207" customFormat="1" ht="30" customHeight="1">
      <c r="A132" s="199"/>
      <c r="B132" s="200" t="s">
        <v>402</v>
      </c>
      <c r="C132" s="201" t="s">
        <v>403</v>
      </c>
      <c r="D132" s="202" t="s">
        <v>14</v>
      </c>
      <c r="E132" s="203" t="s">
        <v>721</v>
      </c>
      <c r="F132" s="204" t="s">
        <v>758</v>
      </c>
      <c r="G132" s="204" t="s">
        <v>759</v>
      </c>
      <c r="H132" s="205" t="s">
        <v>813</v>
      </c>
      <c r="I132" s="224">
        <f>MIN(F137:H137)</f>
        <v>3.4</v>
      </c>
    </row>
    <row r="133" spans="1:9" s="207" customFormat="1" ht="15" customHeight="1">
      <c r="A133" s="208"/>
      <c r="B133" s="209"/>
      <c r="C133" s="210"/>
      <c r="D133" s="211"/>
      <c r="E133" s="212" t="s">
        <v>725</v>
      </c>
      <c r="F133" s="213" t="s">
        <v>760</v>
      </c>
      <c r="G133" s="213" t="s">
        <v>761</v>
      </c>
      <c r="H133" s="214" t="s">
        <v>753</v>
      </c>
      <c r="I133" s="404" t="s">
        <v>1395</v>
      </c>
    </row>
    <row r="134" spans="1:9" s="207" customFormat="1" ht="15" customHeight="1">
      <c r="A134" s="208"/>
      <c r="B134" s="209"/>
      <c r="C134" s="210"/>
      <c r="D134" s="211"/>
      <c r="E134" s="212" t="s">
        <v>729</v>
      </c>
      <c r="F134" s="215" t="s">
        <v>762</v>
      </c>
      <c r="G134" s="215" t="s">
        <v>762</v>
      </c>
      <c r="H134" s="216" t="s">
        <v>810</v>
      </c>
      <c r="I134" s="404"/>
    </row>
    <row r="135" spans="1:9" s="207" customFormat="1" ht="15" customHeight="1">
      <c r="A135" s="208"/>
      <c r="B135" s="209"/>
      <c r="C135" s="210"/>
      <c r="D135" s="211"/>
      <c r="E135" s="212" t="s">
        <v>731</v>
      </c>
      <c r="F135" s="215" t="s">
        <v>755</v>
      </c>
      <c r="G135" s="215" t="s">
        <v>755</v>
      </c>
      <c r="H135" s="215" t="s">
        <v>755</v>
      </c>
      <c r="I135" s="404"/>
    </row>
    <row r="136" spans="1:9" s="207" customFormat="1" ht="15" customHeight="1">
      <c r="A136" s="208"/>
      <c r="B136" s="209"/>
      <c r="C136" s="210"/>
      <c r="D136" s="211"/>
      <c r="E136" s="212" t="s">
        <v>734</v>
      </c>
      <c r="F136" s="215" t="s">
        <v>763</v>
      </c>
      <c r="G136" s="215" t="s">
        <v>764</v>
      </c>
      <c r="H136" s="216" t="s">
        <v>757</v>
      </c>
      <c r="I136" s="231">
        <v>1.0254481600000001</v>
      </c>
    </row>
    <row r="137" spans="1:9" s="207" customFormat="1" ht="15" customHeight="1" thickBot="1">
      <c r="A137" s="217"/>
      <c r="B137" s="218"/>
      <c r="C137" s="219"/>
      <c r="D137" s="220"/>
      <c r="E137" s="221" t="s">
        <v>255</v>
      </c>
      <c r="F137" s="222">
        <v>5.45</v>
      </c>
      <c r="G137" s="222">
        <v>3.4</v>
      </c>
      <c r="H137" s="226">
        <v>4.59</v>
      </c>
      <c r="I137" s="232">
        <f>TRUNC(I132*I136,2)</f>
        <v>3.48</v>
      </c>
    </row>
    <row r="138" spans="1:9" s="207" customFormat="1" ht="15" customHeight="1" thickBot="1">
      <c r="A138" s="195"/>
      <c r="B138" s="195"/>
      <c r="C138" s="196"/>
      <c r="D138" s="197"/>
      <c r="E138" s="197"/>
      <c r="F138" s="198"/>
      <c r="G138" s="198"/>
      <c r="H138" s="198"/>
      <c r="I138" s="198"/>
    </row>
    <row r="139" spans="1:9" s="207" customFormat="1" ht="30" customHeight="1">
      <c r="A139" s="199"/>
      <c r="B139" s="200" t="s">
        <v>389</v>
      </c>
      <c r="C139" s="201" t="s">
        <v>390</v>
      </c>
      <c r="D139" s="202" t="s">
        <v>14</v>
      </c>
      <c r="E139" s="203" t="s">
        <v>721</v>
      </c>
      <c r="F139" s="204" t="s">
        <v>841</v>
      </c>
      <c r="G139" s="204" t="s">
        <v>813</v>
      </c>
      <c r="H139" s="205" t="s">
        <v>842</v>
      </c>
      <c r="I139" s="224">
        <f>MIN(F144:H144)</f>
        <v>793.21</v>
      </c>
    </row>
    <row r="140" spans="1:9" s="207" customFormat="1" ht="15" customHeight="1">
      <c r="A140" s="208"/>
      <c r="B140" s="209"/>
      <c r="C140" s="210"/>
      <c r="D140" s="211"/>
      <c r="E140" s="212" t="s">
        <v>725</v>
      </c>
      <c r="F140" s="213" t="s">
        <v>843</v>
      </c>
      <c r="G140" s="213" t="s">
        <v>753</v>
      </c>
      <c r="H140" s="214" t="s">
        <v>844</v>
      </c>
      <c r="I140" s="404" t="s">
        <v>1395</v>
      </c>
    </row>
    <row r="141" spans="1:9" s="207" customFormat="1" ht="15" customHeight="1">
      <c r="A141" s="208"/>
      <c r="B141" s="209"/>
      <c r="C141" s="210"/>
      <c r="D141" s="211"/>
      <c r="E141" s="212" t="s">
        <v>729</v>
      </c>
      <c r="F141" s="215" t="s">
        <v>791</v>
      </c>
      <c r="G141" s="215" t="s">
        <v>810</v>
      </c>
      <c r="H141" s="216" t="s">
        <v>810</v>
      </c>
      <c r="I141" s="404"/>
    </row>
    <row r="142" spans="1:9" s="207" customFormat="1" ht="15" customHeight="1">
      <c r="A142" s="208"/>
      <c r="B142" s="209"/>
      <c r="C142" s="210"/>
      <c r="D142" s="211"/>
      <c r="E142" s="212" t="s">
        <v>731</v>
      </c>
      <c r="F142" s="215" t="s">
        <v>755</v>
      </c>
      <c r="G142" s="215" t="s">
        <v>755</v>
      </c>
      <c r="H142" s="215" t="s">
        <v>755</v>
      </c>
      <c r="I142" s="404"/>
    </row>
    <row r="143" spans="1:9" s="207" customFormat="1" ht="15" customHeight="1">
      <c r="A143" s="208"/>
      <c r="B143" s="209"/>
      <c r="C143" s="210"/>
      <c r="D143" s="211"/>
      <c r="E143" s="212" t="s">
        <v>734</v>
      </c>
      <c r="F143" s="215" t="s">
        <v>845</v>
      </c>
      <c r="G143" s="215" t="s">
        <v>757</v>
      </c>
      <c r="H143" s="216" t="s">
        <v>846</v>
      </c>
      <c r="I143" s="231">
        <v>1.0254481600000001</v>
      </c>
    </row>
    <row r="144" spans="1:9" s="207" customFormat="1" ht="15" customHeight="1" thickBot="1">
      <c r="A144" s="217"/>
      <c r="B144" s="218"/>
      <c r="C144" s="219"/>
      <c r="D144" s="220"/>
      <c r="E144" s="221" t="s">
        <v>255</v>
      </c>
      <c r="F144" s="222">
        <v>904.3</v>
      </c>
      <c r="G144" s="222">
        <v>793.21</v>
      </c>
      <c r="H144" s="226">
        <v>1145.71</v>
      </c>
      <c r="I144" s="232">
        <f>TRUNC(I139*I143,2)</f>
        <v>813.39</v>
      </c>
    </row>
    <row r="145" spans="1:9" s="207" customFormat="1" ht="15" customHeight="1" thickBot="1">
      <c r="A145" s="195"/>
      <c r="B145" s="195"/>
      <c r="C145" s="196"/>
      <c r="D145" s="197"/>
      <c r="E145" s="197"/>
      <c r="F145" s="198"/>
      <c r="G145" s="198"/>
      <c r="H145" s="198"/>
      <c r="I145" s="198"/>
    </row>
    <row r="146" spans="1:9" s="207" customFormat="1" ht="30" customHeight="1">
      <c r="A146" s="199"/>
      <c r="B146" s="200" t="s">
        <v>419</v>
      </c>
      <c r="C146" s="201" t="s">
        <v>420</v>
      </c>
      <c r="D146" s="202" t="s">
        <v>14</v>
      </c>
      <c r="E146" s="203" t="s">
        <v>721</v>
      </c>
      <c r="F146" s="204" t="s">
        <v>847</v>
      </c>
      <c r="G146" s="204" t="s">
        <v>848</v>
      </c>
      <c r="H146" s="205" t="s">
        <v>849</v>
      </c>
      <c r="I146" s="224">
        <f>MIN(F151:H151)</f>
        <v>70844</v>
      </c>
    </row>
    <row r="147" spans="1:9" s="207" customFormat="1" ht="15" customHeight="1">
      <c r="A147" s="208"/>
      <c r="B147" s="209"/>
      <c r="C147" s="210"/>
      <c r="D147" s="211"/>
      <c r="E147" s="212" t="s">
        <v>725</v>
      </c>
      <c r="F147" s="213" t="s">
        <v>850</v>
      </c>
      <c r="G147" s="213" t="s">
        <v>851</v>
      </c>
      <c r="H147" s="214" t="s">
        <v>852</v>
      </c>
      <c r="I147" s="404" t="s">
        <v>1395</v>
      </c>
    </row>
    <row r="148" spans="1:9" s="207" customFormat="1" ht="15" customHeight="1">
      <c r="A148" s="208"/>
      <c r="B148" s="209"/>
      <c r="C148" s="210"/>
      <c r="D148" s="211"/>
      <c r="E148" s="212" t="s">
        <v>729</v>
      </c>
      <c r="F148" s="215" t="s">
        <v>771</v>
      </c>
      <c r="G148" s="215" t="s">
        <v>771</v>
      </c>
      <c r="H148" s="216" t="s">
        <v>771</v>
      </c>
      <c r="I148" s="404"/>
    </row>
    <row r="149" spans="1:9" s="207" customFormat="1" ht="15" customHeight="1">
      <c r="A149" s="208"/>
      <c r="B149" s="209"/>
      <c r="C149" s="210"/>
      <c r="D149" s="211"/>
      <c r="E149" s="212" t="s">
        <v>731</v>
      </c>
      <c r="F149" s="215" t="s">
        <v>853</v>
      </c>
      <c r="G149" s="215" t="s">
        <v>854</v>
      </c>
      <c r="H149" s="215" t="s">
        <v>755</v>
      </c>
      <c r="I149" s="404"/>
    </row>
    <row r="150" spans="1:9" s="207" customFormat="1" ht="15" customHeight="1">
      <c r="A150" s="208"/>
      <c r="B150" s="209"/>
      <c r="C150" s="210"/>
      <c r="D150" s="211"/>
      <c r="E150" s="212" t="s">
        <v>734</v>
      </c>
      <c r="F150" s="215" t="s">
        <v>855</v>
      </c>
      <c r="G150" s="215" t="s">
        <v>856</v>
      </c>
      <c r="H150" s="216" t="s">
        <v>857</v>
      </c>
      <c r="I150" s="231">
        <v>1.0254481600000001</v>
      </c>
    </row>
    <row r="151" spans="1:9" s="207" customFormat="1" ht="15" customHeight="1" thickBot="1">
      <c r="A151" s="217"/>
      <c r="B151" s="218"/>
      <c r="C151" s="219"/>
      <c r="D151" s="220"/>
      <c r="E151" s="221" t="s">
        <v>255</v>
      </c>
      <c r="F151" s="222">
        <v>70844</v>
      </c>
      <c r="G151" s="222">
        <v>105000</v>
      </c>
      <c r="H151" s="226">
        <v>94000</v>
      </c>
      <c r="I151" s="232">
        <f>TRUNC(I146*I150,2)</f>
        <v>72646.84</v>
      </c>
    </row>
    <row r="152" spans="1:9" s="207" customFormat="1" ht="15" customHeight="1">
      <c r="A152" s="195"/>
      <c r="B152" s="195"/>
      <c r="C152" s="196"/>
      <c r="D152" s="197"/>
      <c r="E152" s="197"/>
      <c r="F152" s="198"/>
      <c r="G152" s="198"/>
      <c r="H152" s="198"/>
      <c r="I152" s="198"/>
    </row>
    <row r="153" spans="1:9" s="228" customFormat="1" ht="15" customHeight="1">
      <c r="F153" s="229"/>
      <c r="G153" s="230"/>
      <c r="H153" s="230"/>
    </row>
  </sheetData>
  <mergeCells count="20">
    <mergeCell ref="I140:I142"/>
    <mergeCell ref="I147:I149"/>
    <mergeCell ref="I98:I100"/>
    <mergeCell ref="I105:I107"/>
    <mergeCell ref="I112:I114"/>
    <mergeCell ref="I119:I121"/>
    <mergeCell ref="I126:I128"/>
    <mergeCell ref="I133:I135"/>
    <mergeCell ref="I91:I93"/>
    <mergeCell ref="I14:I16"/>
    <mergeCell ref="I21:I23"/>
    <mergeCell ref="I28:I30"/>
    <mergeCell ref="I35:I37"/>
    <mergeCell ref="I42:I44"/>
    <mergeCell ref="I49:I51"/>
    <mergeCell ref="I56:I58"/>
    <mergeCell ref="I63:I65"/>
    <mergeCell ref="I70:I72"/>
    <mergeCell ref="I77:I79"/>
    <mergeCell ref="I84:I86"/>
  </mergeCells>
  <conditionalFormatting sqref="G5:G9">
    <cfRule type="cellIs" dxfId="16" priority="2" operator="equal">
      <formula>0</formula>
    </cfRule>
  </conditionalFormatting>
  <conditionalFormatting sqref="H5:H9">
    <cfRule type="cellIs" dxfId="15" priority="1" operator="equal">
      <formula>0</formula>
    </cfRule>
  </conditionalFormatting>
  <hyperlinks>
    <hyperlink ref="H23" r:id="rId1" xr:uid="{00000000-0004-0000-0600-000000000000}"/>
    <hyperlink ref="H30" r:id="rId2" xr:uid="{00000000-0004-0000-0600-000001000000}"/>
  </hyperlinks>
  <pageMargins left="0.51181102362204722" right="0.51181102362204722" top="0.51181102362204722" bottom="0.70866141732283472" header="0" footer="0.19685039370078741"/>
  <pageSetup paperSize="9" scale="68" fitToWidth="0" fitToHeight="0" orientation="landscape" r:id="rId3"/>
  <headerFooter>
    <oddFooter>&amp;L&amp;9&amp;A&amp;R&amp;9Página &amp;P de &amp;N</oddFooter>
  </headerFooter>
  <rowBreaks count="4" manualBreakCount="4">
    <brk id="40" max="16383" man="1"/>
    <brk id="68" max="16383" man="1"/>
    <brk id="96" max="16383" man="1"/>
    <brk id="124" max="16383" man="1"/>
  </rowBreak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outlinePr summaryBelow="0"/>
  </sheetPr>
  <dimension ref="A1:J34"/>
  <sheetViews>
    <sheetView view="pageBreakPreview" topLeftCell="A15" zoomScale="85" zoomScaleNormal="55" zoomScaleSheetLayoutView="85" workbookViewId="0">
      <selection activeCell="G25" sqref="G25"/>
    </sheetView>
  </sheetViews>
  <sheetFormatPr defaultColWidth="8.75" defaultRowHeight="14"/>
  <cols>
    <col min="1" max="1" width="8" style="7" customWidth="1"/>
    <col min="2" max="2" width="24.58203125" style="7" customWidth="1"/>
    <col min="3" max="3" width="10.1640625" style="7" customWidth="1"/>
    <col min="4" max="9" width="11.75" style="7" customWidth="1"/>
    <col min="10" max="10" width="12.75" style="7" customWidth="1"/>
    <col min="11" max="16384" width="8.75" style="7"/>
  </cols>
  <sheetData>
    <row r="1" spans="1:10" ht="50.15" customHeight="1"/>
    <row r="2" spans="1:10" ht="25" customHeight="1">
      <c r="A2" s="8" t="s">
        <v>1399</v>
      </c>
      <c r="B2" s="8"/>
      <c r="C2" s="8"/>
      <c r="D2" s="8"/>
      <c r="E2" s="8"/>
      <c r="F2" s="8"/>
      <c r="G2" s="8"/>
      <c r="H2" s="9"/>
      <c r="I2" s="9"/>
      <c r="J2" s="167"/>
    </row>
    <row r="3" spans="1:10" ht="5.15" customHeight="1">
      <c r="A3" s="11"/>
      <c r="B3" s="11"/>
      <c r="C3" s="11"/>
      <c r="D3" s="11"/>
      <c r="E3" s="11"/>
      <c r="F3" s="11"/>
      <c r="G3" s="11"/>
      <c r="H3" s="12"/>
      <c r="I3" s="12"/>
    </row>
    <row r="4" spans="1:10">
      <c r="A4" s="14" t="s">
        <v>858</v>
      </c>
      <c r="B4" s="15" t="str">
        <f>RESUMO!B4</f>
        <v>MODERNIZAÇÃO DA SUBESTAÇÃO DE ENERGIA ELÉTRICA DA SEDE DA JUSTIÇA FEDERAL NA PARAIBA</v>
      </c>
      <c r="C4" s="15"/>
      <c r="D4" s="15"/>
      <c r="E4" s="15"/>
      <c r="F4" s="15"/>
      <c r="G4" s="15"/>
      <c r="H4" s="15"/>
      <c r="I4" s="15"/>
      <c r="J4" s="168"/>
    </row>
    <row r="5" spans="1:10">
      <c r="A5" s="17" t="s">
        <v>863</v>
      </c>
      <c r="B5" s="41" t="str">
        <f>RESUMO!B5</f>
        <v>R3 - 15/04/2025</v>
      </c>
      <c r="C5" s="41"/>
      <c r="D5" s="41"/>
      <c r="E5" s="41"/>
      <c r="F5" s="169"/>
      <c r="G5" s="17" t="s">
        <v>874</v>
      </c>
      <c r="H5" s="19"/>
      <c r="I5" s="17" t="s">
        <v>869</v>
      </c>
      <c r="J5" s="20">
        <f>RESUMO!$F$5</f>
        <v>45762</v>
      </c>
    </row>
    <row r="6" spans="1:10">
      <c r="A6" s="21" t="s">
        <v>859</v>
      </c>
      <c r="B6" s="44" t="str">
        <f>RESUMO!B6</f>
        <v>RUA JOÃO TEIXEIRA DE CARVALHO, 480, PEDRO GONDIM, JOÃO PESSOA/PB</v>
      </c>
      <c r="C6" s="44"/>
      <c r="D6" s="44"/>
      <c r="E6" s="44"/>
      <c r="F6" s="170"/>
      <c r="G6" s="23" t="str">
        <f>RESUMO!$C$6</f>
        <v>SINAPI</v>
      </c>
      <c r="H6" s="24" t="str">
        <f>RESUMO!$D$6</f>
        <v>2025/02</v>
      </c>
      <c r="I6" s="21" t="s">
        <v>1308</v>
      </c>
      <c r="J6" s="24">
        <f>RESUMO!$F$6</f>
        <v>0.23530000000000001</v>
      </c>
    </row>
    <row r="7" spans="1:10">
      <c r="A7" s="21" t="s">
        <v>860</v>
      </c>
      <c r="B7" s="44" t="str">
        <f>RESUMO!B7</f>
        <v>JUSTIÇA FEDERAL NA PARAÍBA</v>
      </c>
      <c r="C7" s="44"/>
      <c r="D7" s="44"/>
      <c r="E7" s="44"/>
      <c r="F7" s="170"/>
      <c r="G7" s="23" t="str">
        <f>RESUMO!$C$7</f>
        <v>SICRO</v>
      </c>
      <c r="H7" s="24" t="str">
        <f>RESUMO!$D$7</f>
        <v>2025/01</v>
      </c>
      <c r="I7" s="21" t="s">
        <v>870</v>
      </c>
      <c r="J7" s="24">
        <f>RESUMO!$F$7</f>
        <v>0.1527</v>
      </c>
    </row>
    <row r="8" spans="1:10">
      <c r="A8" s="21" t="s">
        <v>868</v>
      </c>
      <c r="B8" s="44" t="str">
        <f>RESUMO!B8</f>
        <v>MAYRTHON PAULO COSTA JUNIOR</v>
      </c>
      <c r="C8" s="44"/>
      <c r="D8" s="44"/>
      <c r="E8" s="44"/>
      <c r="F8" s="170"/>
      <c r="G8" s="23" t="str">
        <f>RESUMO!$C$8</f>
        <v>-</v>
      </c>
      <c r="H8" s="24">
        <f>RESUMO!$D$8</f>
        <v>0</v>
      </c>
      <c r="I8" s="21" t="s">
        <v>871</v>
      </c>
      <c r="J8" s="24">
        <f>RESUMO!$F$8</f>
        <v>1.1359999999999999</v>
      </c>
    </row>
    <row r="9" spans="1:10">
      <c r="A9" s="25" t="s">
        <v>861</v>
      </c>
      <c r="B9" s="47" t="str">
        <f>RESUMO!B9</f>
        <v>ENGENHEIRO ELETRICISTA - CREA 060191712-0</v>
      </c>
      <c r="C9" s="47"/>
      <c r="D9" s="47"/>
      <c r="E9" s="47"/>
      <c r="F9" s="171"/>
      <c r="G9" s="25" t="s">
        <v>863</v>
      </c>
      <c r="H9" s="27" t="str">
        <f>RESUMO!$D$9</f>
        <v>R3</v>
      </c>
      <c r="I9" s="25" t="s">
        <v>872</v>
      </c>
      <c r="J9" s="27">
        <f>RESUMO!$F$9</f>
        <v>0.6984999999999999</v>
      </c>
    </row>
    <row r="10" spans="1:10" ht="5.15" customHeight="1"/>
    <row r="11" spans="1:10" ht="25" customHeight="1">
      <c r="A11" s="172" t="s">
        <v>1</v>
      </c>
      <c r="B11" s="172" t="s">
        <v>3</v>
      </c>
      <c r="C11" s="172" t="s">
        <v>636</v>
      </c>
      <c r="D11" s="172" t="s">
        <v>637</v>
      </c>
      <c r="E11" s="172" t="s">
        <v>638</v>
      </c>
      <c r="F11" s="172" t="s">
        <v>639</v>
      </c>
      <c r="G11" s="172" t="s">
        <v>640</v>
      </c>
      <c r="H11" s="172" t="s">
        <v>1397</v>
      </c>
      <c r="I11" s="172" t="s">
        <v>1398</v>
      </c>
      <c r="J11" s="173" t="s">
        <v>641</v>
      </c>
    </row>
    <row r="12" spans="1:10" ht="15" customHeight="1">
      <c r="A12" s="407" t="s">
        <v>8</v>
      </c>
      <c r="B12" s="408" t="s">
        <v>9</v>
      </c>
      <c r="C12" s="409">
        <f>PLANILHA_SINT!J12</f>
        <v>116473.47</v>
      </c>
      <c r="D12" s="174"/>
      <c r="E12" s="174"/>
      <c r="F12" s="174">
        <f>(SUM(F15,F17,F19,F21,F23,F25,F27,F29)+(D25+E25+D15))/($C$30-$C$12)</f>
        <v>0.77034443710376632</v>
      </c>
      <c r="G12" s="174">
        <f t="shared" ref="G12:I12" si="0">SUM(G15,G17,G19,G21,G23,G25,G27,G29)/($C$30-$C$12)</f>
        <v>7.7503152697288247E-2</v>
      </c>
      <c r="H12" s="174">
        <f t="shared" si="0"/>
        <v>9.882939138595298E-2</v>
      </c>
      <c r="I12" s="174">
        <f t="shared" si="0"/>
        <v>5.3323018812992312E-2</v>
      </c>
      <c r="J12" s="175">
        <f>SUM(D12:I12)</f>
        <v>0.99999999999999978</v>
      </c>
    </row>
    <row r="13" spans="1:10" ht="15" customHeight="1">
      <c r="A13" s="407"/>
      <c r="B13" s="408"/>
      <c r="C13" s="409"/>
      <c r="D13" s="176"/>
      <c r="E13" s="176"/>
      <c r="F13" s="176">
        <f>IF(F12&gt;0,ROUND($C$12*F12,2),"")</f>
        <v>89724.69</v>
      </c>
      <c r="G13" s="176">
        <f t="shared" ref="G13:I13" si="1">IF(G12&gt;0,ROUND($C$12*G12,2),"")</f>
        <v>9027.06</v>
      </c>
      <c r="H13" s="176">
        <f t="shared" si="1"/>
        <v>11511</v>
      </c>
      <c r="I13" s="176">
        <f t="shared" si="1"/>
        <v>6210.72</v>
      </c>
      <c r="J13" s="177">
        <f>TRUNC(SUM(D13:I13),2)</f>
        <v>116473.47</v>
      </c>
    </row>
    <row r="14" spans="1:10" ht="15" customHeight="1">
      <c r="A14" s="407" t="s">
        <v>15</v>
      </c>
      <c r="B14" s="408" t="s">
        <v>16</v>
      </c>
      <c r="C14" s="409">
        <f>PLANILHA_SINT!J14</f>
        <v>15428.69</v>
      </c>
      <c r="D14" s="174">
        <v>2.1000000000000001E-2</v>
      </c>
      <c r="E14" s="174"/>
      <c r="F14" s="174">
        <v>0.97899999999999998</v>
      </c>
      <c r="G14" s="383">
        <v>0</v>
      </c>
      <c r="H14" s="383">
        <v>0</v>
      </c>
      <c r="I14" s="383">
        <v>0</v>
      </c>
      <c r="J14" s="175">
        <f>SUM(D14:I14)</f>
        <v>1</v>
      </c>
    </row>
    <row r="15" spans="1:10" ht="15" customHeight="1">
      <c r="A15" s="407"/>
      <c r="B15" s="408"/>
      <c r="C15" s="409"/>
      <c r="D15" s="176">
        <f>IF(D14&gt;0,ROUND($C$14*D14,2),0)</f>
        <v>324</v>
      </c>
      <c r="E15" s="377"/>
      <c r="F15" s="176">
        <f>IF(F14&gt;0,ROUND($C$14*F14,2),0)</f>
        <v>15104.69</v>
      </c>
      <c r="G15" s="176" t="str">
        <f t="shared" ref="G15:I15" si="2">IF(G14&gt;0,ROUND($C$14*G14,2),"")</f>
        <v/>
      </c>
      <c r="H15" s="176" t="str">
        <f t="shared" si="2"/>
        <v/>
      </c>
      <c r="I15" s="176" t="str">
        <f t="shared" si="2"/>
        <v/>
      </c>
      <c r="J15" s="177">
        <f>TRUNC(SUM(D15:I15),2)</f>
        <v>15428.69</v>
      </c>
    </row>
    <row r="16" spans="1:10" ht="15" customHeight="1">
      <c r="A16" s="407" t="s">
        <v>37</v>
      </c>
      <c r="B16" s="408" t="s">
        <v>38</v>
      </c>
      <c r="C16" s="409">
        <f>PLANILHA_SINT!J23</f>
        <v>22024.47</v>
      </c>
      <c r="D16" s="378"/>
      <c r="E16" s="378"/>
      <c r="F16" s="384"/>
      <c r="G16" s="384">
        <v>1</v>
      </c>
      <c r="H16" s="385">
        <v>0</v>
      </c>
      <c r="I16" s="384"/>
      <c r="J16" s="175">
        <f>SUM(D16:I16)</f>
        <v>1</v>
      </c>
    </row>
    <row r="17" spans="1:10" ht="15" customHeight="1">
      <c r="A17" s="407"/>
      <c r="B17" s="408"/>
      <c r="C17" s="409"/>
      <c r="D17" s="377"/>
      <c r="E17" s="377"/>
      <c r="F17" s="176" t="str">
        <f>IF(F16&gt;0,ROUND($C$16*F16,2),"")</f>
        <v/>
      </c>
      <c r="G17" s="176">
        <f t="shared" ref="G17:I17" si="3">IF(G16&gt;0,ROUND($C$16*G16,2),"")</f>
        <v>22024.47</v>
      </c>
      <c r="H17" s="176" t="str">
        <f t="shared" si="3"/>
        <v/>
      </c>
      <c r="I17" s="176" t="str">
        <f t="shared" si="3"/>
        <v/>
      </c>
      <c r="J17" s="177">
        <f>TRUNC(SUM(D17:I17),2)</f>
        <v>22024.47</v>
      </c>
    </row>
    <row r="18" spans="1:10" ht="15" customHeight="1">
      <c r="A18" s="407" t="s">
        <v>62</v>
      </c>
      <c r="B18" s="408" t="s">
        <v>63</v>
      </c>
      <c r="C18" s="409">
        <f>PLANILHA_SINT!J33</f>
        <v>12658.42</v>
      </c>
      <c r="D18" s="378"/>
      <c r="E18" s="378"/>
      <c r="F18" s="384">
        <v>1</v>
      </c>
      <c r="G18" s="384"/>
      <c r="H18" s="385">
        <v>0</v>
      </c>
      <c r="I18" s="384"/>
      <c r="J18" s="175">
        <f>SUM(D18:I18)</f>
        <v>1</v>
      </c>
    </row>
    <row r="19" spans="1:10" ht="15" customHeight="1">
      <c r="A19" s="407"/>
      <c r="B19" s="408"/>
      <c r="C19" s="409"/>
      <c r="D19" s="377"/>
      <c r="E19" s="377"/>
      <c r="F19" s="176">
        <f>IF(F18&gt;0,ROUND($C$18*F18,2),"")</f>
        <v>12658.42</v>
      </c>
      <c r="G19" s="176" t="str">
        <f t="shared" ref="G19:I19" si="4">IF(G18&gt;0,ROUND($C$18*G18,2),"")</f>
        <v/>
      </c>
      <c r="H19" s="176" t="str">
        <f t="shared" si="4"/>
        <v/>
      </c>
      <c r="I19" s="176" t="str">
        <f t="shared" si="4"/>
        <v/>
      </c>
      <c r="J19" s="177">
        <f>TRUNC(SUM(D19:I19),2)</f>
        <v>12658.42</v>
      </c>
    </row>
    <row r="20" spans="1:10" ht="15" customHeight="1">
      <c r="A20" s="407" t="s">
        <v>71</v>
      </c>
      <c r="B20" s="408" t="s">
        <v>72</v>
      </c>
      <c r="C20" s="409">
        <f>PLANILHA_SINT!J36</f>
        <v>16638.45</v>
      </c>
      <c r="D20" s="378"/>
      <c r="E20" s="378"/>
      <c r="F20" s="384"/>
      <c r="G20" s="384">
        <v>1</v>
      </c>
      <c r="H20" s="178"/>
      <c r="I20" s="384"/>
      <c r="J20" s="175">
        <f>SUM(D20:I20)</f>
        <v>1</v>
      </c>
    </row>
    <row r="21" spans="1:10" ht="15" customHeight="1">
      <c r="A21" s="407"/>
      <c r="B21" s="408"/>
      <c r="C21" s="409"/>
      <c r="D21" s="377"/>
      <c r="E21" s="377"/>
      <c r="F21" s="176" t="str">
        <f>IF(F20&gt;0,ROUND($C$20*F20,2),"")</f>
        <v/>
      </c>
      <c r="G21" s="176">
        <f t="shared" ref="G21:I21" si="5">IF(G20&gt;0,ROUND($C$20*G20,2),"")</f>
        <v>16638.45</v>
      </c>
      <c r="H21" s="176" t="str">
        <f t="shared" si="5"/>
        <v/>
      </c>
      <c r="I21" s="176" t="str">
        <f t="shared" si="5"/>
        <v/>
      </c>
      <c r="J21" s="177">
        <f>TRUNC(SUM(D21:I21),2)</f>
        <v>16638.45</v>
      </c>
    </row>
    <row r="22" spans="1:10" ht="15" customHeight="1">
      <c r="A22" s="407" t="s">
        <v>97</v>
      </c>
      <c r="B22" s="408" t="s">
        <v>98</v>
      </c>
      <c r="C22" s="409">
        <f>PLANILHA_SINT!J47</f>
        <v>129017.33</v>
      </c>
      <c r="D22" s="378"/>
      <c r="E22" s="378"/>
      <c r="F22" s="384"/>
      <c r="G22" s="384"/>
      <c r="H22" s="178">
        <v>0.5</v>
      </c>
      <c r="I22" s="178">
        <v>0.5</v>
      </c>
      <c r="J22" s="175">
        <f>SUM(D22:I22)</f>
        <v>1</v>
      </c>
    </row>
    <row r="23" spans="1:10" ht="15" customHeight="1">
      <c r="A23" s="407"/>
      <c r="B23" s="408"/>
      <c r="C23" s="409"/>
      <c r="D23" s="377"/>
      <c r="E23" s="377"/>
      <c r="F23" s="176" t="str">
        <f>IF(F22&gt;0,ROUND($C$22*F22,2),"")</f>
        <v/>
      </c>
      <c r="G23" s="176" t="str">
        <f t="shared" ref="G23:I23" si="6">IF(G22&gt;0,ROUND($C$22*G22,2),"")</f>
        <v/>
      </c>
      <c r="H23" s="176">
        <f t="shared" si="6"/>
        <v>64508.67</v>
      </c>
      <c r="I23" s="176">
        <f t="shared" si="6"/>
        <v>64508.67</v>
      </c>
      <c r="J23" s="177">
        <f>TRUNC(SUM(D23:I23),2)</f>
        <v>129017.34</v>
      </c>
    </row>
    <row r="24" spans="1:10" ht="15" customHeight="1">
      <c r="A24" s="407" t="s">
        <v>215</v>
      </c>
      <c r="B24" s="408" t="s">
        <v>216</v>
      </c>
      <c r="C24" s="409">
        <f>PLANILHA_SINT!J95</f>
        <v>1006123.01</v>
      </c>
      <c r="D24" s="384">
        <v>0.45</v>
      </c>
      <c r="E24" s="384">
        <v>0.45</v>
      </c>
      <c r="F24" s="384"/>
      <c r="G24" s="384">
        <v>0.05</v>
      </c>
      <c r="H24" s="384">
        <v>0.05</v>
      </c>
      <c r="I24" s="174"/>
      <c r="J24" s="175">
        <f>SUM(D24:I24)</f>
        <v>1</v>
      </c>
    </row>
    <row r="25" spans="1:10" ht="15" customHeight="1">
      <c r="A25" s="407"/>
      <c r="B25" s="408"/>
      <c r="C25" s="409"/>
      <c r="D25" s="176">
        <f>IF(D24&gt;0,ROUND($C$24*D24,2),"")</f>
        <v>452755.35</v>
      </c>
      <c r="E25" s="176">
        <f>IF(E24&gt;0,ROUND($C$24*E24,2),"")</f>
        <v>452755.35</v>
      </c>
      <c r="F25" s="176" t="str">
        <f>IF(F24&gt;0,ROUND($C$24*F24,2),"")</f>
        <v/>
      </c>
      <c r="G25" s="176">
        <f t="shared" ref="G25:I25" si="7">IF(G24&gt;0,ROUND($C$24*G24,2),"")</f>
        <v>50306.15</v>
      </c>
      <c r="H25" s="176">
        <f t="shared" si="7"/>
        <v>50306.15</v>
      </c>
      <c r="I25" s="176" t="str">
        <f t="shared" si="7"/>
        <v/>
      </c>
      <c r="J25" s="177">
        <f>TRUNC(SUM(D25:I25),2)</f>
        <v>1006123</v>
      </c>
    </row>
    <row r="26" spans="1:10" ht="15" customHeight="1">
      <c r="A26" s="407" t="s">
        <v>225</v>
      </c>
      <c r="B26" s="408" t="s">
        <v>226</v>
      </c>
      <c r="C26" s="409">
        <f>PLANILHA_SINT!J99</f>
        <v>9917.5</v>
      </c>
      <c r="D26" s="378"/>
      <c r="E26" s="378"/>
      <c r="F26" s="384"/>
      <c r="G26" s="384">
        <v>0.5</v>
      </c>
      <c r="H26" s="384">
        <v>0.5</v>
      </c>
      <c r="I26" s="178"/>
      <c r="J26" s="175">
        <f>SUM(D26:I26)</f>
        <v>1</v>
      </c>
    </row>
    <row r="27" spans="1:10" ht="15" customHeight="1">
      <c r="A27" s="407"/>
      <c r="B27" s="408"/>
      <c r="C27" s="409"/>
      <c r="D27" s="377"/>
      <c r="E27" s="377"/>
      <c r="F27" s="176" t="str">
        <f>IF(F26&gt;0,ROUND($C$26*F26,2),"")</f>
        <v/>
      </c>
      <c r="G27" s="176">
        <f t="shared" ref="G27:I27" si="8">IF(G26&gt;0,ROUND($C$26*G26,2),"")</f>
        <v>4958.75</v>
      </c>
      <c r="H27" s="176">
        <f t="shared" si="8"/>
        <v>4958.75</v>
      </c>
      <c r="I27" s="176" t="str">
        <f t="shared" si="8"/>
        <v/>
      </c>
      <c r="J27" s="177">
        <f>TRUNC(SUM(D27:I27),2)</f>
        <v>9917.5</v>
      </c>
    </row>
    <row r="28" spans="1:10" ht="15" customHeight="1">
      <c r="A28" s="407" t="s">
        <v>238</v>
      </c>
      <c r="B28" s="408" t="s">
        <v>239</v>
      </c>
      <c r="C28" s="409">
        <f>PLANILHA_SINT!J104</f>
        <v>114.7</v>
      </c>
      <c r="D28" s="378"/>
      <c r="E28" s="378"/>
      <c r="F28" s="384"/>
      <c r="G28" s="384"/>
      <c r="H28" s="384"/>
      <c r="I28" s="384">
        <v>1</v>
      </c>
      <c r="J28" s="175">
        <f>SUM(D28:I28)</f>
        <v>1</v>
      </c>
    </row>
    <row r="29" spans="1:10" ht="15" customHeight="1">
      <c r="A29" s="407"/>
      <c r="B29" s="408"/>
      <c r="C29" s="409"/>
      <c r="D29" s="377"/>
      <c r="E29" s="377"/>
      <c r="F29" s="176" t="str">
        <f>IF(F28&gt;0,ROUND($C$28*F28,2),"")</f>
        <v/>
      </c>
      <c r="G29" s="176" t="str">
        <f t="shared" ref="G29:I29" si="9">IF(G28&gt;0,ROUND($C$28*G28,2),"")</f>
        <v/>
      </c>
      <c r="H29" s="176" t="str">
        <f t="shared" si="9"/>
        <v/>
      </c>
      <c r="I29" s="176">
        <f t="shared" si="9"/>
        <v>114.7</v>
      </c>
      <c r="J29" s="177">
        <f>TRUNC(SUM(D29:I29),2)</f>
        <v>114.7</v>
      </c>
    </row>
    <row r="30" spans="1:10" ht="15" customHeight="1">
      <c r="A30" s="179"/>
      <c r="B30" s="180"/>
      <c r="C30" s="405">
        <f>SUM(C12:C29)</f>
        <v>1328396.04</v>
      </c>
      <c r="D30" s="181">
        <f>TRUNC(SUM(D13,D15,D17,D19,D21,D23,D25,D27,D29),2)</f>
        <v>453079.35</v>
      </c>
      <c r="E30" s="181">
        <f t="shared" ref="E30:I30" si="10">TRUNC(SUM(E13,E15,E17,E19,E21,E23,E25,E27,E29),2)</f>
        <v>452755.35</v>
      </c>
      <c r="F30" s="181">
        <f t="shared" si="10"/>
        <v>117487.8</v>
      </c>
      <c r="G30" s="181">
        <f t="shared" si="10"/>
        <v>102954.88</v>
      </c>
      <c r="H30" s="181">
        <f t="shared" si="10"/>
        <v>131284.57</v>
      </c>
      <c r="I30" s="181">
        <f t="shared" si="10"/>
        <v>70834.09</v>
      </c>
      <c r="J30" s="406">
        <f>TRUNC(SUM(J13,J15,J17,J19,J21,J23,J25,J27,J29),2)-0.01</f>
        <v>1328396.03</v>
      </c>
    </row>
    <row r="31" spans="1:10" ht="15" customHeight="1">
      <c r="A31" s="182"/>
      <c r="B31" s="183"/>
      <c r="C31" s="405"/>
      <c r="D31" s="184">
        <f>D30</f>
        <v>453079.35</v>
      </c>
      <c r="E31" s="184">
        <f>TRUNC(E30+D31,2)</f>
        <v>905834.7</v>
      </c>
      <c r="F31" s="184">
        <f t="shared" ref="F31:I31" si="11">TRUNC(F30+E31,2)</f>
        <v>1023322.5</v>
      </c>
      <c r="G31" s="184">
        <f t="shared" si="11"/>
        <v>1126277.3799999999</v>
      </c>
      <c r="H31" s="184">
        <f t="shared" si="11"/>
        <v>1257561.95</v>
      </c>
      <c r="I31" s="184">
        <f t="shared" si="11"/>
        <v>1328396.04</v>
      </c>
      <c r="J31" s="406"/>
    </row>
    <row r="32" spans="1:10">
      <c r="C32" s="185"/>
      <c r="D32" s="185"/>
      <c r="E32" s="185"/>
    </row>
    <row r="33" spans="3:10">
      <c r="F33" s="185"/>
      <c r="G33" s="185"/>
      <c r="H33" s="185"/>
      <c r="I33" s="185"/>
      <c r="J33" s="185"/>
    </row>
    <row r="34" spans="3:10">
      <c r="C34" s="185"/>
      <c r="D34" s="185"/>
      <c r="E34" s="185"/>
      <c r="F34" s="186"/>
      <c r="G34" s="186"/>
      <c r="H34" s="186"/>
      <c r="I34" s="186"/>
      <c r="J34" s="186"/>
    </row>
  </sheetData>
  <mergeCells count="29">
    <mergeCell ref="A12:A13"/>
    <mergeCell ref="B12:B13"/>
    <mergeCell ref="C12:C13"/>
    <mergeCell ref="A18:A19"/>
    <mergeCell ref="B18:B19"/>
    <mergeCell ref="C18:C19"/>
    <mergeCell ref="A14:A15"/>
    <mergeCell ref="B14:B15"/>
    <mergeCell ref="C14:C15"/>
    <mergeCell ref="A16:A17"/>
    <mergeCell ref="B16:B17"/>
    <mergeCell ref="C16:C17"/>
    <mergeCell ref="A22:A23"/>
    <mergeCell ref="B22:B23"/>
    <mergeCell ref="C22:C23"/>
    <mergeCell ref="A20:A21"/>
    <mergeCell ref="B20:B21"/>
    <mergeCell ref="C20:C21"/>
    <mergeCell ref="A24:A25"/>
    <mergeCell ref="B24:B25"/>
    <mergeCell ref="C24:C25"/>
    <mergeCell ref="A26:A27"/>
    <mergeCell ref="B26:B27"/>
    <mergeCell ref="C26:C27"/>
    <mergeCell ref="C30:C31"/>
    <mergeCell ref="J30:J31"/>
    <mergeCell ref="A28:A29"/>
    <mergeCell ref="B28:B29"/>
    <mergeCell ref="C28:C29"/>
  </mergeCells>
  <phoneticPr fontId="11" type="noConversion"/>
  <conditionalFormatting sqref="D15">
    <cfRule type="cellIs" dxfId="14" priority="3" operator="notEqual">
      <formula>""</formula>
    </cfRule>
  </conditionalFormatting>
  <conditionalFormatting sqref="D13:I13">
    <cfRule type="cellIs" dxfId="13" priority="2" operator="notEqual">
      <formula>""</formula>
    </cfRule>
  </conditionalFormatting>
  <conditionalFormatting sqref="D25:I25">
    <cfRule type="cellIs" dxfId="12" priority="1" operator="notEqual">
      <formula>""</formula>
    </cfRule>
  </conditionalFormatting>
  <conditionalFormatting sqref="F15:I15 F17:I17 F19:I19 F21:I21 F23:I23 F27:I27 F29:I29">
    <cfRule type="cellIs" dxfId="11" priority="6" operator="notEqual">
      <formula>""</formula>
    </cfRule>
  </conditionalFormatting>
  <conditionalFormatting sqref="H5:H9">
    <cfRule type="cellIs" dxfId="10" priority="5" operator="equal">
      <formula>0</formula>
    </cfRule>
  </conditionalFormatting>
  <conditionalFormatting sqref="I5:I9">
    <cfRule type="cellIs" dxfId="9" priority="4" operator="equal">
      <formula>0</formula>
    </cfRule>
  </conditionalFormatting>
  <pageMargins left="0.51181102362204722" right="0.51181102362204722" top="0.51181102362204722" bottom="0.70866141732283472" header="0" footer="0.19685039370078741"/>
  <pageSetup paperSize="9" scale="83" orientation="landscape" r:id="rId1"/>
  <headerFooter>
    <oddFooter>&amp;L&amp;9&amp;A&amp;R&amp;9Página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B63F-F638-457D-BD1E-458031E4DA0F}">
  <sheetPr>
    <tabColor theme="9"/>
    <outlinePr summaryBelow="0"/>
  </sheetPr>
  <dimension ref="A1:I40"/>
  <sheetViews>
    <sheetView view="pageBreakPreview" topLeftCell="A3" zoomScale="70" zoomScaleNormal="85" zoomScaleSheetLayoutView="70" workbookViewId="0">
      <selection activeCell="B30" sqref="B30"/>
    </sheetView>
  </sheetViews>
  <sheetFormatPr defaultColWidth="8.75" defaultRowHeight="14"/>
  <cols>
    <col min="1" max="1" width="15.75" style="7" customWidth="1"/>
    <col min="2" max="2" width="65.75" style="7" customWidth="1"/>
    <col min="3" max="7" width="14.75" style="7" customWidth="1"/>
    <col min="8" max="8" width="8.75" style="7"/>
    <col min="9" max="9" width="15.58203125" style="7" bestFit="1" customWidth="1"/>
    <col min="10" max="16384" width="8.75" style="7"/>
  </cols>
  <sheetData>
    <row r="1" spans="1:9" ht="50.15" customHeight="1"/>
    <row r="2" spans="1:9" ht="25" customHeight="1">
      <c r="A2" s="8" t="s">
        <v>1429</v>
      </c>
      <c r="B2" s="8"/>
      <c r="C2" s="8"/>
      <c r="D2" s="8"/>
      <c r="E2" s="8"/>
      <c r="F2" s="8"/>
      <c r="G2" s="8"/>
    </row>
    <row r="3" spans="1:9" ht="5.15" customHeight="1">
      <c r="A3" s="11"/>
      <c r="B3" s="11"/>
      <c r="C3" s="11"/>
      <c r="D3" s="11"/>
      <c r="E3" s="11"/>
      <c r="F3" s="11"/>
      <c r="G3" s="11"/>
    </row>
    <row r="4" spans="1:9">
      <c r="A4" s="14" t="s">
        <v>858</v>
      </c>
      <c r="B4" s="15" t="str">
        <f>RESUMO!B4</f>
        <v>MODERNIZAÇÃO DA SUBESTAÇÃO DE ENERGIA ELÉTRICA DA SEDE DA JUSTIÇA FEDERAL NA PARAIBA</v>
      </c>
      <c r="C4" s="15"/>
      <c r="D4" s="15"/>
      <c r="E4" s="15"/>
      <c r="F4" s="15"/>
      <c r="G4" s="15"/>
    </row>
    <row r="5" spans="1:9">
      <c r="A5" s="17" t="s">
        <v>863</v>
      </c>
      <c r="B5" s="41" t="str">
        <f>RESUMO!B5</f>
        <v>R3 - 15/04/2025</v>
      </c>
      <c r="C5" s="41"/>
      <c r="D5" s="17" t="s">
        <v>874</v>
      </c>
      <c r="E5" s="19"/>
      <c r="F5" s="17" t="s">
        <v>869</v>
      </c>
      <c r="G5" s="20">
        <f>RESUMO!$F$5</f>
        <v>45762</v>
      </c>
    </row>
    <row r="6" spans="1:9">
      <c r="A6" s="21" t="s">
        <v>859</v>
      </c>
      <c r="B6" s="44" t="str">
        <f>RESUMO!B6</f>
        <v>RUA JOÃO TEIXEIRA DE CARVALHO, 480, PEDRO GONDIM, JOÃO PESSOA/PB</v>
      </c>
      <c r="C6" s="44"/>
      <c r="D6" s="23" t="str">
        <f>RESUMO!$C$6</f>
        <v>SINAPI</v>
      </c>
      <c r="E6" s="24" t="str">
        <f>RESUMO!$D$6</f>
        <v>2025/02</v>
      </c>
      <c r="F6" s="21" t="s">
        <v>1308</v>
      </c>
      <c r="G6" s="24">
        <f>RESUMO!$F$6</f>
        <v>0.23530000000000001</v>
      </c>
    </row>
    <row r="7" spans="1:9">
      <c r="A7" s="21" t="s">
        <v>860</v>
      </c>
      <c r="B7" s="44" t="str">
        <f>RESUMO!B7</f>
        <v>JUSTIÇA FEDERAL NA PARAÍBA</v>
      </c>
      <c r="C7" s="44"/>
      <c r="D7" s="23" t="str">
        <f>RESUMO!$C$7</f>
        <v>SICRO</v>
      </c>
      <c r="E7" s="24" t="str">
        <f>RESUMO!$D$7</f>
        <v>2025/01</v>
      </c>
      <c r="F7" s="21" t="s">
        <v>870</v>
      </c>
      <c r="G7" s="24">
        <f>RESUMO!$F$7</f>
        <v>0.1527</v>
      </c>
    </row>
    <row r="8" spans="1:9">
      <c r="A8" s="21" t="s">
        <v>868</v>
      </c>
      <c r="B8" s="44" t="str">
        <f>RESUMO!B8</f>
        <v>MAYRTHON PAULO COSTA JUNIOR</v>
      </c>
      <c r="C8" s="44"/>
      <c r="D8" s="23" t="str">
        <f>RESUMO!$C$8</f>
        <v>-</v>
      </c>
      <c r="E8" s="24">
        <f>RESUMO!$D$8</f>
        <v>0</v>
      </c>
      <c r="F8" s="21" t="s">
        <v>871</v>
      </c>
      <c r="G8" s="24">
        <f>RESUMO!$F$8</f>
        <v>1.1359999999999999</v>
      </c>
    </row>
    <row r="9" spans="1:9">
      <c r="A9" s="25" t="s">
        <v>861</v>
      </c>
      <c r="B9" s="47" t="str">
        <f>RESUMO!B9</f>
        <v>ENGENHEIRO ELETRICISTA - CREA 060191712-0</v>
      </c>
      <c r="C9" s="47"/>
      <c r="D9" s="25" t="s">
        <v>863</v>
      </c>
      <c r="E9" s="27" t="str">
        <f>RESUMO!$D$9</f>
        <v>R3</v>
      </c>
      <c r="F9" s="25" t="s">
        <v>872</v>
      </c>
      <c r="G9" s="27">
        <f>RESUMO!$F$9</f>
        <v>0.6984999999999999</v>
      </c>
    </row>
    <row r="10" spans="1:9" ht="5.15" customHeight="1"/>
    <row r="11" spans="1:9" ht="25" customHeight="1">
      <c r="A11" s="172" t="s">
        <v>1400</v>
      </c>
      <c r="B11" s="172" t="s">
        <v>3</v>
      </c>
      <c r="C11" s="172" t="s">
        <v>1401</v>
      </c>
      <c r="D11" s="172" t="s">
        <v>1402</v>
      </c>
      <c r="E11" s="172" t="s">
        <v>1403</v>
      </c>
      <c r="F11" s="172" t="s">
        <v>1404</v>
      </c>
      <c r="G11" s="172" t="s">
        <v>439</v>
      </c>
    </row>
    <row r="12" spans="1:9" ht="15" customHeight="1">
      <c r="A12" s="410" t="s">
        <v>1405</v>
      </c>
      <c r="B12" s="376" t="s">
        <v>1418</v>
      </c>
      <c r="C12" s="394" t="str">
        <f>PLANILHA_SINT!A15</f>
        <v>2.1</v>
      </c>
      <c r="D12" s="388">
        <v>1</v>
      </c>
      <c r="E12" s="389">
        <f>_xlfn.XLOOKUP(C12,PLANILHA_SINT!$A$12:$A$107,PLANILHA_SINT!$J$12:$J$107)*D12</f>
        <v>324.32</v>
      </c>
      <c r="F12" s="429">
        <f>SUM(E12:E15)</f>
        <v>453079.67450000002</v>
      </c>
      <c r="G12" s="423">
        <f>F12/$F$38</f>
        <v>0.34107273799160076</v>
      </c>
    </row>
    <row r="13" spans="1:9" ht="15" customHeight="1">
      <c r="A13" s="411"/>
      <c r="B13" s="376" t="s">
        <v>1411</v>
      </c>
      <c r="C13" s="394" t="str">
        <f>PLANILHA_SINT!A96</f>
        <v>7.1</v>
      </c>
      <c r="D13" s="388">
        <v>0.45</v>
      </c>
      <c r="E13" s="389">
        <f>_xlfn.XLOOKUP(C13,PLANILHA_SINT!$A$12:$A$107,PLANILHA_SINT!$J$12:$J$107)*D13</f>
        <v>289154.95200000005</v>
      </c>
      <c r="F13" s="430"/>
      <c r="G13" s="424"/>
      <c r="I13" s="390"/>
    </row>
    <row r="14" spans="1:9" ht="15" customHeight="1">
      <c r="A14" s="411"/>
      <c r="B14" s="376" t="s">
        <v>1415</v>
      </c>
      <c r="C14" s="394" t="s">
        <v>220</v>
      </c>
      <c r="D14" s="388">
        <v>0.45</v>
      </c>
      <c r="E14" s="389">
        <f>_xlfn.XLOOKUP(C14,PLANILHA_SINT!$A$12:$A$107,PLANILHA_SINT!$J$12:$J$107)*D14</f>
        <v>37683.004499999995</v>
      </c>
      <c r="F14" s="430"/>
      <c r="G14" s="424"/>
      <c r="I14" s="390"/>
    </row>
    <row r="15" spans="1:9" ht="15" customHeight="1">
      <c r="A15" s="412"/>
      <c r="B15" s="376" t="s">
        <v>1412</v>
      </c>
      <c r="C15" s="394" t="str">
        <f>PLANILHA_SINT!A98</f>
        <v>7.3</v>
      </c>
      <c r="D15" s="388">
        <v>0.45</v>
      </c>
      <c r="E15" s="389">
        <f>_xlfn.XLOOKUP(C15,PLANILHA_SINT!$A$12:$A$107,PLANILHA_SINT!$J$12:$J$107)*D15</f>
        <v>125917.398</v>
      </c>
      <c r="F15" s="431"/>
      <c r="G15" s="425"/>
      <c r="I15" s="391"/>
    </row>
    <row r="16" spans="1:9" ht="15" customHeight="1">
      <c r="A16" s="410" t="s">
        <v>1406</v>
      </c>
      <c r="B16" s="376" t="s">
        <v>1413</v>
      </c>
      <c r="C16" s="394" t="str">
        <f>PLANILHA_SINT!A96</f>
        <v>7.1</v>
      </c>
      <c r="D16" s="388">
        <v>0.45</v>
      </c>
      <c r="E16" s="389">
        <f>_xlfn.XLOOKUP(C16,PLANILHA_SINT!$A$12:$A$107,PLANILHA_SINT!$J$12:$J$107)*D16</f>
        <v>289154.95200000005</v>
      </c>
      <c r="F16" s="419">
        <f>SUM(E16:E18)</f>
        <v>452755.35450000002</v>
      </c>
      <c r="G16" s="426">
        <f>F16/$F$38</f>
        <v>0.34082859393347786</v>
      </c>
      <c r="I16" s="390"/>
    </row>
    <row r="17" spans="1:9" ht="15" customHeight="1">
      <c r="A17" s="411"/>
      <c r="B17" s="376" t="s">
        <v>1416</v>
      </c>
      <c r="C17" s="394" t="s">
        <v>220</v>
      </c>
      <c r="D17" s="388">
        <v>0.45</v>
      </c>
      <c r="E17" s="389">
        <f>_xlfn.XLOOKUP(C17,PLANILHA_SINT!$A$12:$A$107,PLANILHA_SINT!$J$12:$J$107)*D17</f>
        <v>37683.004499999995</v>
      </c>
      <c r="F17" s="420"/>
      <c r="G17" s="427"/>
      <c r="I17" s="185"/>
    </row>
    <row r="18" spans="1:9" ht="15" customHeight="1">
      <c r="A18" s="412"/>
      <c r="B18" s="376" t="s">
        <v>1414</v>
      </c>
      <c r="C18" s="394" t="str">
        <f>PLANILHA_SINT!A98</f>
        <v>7.3</v>
      </c>
      <c r="D18" s="388">
        <v>0.45</v>
      </c>
      <c r="E18" s="389">
        <f>_xlfn.XLOOKUP(C18,PLANILHA_SINT!$A$12:$A$107,PLANILHA_SINT!$J$12:$J$107)*D18</f>
        <v>125917.398</v>
      </c>
      <c r="F18" s="421"/>
      <c r="G18" s="428"/>
      <c r="I18" s="390"/>
    </row>
    <row r="19" spans="1:9" ht="15" customHeight="1">
      <c r="A19" s="410" t="s">
        <v>1407</v>
      </c>
      <c r="B19" s="376" t="s">
        <v>1417</v>
      </c>
      <c r="C19" s="394" t="str">
        <f>PLANILHA_SINT!A13</f>
        <v>1.1</v>
      </c>
      <c r="D19" s="388">
        <f>CRONOGRAMA!F12</f>
        <v>0.77034443710376632</v>
      </c>
      <c r="E19" s="389">
        <f>_xlfn.XLOOKUP(C19,PLANILHA_SINT!$A$12:$A$107,PLANILHA_SINT!$J$12:$J$107)*D19</f>
        <v>89724.689684672412</v>
      </c>
      <c r="F19" s="429">
        <f>SUM(E19:E21)</f>
        <v>117487.47968467241</v>
      </c>
      <c r="G19" s="416">
        <f>F19/$F$38</f>
        <v>8.8443111953775772E-2</v>
      </c>
    </row>
    <row r="20" spans="1:9" ht="15" customHeight="1">
      <c r="A20" s="411"/>
      <c r="B20" s="376" t="s">
        <v>1419</v>
      </c>
      <c r="C20" s="394" t="str">
        <f>PLANILHA_SINT!A17</f>
        <v>2.2</v>
      </c>
      <c r="D20" s="388">
        <v>1</v>
      </c>
      <c r="E20" s="389">
        <f>_xlfn.XLOOKUP(C20,PLANILHA_SINT!$A$12:$A$107,PLANILHA_SINT!$J$12:$J$107)*D20</f>
        <v>15104.37</v>
      </c>
      <c r="F20" s="430"/>
      <c r="G20" s="417"/>
    </row>
    <row r="21" spans="1:9" ht="15" customHeight="1">
      <c r="A21" s="412"/>
      <c r="B21" s="376" t="s">
        <v>1421</v>
      </c>
      <c r="C21" s="394" t="str">
        <f>PLANILHA_SINT!A33</f>
        <v>4</v>
      </c>
      <c r="D21" s="388">
        <v>1</v>
      </c>
      <c r="E21" s="389">
        <f>_xlfn.XLOOKUP(C21,PLANILHA_SINT!$A$12:$A$107,PLANILHA_SINT!$J$12:$J$107)*D21</f>
        <v>12658.42</v>
      </c>
      <c r="F21" s="431"/>
      <c r="G21" s="418"/>
    </row>
    <row r="22" spans="1:9" ht="15" customHeight="1">
      <c r="A22" s="410" t="s">
        <v>1408</v>
      </c>
      <c r="B22" s="376" t="s">
        <v>1417</v>
      </c>
      <c r="C22" s="394" t="s">
        <v>10</v>
      </c>
      <c r="D22" s="388">
        <f>CRONOGRAMA!G12</f>
        <v>7.7503152697288247E-2</v>
      </c>
      <c r="E22" s="389">
        <f>_xlfn.XLOOKUP(C22,PLANILHA_SINT!$A$12:$A$107,PLANILHA_SINT!$J$12:$J$107)*D22</f>
        <v>9027.0611305930215</v>
      </c>
      <c r="F22" s="419">
        <f>SUM(E22:E28)</f>
        <v>102954.88163059302</v>
      </c>
      <c r="G22" s="426">
        <f>F22/$F$38</f>
        <v>7.7503153073682024E-2</v>
      </c>
    </row>
    <row r="23" spans="1:9" ht="15" customHeight="1">
      <c r="A23" s="411"/>
      <c r="B23" s="376" t="s">
        <v>1420</v>
      </c>
      <c r="C23" s="394" t="str">
        <f>PLANILHA_SINT!A23</f>
        <v>3</v>
      </c>
      <c r="D23" s="388">
        <v>1</v>
      </c>
      <c r="E23" s="389">
        <f>_xlfn.XLOOKUP(C23,PLANILHA_SINT!$A$12:$A$107,PLANILHA_SINT!$J$12:$J$107)*D23</f>
        <v>22024.47</v>
      </c>
      <c r="F23" s="420"/>
      <c r="G23" s="427"/>
    </row>
    <row r="24" spans="1:9" ht="15" customHeight="1">
      <c r="A24" s="411"/>
      <c r="B24" s="376" t="s">
        <v>1422</v>
      </c>
      <c r="C24" s="394" t="str">
        <f>PLANILHA_SINT!A36</f>
        <v>5</v>
      </c>
      <c r="D24" s="388">
        <v>1</v>
      </c>
      <c r="E24" s="389">
        <f>_xlfn.XLOOKUP(C24,PLANILHA_SINT!$A$12:$A$107,PLANILHA_SINT!$J$12:$J$107)*D24</f>
        <v>16638.45</v>
      </c>
      <c r="F24" s="420"/>
      <c r="G24" s="427"/>
    </row>
    <row r="25" spans="1:9" ht="15" customHeight="1">
      <c r="A25" s="411"/>
      <c r="B25" s="376" t="s">
        <v>1425</v>
      </c>
      <c r="C25" s="394" t="str">
        <f>C13</f>
        <v>7.1</v>
      </c>
      <c r="D25" s="388">
        <v>0.05</v>
      </c>
      <c r="E25" s="389">
        <f>_xlfn.XLOOKUP(C25,PLANILHA_SINT!$A$12:$A$107,PLANILHA_SINT!$J$12:$J$107)*D25</f>
        <v>32128.328000000005</v>
      </c>
      <c r="F25" s="420"/>
      <c r="G25" s="427"/>
    </row>
    <row r="26" spans="1:9" ht="15" customHeight="1">
      <c r="A26" s="411"/>
      <c r="B26" s="376" t="s">
        <v>1426</v>
      </c>
      <c r="C26" s="394" t="str">
        <f>C14</f>
        <v>7.2</v>
      </c>
      <c r="D26" s="388">
        <v>0.05</v>
      </c>
      <c r="E26" s="389">
        <f>_xlfn.XLOOKUP(C26,PLANILHA_SINT!$A$12:$A$107,PLANILHA_SINT!$J$12:$J$107)*D26</f>
        <v>4187.0005000000001</v>
      </c>
      <c r="F26" s="420"/>
      <c r="G26" s="427"/>
    </row>
    <row r="27" spans="1:9" ht="15" customHeight="1">
      <c r="A27" s="411"/>
      <c r="B27" s="376" t="s">
        <v>1427</v>
      </c>
      <c r="C27" s="394" t="str">
        <f>C15</f>
        <v>7.3</v>
      </c>
      <c r="D27" s="388">
        <v>0.05</v>
      </c>
      <c r="E27" s="389">
        <f>_xlfn.XLOOKUP(C27,PLANILHA_SINT!$A$12:$A$107,PLANILHA_SINT!$J$12:$J$107)*D27</f>
        <v>13990.822</v>
      </c>
      <c r="F27" s="420"/>
      <c r="G27" s="427"/>
    </row>
    <row r="28" spans="1:9" ht="15" customHeight="1">
      <c r="A28" s="412"/>
      <c r="B28" s="376" t="s">
        <v>1424</v>
      </c>
      <c r="C28" s="394" t="str">
        <f>PLANILHA_SINT!A99</f>
        <v>8</v>
      </c>
      <c r="D28" s="388">
        <v>0.5</v>
      </c>
      <c r="E28" s="389">
        <f>_xlfn.XLOOKUP(C28,PLANILHA_SINT!$A$12:$A$107,PLANILHA_SINT!$J$12:$J$107)*D28</f>
        <v>4958.75</v>
      </c>
      <c r="F28" s="421"/>
      <c r="G28" s="428"/>
    </row>
    <row r="29" spans="1:9" ht="15" customHeight="1">
      <c r="A29" s="410" t="s">
        <v>1409</v>
      </c>
      <c r="B29" s="376" t="s">
        <v>1417</v>
      </c>
      <c r="C29" s="394" t="str">
        <f>C22</f>
        <v>1.1</v>
      </c>
      <c r="D29" s="388">
        <f>CRONOGRAMA!H12</f>
        <v>9.882939138595298E-2</v>
      </c>
      <c r="E29" s="389">
        <f>_xlfn.XLOOKUP(C29,PLANILHA_SINT!$A$12:$A$107,PLANILHA_SINT!$J$12:$J$107)*D29</f>
        <v>11511.002152710053</v>
      </c>
      <c r="F29" s="419">
        <f>SUM(E29:E34)</f>
        <v>131284.56765271007</v>
      </c>
      <c r="G29" s="426">
        <f>F29/$F$38</f>
        <v>9.8829387998409027E-2</v>
      </c>
    </row>
    <row r="30" spans="1:9" ht="15" customHeight="1">
      <c r="A30" s="411"/>
      <c r="B30" s="376" t="s">
        <v>1423</v>
      </c>
      <c r="C30" s="394" t="str">
        <f>PLANILHA_SINT!A47</f>
        <v>6</v>
      </c>
      <c r="D30" s="388">
        <v>0.5</v>
      </c>
      <c r="E30" s="389">
        <f>_xlfn.XLOOKUP(C30,PLANILHA_SINT!$A$12:$A$107,PLANILHA_SINT!$J$12:$J$107)*D30</f>
        <v>64508.665000000001</v>
      </c>
      <c r="F30" s="420"/>
      <c r="G30" s="427"/>
    </row>
    <row r="31" spans="1:9" ht="15" customHeight="1">
      <c r="A31" s="411"/>
      <c r="B31" s="376" t="s">
        <v>1425</v>
      </c>
      <c r="C31" s="394" t="str">
        <f>C13</f>
        <v>7.1</v>
      </c>
      <c r="D31" s="388">
        <v>0.05</v>
      </c>
      <c r="E31" s="389">
        <f>_xlfn.XLOOKUP(C31,PLANILHA_SINT!$A$12:$A$107,PLANILHA_SINT!$J$12:$J$107)*D31</f>
        <v>32128.328000000005</v>
      </c>
      <c r="F31" s="420"/>
      <c r="G31" s="427"/>
    </row>
    <row r="32" spans="1:9" ht="15" customHeight="1">
      <c r="A32" s="411"/>
      <c r="B32" s="376" t="s">
        <v>1426</v>
      </c>
      <c r="C32" s="394" t="str">
        <f>C14</f>
        <v>7.2</v>
      </c>
      <c r="D32" s="388">
        <v>0.05</v>
      </c>
      <c r="E32" s="389">
        <f>_xlfn.XLOOKUP(C32,PLANILHA_SINT!$A$12:$A$107,PLANILHA_SINT!$J$12:$J$107)*D32</f>
        <v>4187.0005000000001</v>
      </c>
      <c r="F32" s="420"/>
      <c r="G32" s="427"/>
    </row>
    <row r="33" spans="1:9" ht="15" customHeight="1">
      <c r="A33" s="411"/>
      <c r="B33" s="376" t="s">
        <v>1427</v>
      </c>
      <c r="C33" s="394" t="str">
        <f>C15</f>
        <v>7.3</v>
      </c>
      <c r="D33" s="388">
        <v>0.05</v>
      </c>
      <c r="E33" s="389">
        <f>_xlfn.XLOOKUP(C33,PLANILHA_SINT!$A$12:$A$107,PLANILHA_SINT!$J$12:$J$107)*D33</f>
        <v>13990.822</v>
      </c>
      <c r="F33" s="420"/>
      <c r="G33" s="427"/>
    </row>
    <row r="34" spans="1:9" ht="15" customHeight="1">
      <c r="A34" s="412"/>
      <c r="B34" s="376" t="s">
        <v>1424</v>
      </c>
      <c r="C34" s="394" t="str">
        <f>PLANILHA_SINT!A99</f>
        <v>8</v>
      </c>
      <c r="D34" s="388">
        <v>0.5</v>
      </c>
      <c r="E34" s="389">
        <f>_xlfn.XLOOKUP(C34,PLANILHA_SINT!$A$12:$A$107,PLANILHA_SINT!$J$12:$J$107)*D34</f>
        <v>4958.75</v>
      </c>
      <c r="F34" s="421"/>
      <c r="G34" s="428"/>
    </row>
    <row r="35" spans="1:9" ht="15" customHeight="1">
      <c r="A35" s="413" t="s">
        <v>1410</v>
      </c>
      <c r="B35" s="376" t="s">
        <v>1417</v>
      </c>
      <c r="C35" s="394" t="str">
        <f>C22</f>
        <v>1.1</v>
      </c>
      <c r="D35" s="388">
        <f>CRONOGRAMA!I12</f>
        <v>5.3323018812992312E-2</v>
      </c>
      <c r="E35" s="389">
        <f>_xlfn.XLOOKUP(C35,PLANILHA_SINT!$A$12:$A$107,PLANILHA_SINT!$J$12:$J$107)*D35</f>
        <v>6210.7170320244959</v>
      </c>
      <c r="F35" s="419">
        <f>SUM(E35:E37)</f>
        <v>70834.082032024497</v>
      </c>
      <c r="G35" s="416">
        <f>F35/$F$38</f>
        <v>5.3323015049054567E-2</v>
      </c>
    </row>
    <row r="36" spans="1:9" ht="15" customHeight="1">
      <c r="A36" s="414"/>
      <c r="B36" s="376" t="s">
        <v>1423</v>
      </c>
      <c r="C36" s="394" t="str">
        <f>C30</f>
        <v>6</v>
      </c>
      <c r="D36" s="388">
        <v>0.5</v>
      </c>
      <c r="E36" s="389">
        <f>_xlfn.XLOOKUP(C36,PLANILHA_SINT!$A$12:$A$107,PLANILHA_SINT!$J$12:$J$107)*D36</f>
        <v>64508.665000000001</v>
      </c>
      <c r="F36" s="420"/>
      <c r="G36" s="417"/>
    </row>
    <row r="37" spans="1:9" ht="15" customHeight="1">
      <c r="A37" s="415"/>
      <c r="B37" s="376" t="s">
        <v>1428</v>
      </c>
      <c r="C37" s="395" t="str">
        <f>PLANILHA_SINT!A104</f>
        <v>9</v>
      </c>
      <c r="D37" s="396">
        <v>1</v>
      </c>
      <c r="E37" s="397">
        <f>_xlfn.XLOOKUP(C37,PLANILHA_SINT!$A$12:$A$107,PLANILHA_SINT!$J$12:$J$107)*D37</f>
        <v>114.7</v>
      </c>
      <c r="F37" s="422"/>
      <c r="G37" s="418"/>
      <c r="I37" s="399"/>
    </row>
    <row r="38" spans="1:9" hidden="1">
      <c r="C38" s="185"/>
      <c r="D38" s="185"/>
      <c r="E38" s="185"/>
      <c r="F38" s="390">
        <f>SUM(F12:F37)</f>
        <v>1328396.04</v>
      </c>
    </row>
    <row r="39" spans="1:9">
      <c r="F39" s="185"/>
      <c r="G39" s="185"/>
    </row>
    <row r="40" spans="1:9">
      <c r="C40" s="185"/>
      <c r="D40" s="185"/>
      <c r="E40" s="185"/>
      <c r="F40" s="398"/>
      <c r="G40" s="186"/>
    </row>
  </sheetData>
  <mergeCells count="18">
    <mergeCell ref="G35:G37"/>
    <mergeCell ref="F29:F34"/>
    <mergeCell ref="F35:F37"/>
    <mergeCell ref="G12:G15"/>
    <mergeCell ref="G29:G34"/>
    <mergeCell ref="G19:G21"/>
    <mergeCell ref="G16:G18"/>
    <mergeCell ref="F12:F15"/>
    <mergeCell ref="F16:F18"/>
    <mergeCell ref="F19:F21"/>
    <mergeCell ref="G22:G28"/>
    <mergeCell ref="F22:F28"/>
    <mergeCell ref="A12:A15"/>
    <mergeCell ref="A35:A37"/>
    <mergeCell ref="A29:A34"/>
    <mergeCell ref="A22:A28"/>
    <mergeCell ref="A19:A21"/>
    <mergeCell ref="A16:A18"/>
  </mergeCells>
  <phoneticPr fontId="11" type="noConversion"/>
  <conditionalFormatting sqref="E5:E9">
    <cfRule type="cellIs" dxfId="8" priority="5" operator="equal">
      <formula>0</formula>
    </cfRule>
  </conditionalFormatting>
  <conditionalFormatting sqref="F5:F9">
    <cfRule type="cellIs" dxfId="7" priority="4" operator="equal">
      <formula>0</formula>
    </cfRule>
  </conditionalFormatting>
  <pageMargins left="0.51181102362204722" right="0.51181102362204722" top="0.51181102362204722" bottom="0.70866141732283472" header="0" footer="0.19685039370078741"/>
  <pageSetup paperSize="9" scale="80" orientation="landscape" r:id="rId1"/>
  <headerFooter>
    <oddFooter>&amp;L&amp;9&amp;A&amp;R&amp;9Página &amp;P de &amp;N</oddFooter>
  </headerFooter>
  <ignoredErrors>
    <ignoredError sqref="C1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24</vt:i4>
      </vt:variant>
    </vt:vector>
  </HeadingPairs>
  <TitlesOfParts>
    <vt:vector size="36" baseType="lpstr">
      <vt:lpstr>RESUMO</vt:lpstr>
      <vt:lpstr>PLANILHA_SINT</vt:lpstr>
      <vt:lpstr>ABC_SERV</vt:lpstr>
      <vt:lpstr>COMP_GERAL</vt:lpstr>
      <vt:lpstr>COMP_AUX</vt:lpstr>
      <vt:lpstr>CUSTO_INSU</vt:lpstr>
      <vt:lpstr>COT_INSU</vt:lpstr>
      <vt:lpstr>CRONOGRAMA</vt:lpstr>
      <vt:lpstr>EVENTOGRAMA</vt:lpstr>
      <vt:lpstr>BDI</vt:lpstr>
      <vt:lpstr>ENCARGOS SOCIAIS</vt:lpstr>
      <vt:lpstr>QUANT</vt:lpstr>
      <vt:lpstr>BDI!Area_de_impressao</vt:lpstr>
      <vt:lpstr>COT_INSU!Area_de_impressao</vt:lpstr>
      <vt:lpstr>CUSTO_INSU!Area_de_impressao</vt:lpstr>
      <vt:lpstr>'ENCARGOS SOCIAIS'!Area_de_impressao</vt:lpstr>
      <vt:lpstr>PLANILHA_SINT!Area_de_impressao</vt:lpstr>
      <vt:lpstr>QUANT!Area_de_impressao</vt:lpstr>
      <vt:lpstr>RESUMO!Area_de_impressao</vt:lpstr>
      <vt:lpstr>COMP_AUX!JR_PAGE_ANCHOR_0_1</vt:lpstr>
      <vt:lpstr>QUANT!JR_PAGE_ANCHOR_0_1</vt:lpstr>
      <vt:lpstr>JR_PAGE_ANCHOR_0_1</vt:lpstr>
      <vt:lpstr>JR_PAGE_ANCHOR_1_1</vt:lpstr>
      <vt:lpstr>JR_PAGE_ANCHOR_6_1</vt:lpstr>
      <vt:lpstr>JR_PAGE_ANCHOR_7_1</vt:lpstr>
      <vt:lpstr>ABC_SERV!Titulos_de_impressao</vt:lpstr>
      <vt:lpstr>BDI!Titulos_de_impressao</vt:lpstr>
      <vt:lpstr>COMP_AUX!Titulos_de_impressao</vt:lpstr>
      <vt:lpstr>COMP_GERAL!Titulos_de_impressao</vt:lpstr>
      <vt:lpstr>COT_INSU!Titulos_de_impressao</vt:lpstr>
      <vt:lpstr>CUSTO_INSU!Titulos_de_impressao</vt:lpstr>
      <vt:lpstr>'ENCARGOS SOCIAIS'!Titulos_de_impressao</vt:lpstr>
      <vt:lpstr>PLANILHA_SINT!Titulos_de_impressao</vt:lpstr>
      <vt:lpstr>QUANT!Titulos_de_impressao</vt:lpstr>
      <vt:lpstr>QUANT!VALOR_TOTAL</vt:lpstr>
      <vt:lpstr>VALOR_TOTAL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2024-10-26T13:53:09Z</dcterms:created>
  <dcterms:modified xsi:type="dcterms:W3CDTF">2025-04-29T16:48:51Z</dcterms:modified>
</cp:coreProperties>
</file>