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8DBBAFC5-747E-4E6B-B238-7B0D21EF2EEF}" xr6:coauthVersionLast="47" xr6:coauthVersionMax="47" xr10:uidLastSave="{00000000-0000-0000-0000-000000000000}"/>
  <bookViews>
    <workbookView xWindow="-110" yWindow="-110" windowWidth="19420" windowHeight="10420" firstSheet="7" activeTab="9" xr2:uid="{00000000-000D-0000-FFFF-FFFF00000000}"/>
  </bookViews>
  <sheets>
    <sheet name="RESUMO" sheetId="2" r:id="rId1"/>
    <sheet name="PLANILHA ORCAMENTARIA" sheetId="1" r:id="rId2"/>
    <sheet name="COMP_GERAL" sheetId="3" r:id="rId3"/>
    <sheet name="COMP_AUX" sheetId="12" r:id="rId4"/>
    <sheet name="ABC_SERV" sheetId="4" r:id="rId5"/>
    <sheet name="INSUMOS" sheetId="14" r:id="rId6"/>
    <sheet name="COT_INSU" sheetId="9" r:id="rId7"/>
    <sheet name="QUANT" sheetId="13" r:id="rId8"/>
    <sheet name="CRONOGRAMA" sheetId="6" r:id="rId9"/>
    <sheet name="EVENTOGRAMA" sheetId="15" r:id="rId10"/>
    <sheet name="BDI" sheetId="7" r:id="rId11"/>
    <sheet name="ENCARGOS SOCIAIS" sheetId="8" r:id="rId12"/>
  </sheets>
  <externalReferences>
    <externalReference r:id="rId13"/>
  </externalReferences>
  <definedNames>
    <definedName name="_xlnm._FilterDatabase" localSheetId="5" hidden="1">INSUMOS!$A$11:$F$172</definedName>
    <definedName name="_xlnm.Print_Area" localSheetId="4">ABC_SERV!$A$1:$L$63</definedName>
    <definedName name="_xlnm.Print_Area" localSheetId="10">BDI!$A$1:$H$59</definedName>
    <definedName name="_xlnm.Print_Area" localSheetId="3">COMP_AUX!$A$1:$G$632</definedName>
    <definedName name="_xlnm.Print_Area" localSheetId="2">COMP_GERAL!$A$1:$G$248</definedName>
    <definedName name="_xlnm.Print_Area" localSheetId="6">COT_INSU!$A$1:$I$82</definedName>
    <definedName name="_xlnm.Print_Area" localSheetId="8">CRONOGRAMA!$A$1:$T$121</definedName>
    <definedName name="_xlnm.Print_Area" localSheetId="11">'ENCARGOS SOCIAIS'!$A$1:$F$53</definedName>
    <definedName name="_xlnm.Print_Area" localSheetId="9">EVENTOGRAMA!$A$1:$G$78</definedName>
    <definedName name="_xlnm.Print_Area" localSheetId="5">INSUMOS!$A$1:$F$101</definedName>
    <definedName name="_xlnm.Print_Area" localSheetId="1">'PLANILHA ORCAMENTARIA'!$A$1:$K$74</definedName>
    <definedName name="_xlnm.Print_Area" localSheetId="7">QUANT!$A$1:$K$225</definedName>
    <definedName name="_xlnm.Print_Area" localSheetId="0">RESUMO!$A$1:$F$20</definedName>
    <definedName name="JR_PAGE_ANCHOR_0_1" localSheetId="3">COMP_AUX!$A$9</definedName>
    <definedName name="JR_PAGE_ANCHOR_0_1" localSheetId="7">QUANT!$A$9</definedName>
    <definedName name="JR_PAGE_ANCHOR_0_1">'PLANILHA ORCAMENTARIA'!$A$9</definedName>
    <definedName name="JR_PAGE_ANCHOR_1_1">RESUMO!$A$2</definedName>
    <definedName name="JR_PAGE_ANCHOR_2_1" localSheetId="5">[1]COMP_GERAL!#REF!</definedName>
    <definedName name="JR_PAGE_ANCHOR_2_1">COMP_GERAL!#REF!</definedName>
    <definedName name="JR_PAGE_ANCHOR_3_1" localSheetId="5">[1]ABC_SERV!#REF!</definedName>
    <definedName name="JR_PAGE_ANCHOR_3_1">ABC_SERV!#REF!</definedName>
    <definedName name="JR_PAGE_ANCHOR_4_1" localSheetId="5">INSUMOS!#REF!</definedName>
    <definedName name="JR_PAGE_ANCHOR_4_1">#REF!</definedName>
    <definedName name="JR_PAGE_ANCHOR_5_1" localSheetId="9">EVENTOGRAMA!#REF!</definedName>
    <definedName name="JR_PAGE_ANCHOR_5_1" localSheetId="5">[1]CRONOGRAMA!#REF!</definedName>
    <definedName name="JR_PAGE_ANCHOR_5_1">CRONOGRAMA!#REF!</definedName>
    <definedName name="JR_PAGE_ANCHOR_6_1">BDI!$A$2</definedName>
    <definedName name="JR_PAGE_ANCHOR_7_1">'ENCARGOS SOCIAIS'!$A$4</definedName>
    <definedName name="_xlnm.Print_Titles" localSheetId="4">ABC_SERV!$1:$11</definedName>
    <definedName name="_xlnm.Print_Titles" localSheetId="10">BDI!$1:$10</definedName>
    <definedName name="_xlnm.Print_Titles" localSheetId="3">COMP_AUX!$1:$10</definedName>
    <definedName name="_xlnm.Print_Titles" localSheetId="2">COMP_GERAL!$1:$10</definedName>
    <definedName name="_xlnm.Print_Titles" localSheetId="6">COT_INSU!$1:$12</definedName>
    <definedName name="_xlnm.Print_Titles" localSheetId="8">CRONOGRAMA!$A:$C,CRONOGRAMA!$1:$11</definedName>
    <definedName name="_xlnm.Print_Titles" localSheetId="11">'ENCARGOS SOCIAIS'!$1:$14</definedName>
    <definedName name="_xlnm.Print_Titles" localSheetId="9">EVENTOGRAMA!$A:$C,EVENTOGRAMA!$1:$82</definedName>
    <definedName name="_xlnm.Print_Titles" localSheetId="5">INSUMOS!$1:$11</definedName>
    <definedName name="_xlnm.Print_Titles" localSheetId="1">'PLANILHA ORCAMENTARIA'!$1:$11</definedName>
    <definedName name="_xlnm.Print_Titles" localSheetId="7">QUANT!$1:$11</definedName>
    <definedName name="VALOR_TOTAL" localSheetId="7">QUANT!$J$227</definedName>
    <definedName name="VALOR_TOTAL">'PLANILHA ORCAMENTARIA'!$J$76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6" i="15" l="1"/>
  <c r="E75" i="15"/>
  <c r="E74" i="15"/>
  <c r="E73" i="15"/>
  <c r="E72" i="15"/>
  <c r="E71" i="15"/>
  <c r="E78" i="15"/>
  <c r="E77" i="15"/>
  <c r="E68" i="15"/>
  <c r="E67" i="15"/>
  <c r="E65" i="15"/>
  <c r="E64" i="15"/>
  <c r="E63" i="15"/>
  <c r="E62" i="15"/>
  <c r="E60" i="15"/>
  <c r="E59" i="15"/>
  <c r="E58" i="15"/>
  <c r="E57" i="15"/>
  <c r="E56" i="15"/>
  <c r="E55" i="15"/>
  <c r="E54" i="15"/>
  <c r="E52" i="15"/>
  <c r="E51" i="15"/>
  <c r="E50" i="15"/>
  <c r="E49" i="15"/>
  <c r="E48" i="15"/>
  <c r="E47" i="15"/>
  <c r="E69" i="15"/>
  <c r="E45" i="15"/>
  <c r="E44" i="15"/>
  <c r="E42" i="15"/>
  <c r="E41" i="15"/>
  <c r="E40" i="15"/>
  <c r="E38" i="15"/>
  <c r="E37" i="15"/>
  <c r="E36" i="15"/>
  <c r="E35" i="15"/>
  <c r="E34" i="15"/>
  <c r="E33" i="15"/>
  <c r="E32" i="15"/>
  <c r="E70" i="15"/>
  <c r="E66" i="15"/>
  <c r="E61" i="15"/>
  <c r="E53" i="15"/>
  <c r="E46" i="15"/>
  <c r="E43" i="15"/>
  <c r="E39" i="15"/>
  <c r="E31" i="15"/>
  <c r="E27" i="15"/>
  <c r="E28" i="15"/>
  <c r="E29" i="15"/>
  <c r="E30" i="15"/>
  <c r="E26" i="15"/>
  <c r="E25" i="15"/>
  <c r="E24" i="15"/>
  <c r="E23" i="15"/>
  <c r="E22" i="15"/>
  <c r="E21" i="15"/>
  <c r="E18" i="15"/>
  <c r="E17" i="15"/>
  <c r="E20" i="15"/>
  <c r="E19" i="15"/>
  <c r="E16" i="15"/>
  <c r="E15" i="15"/>
  <c r="E14" i="15"/>
  <c r="E13" i="15"/>
  <c r="E12" i="15"/>
  <c r="B83" i="15"/>
  <c r="C83" i="15"/>
  <c r="D84" i="15"/>
  <c r="E84" i="15"/>
  <c r="F84" i="15"/>
  <c r="G84" i="15"/>
  <c r="B85" i="15"/>
  <c r="C85" i="15"/>
  <c r="E86" i="15"/>
  <c r="F86" i="15"/>
  <c r="G86" i="15"/>
  <c r="B87" i="15"/>
  <c r="B89" i="15"/>
  <c r="C89" i="15"/>
  <c r="D90" i="15"/>
  <c r="E90" i="15"/>
  <c r="F90" i="15"/>
  <c r="G90" i="15"/>
  <c r="B91" i="15"/>
  <c r="C91" i="15"/>
  <c r="D92" i="15"/>
  <c r="E92" i="15"/>
  <c r="F92" i="15"/>
  <c r="G92" i="15"/>
  <c r="B93" i="15"/>
  <c r="C93" i="15"/>
  <c r="D94" i="15"/>
  <c r="E94" i="15"/>
  <c r="F94" i="15"/>
  <c r="G94" i="15"/>
  <c r="B95" i="15"/>
  <c r="C95" i="15"/>
  <c r="D96" i="15"/>
  <c r="E96" i="15"/>
  <c r="F96" i="15"/>
  <c r="G96" i="15"/>
  <c r="B97" i="15"/>
  <c r="C97" i="15"/>
  <c r="D98" i="15"/>
  <c r="E98" i="15"/>
  <c r="F98" i="15"/>
  <c r="G98" i="15"/>
  <c r="B99" i="15"/>
  <c r="C99" i="15"/>
  <c r="D100" i="15"/>
  <c r="E100" i="15"/>
  <c r="F100" i="15"/>
  <c r="G100" i="15"/>
  <c r="B101" i="15"/>
  <c r="C101" i="15"/>
  <c r="D102" i="15"/>
  <c r="E102" i="15"/>
  <c r="F102" i="15"/>
  <c r="G102" i="15"/>
  <c r="B103" i="15"/>
  <c r="C103" i="15"/>
  <c r="D104" i="15"/>
  <c r="E104" i="15"/>
  <c r="F104" i="15"/>
  <c r="G104" i="15"/>
  <c r="B105" i="15"/>
  <c r="B107" i="15"/>
  <c r="C107" i="15"/>
  <c r="D108" i="15"/>
  <c r="E108" i="15"/>
  <c r="F108" i="15"/>
  <c r="G108" i="15"/>
  <c r="B109" i="15"/>
  <c r="C109" i="15"/>
  <c r="D110" i="15"/>
  <c r="E110" i="15"/>
  <c r="F110" i="15"/>
  <c r="G110" i="15"/>
  <c r="B111" i="15"/>
  <c r="C111" i="15"/>
  <c r="D112" i="15"/>
  <c r="E112" i="15"/>
  <c r="F112" i="15"/>
  <c r="G112" i="15"/>
  <c r="B113" i="15"/>
  <c r="C113" i="15"/>
  <c r="D114" i="15"/>
  <c r="E114" i="15"/>
  <c r="F114" i="15"/>
  <c r="G114" i="15"/>
  <c r="B115" i="15"/>
  <c r="C115" i="15"/>
  <c r="D116" i="15"/>
  <c r="E116" i="15"/>
  <c r="F116" i="15"/>
  <c r="G116" i="15"/>
  <c r="B117" i="15"/>
  <c r="C117" i="15"/>
  <c r="D118" i="15"/>
  <c r="E118" i="15"/>
  <c r="F118" i="15"/>
  <c r="G118" i="15"/>
  <c r="B119" i="15"/>
  <c r="C119" i="15"/>
  <c r="D120" i="15"/>
  <c r="E120" i="15"/>
  <c r="F120" i="15"/>
  <c r="G120" i="15"/>
  <c r="B121" i="15"/>
  <c r="C121" i="15"/>
  <c r="D122" i="15"/>
  <c r="E122" i="15"/>
  <c r="F122" i="15"/>
  <c r="G122" i="15"/>
  <c r="B123" i="15"/>
  <c r="C123" i="15"/>
  <c r="D124" i="15"/>
  <c r="E124" i="15"/>
  <c r="F124" i="15"/>
  <c r="G124" i="15"/>
  <c r="B125" i="15"/>
  <c r="C125" i="15"/>
  <c r="D126" i="15"/>
  <c r="E126" i="15"/>
  <c r="F126" i="15"/>
  <c r="G126" i="15"/>
  <c r="B127" i="15"/>
  <c r="C127" i="15"/>
  <c r="D128" i="15"/>
  <c r="E128" i="15"/>
  <c r="F128" i="15"/>
  <c r="G128" i="15"/>
  <c r="B129" i="15"/>
  <c r="C129" i="15"/>
  <c r="D130" i="15"/>
  <c r="E130" i="15"/>
  <c r="F130" i="15"/>
  <c r="G130" i="15"/>
  <c r="B131" i="15"/>
  <c r="C131" i="15"/>
  <c r="D132" i="15"/>
  <c r="E132" i="15"/>
  <c r="F132" i="15"/>
  <c r="G132" i="15"/>
  <c r="B133" i="15"/>
  <c r="C133" i="15"/>
  <c r="D134" i="15"/>
  <c r="E134" i="15"/>
  <c r="F134" i="15"/>
  <c r="G134" i="15"/>
  <c r="B135" i="15"/>
  <c r="B137" i="15"/>
  <c r="C137" i="15"/>
  <c r="G138" i="15" s="1"/>
  <c r="B139" i="15"/>
  <c r="C139" i="15"/>
  <c r="E140" i="15" s="1"/>
  <c r="B141" i="15"/>
  <c r="B143" i="15"/>
  <c r="C143" i="15"/>
  <c r="D144" i="15"/>
  <c r="E144" i="15"/>
  <c r="F144" i="15"/>
  <c r="G144" i="15"/>
  <c r="B145" i="15"/>
  <c r="C145" i="15"/>
  <c r="D146" i="15"/>
  <c r="E146" i="15"/>
  <c r="F146" i="15"/>
  <c r="G146" i="15"/>
  <c r="B147" i="15"/>
  <c r="B149" i="15"/>
  <c r="C149" i="15"/>
  <c r="D150" i="15"/>
  <c r="E150" i="15"/>
  <c r="F150" i="15"/>
  <c r="G150" i="15"/>
  <c r="B151" i="15"/>
  <c r="C151" i="15"/>
  <c r="D152" i="15"/>
  <c r="E152" i="15"/>
  <c r="F152" i="15"/>
  <c r="G152" i="15"/>
  <c r="B153" i="15"/>
  <c r="C153" i="15"/>
  <c r="D154" i="15"/>
  <c r="E154" i="15"/>
  <c r="F154" i="15"/>
  <c r="G154" i="15"/>
  <c r="B155" i="15"/>
  <c r="C155" i="15"/>
  <c r="D156" i="15"/>
  <c r="E156" i="15"/>
  <c r="F156" i="15"/>
  <c r="G156" i="15"/>
  <c r="B157" i="15"/>
  <c r="C157" i="15"/>
  <c r="D158" i="15"/>
  <c r="E158" i="15"/>
  <c r="F158" i="15"/>
  <c r="G158" i="15"/>
  <c r="B159" i="15"/>
  <c r="C159" i="15"/>
  <c r="D160" i="15"/>
  <c r="E160" i="15"/>
  <c r="F160" i="15"/>
  <c r="G160" i="15"/>
  <c r="B161" i="15"/>
  <c r="C161" i="15"/>
  <c r="D162" i="15"/>
  <c r="E162" i="15"/>
  <c r="F162" i="15"/>
  <c r="G162" i="15"/>
  <c r="B163" i="15"/>
  <c r="C163" i="15"/>
  <c r="D164" i="15"/>
  <c r="E164" i="15"/>
  <c r="F164" i="15"/>
  <c r="G164" i="15"/>
  <c r="B165" i="15"/>
  <c r="C165" i="15"/>
  <c r="D166" i="15"/>
  <c r="E166" i="15"/>
  <c r="F166" i="15"/>
  <c r="G166" i="15"/>
  <c r="B167" i="15"/>
  <c r="C167" i="15"/>
  <c r="D168" i="15"/>
  <c r="E168" i="15"/>
  <c r="F168" i="15"/>
  <c r="G168" i="15"/>
  <c r="B169" i="15"/>
  <c r="C169" i="15"/>
  <c r="D170" i="15"/>
  <c r="E170" i="15"/>
  <c r="F170" i="15"/>
  <c r="G170" i="15"/>
  <c r="B171" i="15"/>
  <c r="C171" i="15"/>
  <c r="D172" i="15"/>
  <c r="E172" i="15"/>
  <c r="F172" i="15"/>
  <c r="G172" i="15"/>
  <c r="B173" i="15"/>
  <c r="C173" i="15"/>
  <c r="D174" i="15"/>
  <c r="E174" i="15"/>
  <c r="F174" i="15"/>
  <c r="G174" i="15"/>
  <c r="B175" i="15"/>
  <c r="C175" i="15"/>
  <c r="D176" i="15"/>
  <c r="E176" i="15"/>
  <c r="F176" i="15"/>
  <c r="G176" i="15"/>
  <c r="B177" i="15"/>
  <c r="C177" i="15"/>
  <c r="D178" i="15"/>
  <c r="E178" i="15"/>
  <c r="F178" i="15"/>
  <c r="G178" i="15"/>
  <c r="B179" i="15"/>
  <c r="C179" i="15"/>
  <c r="D180" i="15"/>
  <c r="E180" i="15"/>
  <c r="F180" i="15"/>
  <c r="G180" i="15"/>
  <c r="B181" i="15"/>
  <c r="C181" i="15"/>
  <c r="D182" i="15"/>
  <c r="E182" i="15"/>
  <c r="F182" i="15"/>
  <c r="G182" i="15"/>
  <c r="L117" i="6"/>
  <c r="P117" i="6"/>
  <c r="P37" i="6"/>
  <c r="P35" i="6"/>
  <c r="L37" i="6"/>
  <c r="L35" i="6"/>
  <c r="L61" i="6"/>
  <c r="T37" i="6"/>
  <c r="T36" i="6"/>
  <c r="T34" i="6"/>
  <c r="C36" i="6"/>
  <c r="C34" i="6"/>
  <c r="B36" i="6"/>
  <c r="B34" i="6"/>
  <c r="G13" i="4"/>
  <c r="G14" i="4"/>
  <c r="G15" i="4"/>
  <c r="G16" i="4"/>
  <c r="G17" i="4"/>
  <c r="G18" i="4"/>
  <c r="G19" i="4"/>
  <c r="G20" i="4"/>
  <c r="G21" i="4"/>
  <c r="G22" i="4"/>
  <c r="G23" i="4"/>
  <c r="G24" i="4"/>
  <c r="G25" i="4"/>
  <c r="G26" i="4"/>
  <c r="G27" i="4"/>
  <c r="G28" i="4"/>
  <c r="G29" i="4"/>
  <c r="G30" i="4"/>
  <c r="G31" i="4"/>
  <c r="G32" i="4"/>
  <c r="G33" i="4"/>
  <c r="G34" i="4"/>
  <c r="G36" i="4"/>
  <c r="G37" i="4"/>
  <c r="G38" i="4"/>
  <c r="G39" i="4"/>
  <c r="G40" i="4"/>
  <c r="G41" i="4"/>
  <c r="G42" i="4"/>
  <c r="G43" i="4"/>
  <c r="G44" i="4"/>
  <c r="G46" i="4"/>
  <c r="G47" i="4"/>
  <c r="G48" i="4"/>
  <c r="G49" i="4"/>
  <c r="G50" i="4"/>
  <c r="G51" i="4"/>
  <c r="G52" i="4"/>
  <c r="G53" i="4"/>
  <c r="G54" i="4"/>
  <c r="G55" i="4"/>
  <c r="G56" i="4"/>
  <c r="G57" i="4"/>
  <c r="G58" i="4"/>
  <c r="G59" i="4"/>
  <c r="G60" i="4"/>
  <c r="G61" i="4"/>
  <c r="G62" i="4"/>
  <c r="G63" i="4"/>
  <c r="G45" i="4"/>
  <c r="G35" i="4"/>
  <c r="H35" i="4" s="1"/>
  <c r="G12" i="4"/>
  <c r="G69" i="13"/>
  <c r="G64" i="13"/>
  <c r="H45" i="4"/>
  <c r="F247" i="3"/>
  <c r="G245" i="3"/>
  <c r="G244" i="3"/>
  <c r="G246" i="3" s="1"/>
  <c r="G247" i="3" s="1"/>
  <c r="G237" i="3"/>
  <c r="G238" i="3"/>
  <c r="F240" i="3"/>
  <c r="G9" i="15"/>
  <c r="E9" i="15"/>
  <c r="B9" i="15"/>
  <c r="G8" i="15"/>
  <c r="E8" i="15"/>
  <c r="D8" i="15"/>
  <c r="B8" i="15"/>
  <c r="G7" i="15"/>
  <c r="E7" i="15"/>
  <c r="D7" i="15"/>
  <c r="B7" i="15"/>
  <c r="G6" i="15"/>
  <c r="E6" i="15"/>
  <c r="D6" i="15"/>
  <c r="B6" i="15"/>
  <c r="G5" i="15"/>
  <c r="B5" i="15"/>
  <c r="B4" i="15"/>
  <c r="C183" i="15" l="1"/>
  <c r="C189" i="15" s="1"/>
  <c r="F140" i="15"/>
  <c r="D86" i="15"/>
  <c r="E138" i="15"/>
  <c r="E184" i="15" s="1"/>
  <c r="D138" i="15"/>
  <c r="F138" i="15"/>
  <c r="F184" i="15" s="1"/>
  <c r="G140" i="15"/>
  <c r="G184" i="15" s="1"/>
  <c r="D140" i="15"/>
  <c r="T35" i="6"/>
  <c r="H33" i="1"/>
  <c r="G239" i="3"/>
  <c r="G240" i="3" s="1"/>
  <c r="G185" i="15" l="1"/>
  <c r="E185" i="15"/>
  <c r="G189" i="15"/>
  <c r="G190" i="15" s="1"/>
  <c r="D189" i="15"/>
  <c r="D190" i="15" s="1"/>
  <c r="F185" i="15"/>
  <c r="F189" i="15"/>
  <c r="F190" i="15" s="1"/>
  <c r="D184" i="15"/>
  <c r="E189" i="15"/>
  <c r="E190" i="15" s="1"/>
  <c r="F45" i="4"/>
  <c r="B16" i="6"/>
  <c r="T114" i="6"/>
  <c r="T112" i="6"/>
  <c r="T110" i="6"/>
  <c r="T108" i="6"/>
  <c r="T106" i="6"/>
  <c r="T104" i="6"/>
  <c r="T102" i="6"/>
  <c r="T100" i="6"/>
  <c r="T98" i="6"/>
  <c r="T96" i="6"/>
  <c r="T94" i="6"/>
  <c r="T92" i="6"/>
  <c r="T90" i="6"/>
  <c r="T88" i="6"/>
  <c r="T86" i="6"/>
  <c r="T84" i="6"/>
  <c r="T82" i="6"/>
  <c r="T78" i="6"/>
  <c r="T76" i="6"/>
  <c r="T72" i="6"/>
  <c r="T70" i="6"/>
  <c r="T66" i="6"/>
  <c r="T64" i="6"/>
  <c r="T62" i="6"/>
  <c r="T60" i="6"/>
  <c r="T58" i="6"/>
  <c r="T56" i="6"/>
  <c r="T54" i="6"/>
  <c r="T52" i="6"/>
  <c r="T50" i="6"/>
  <c r="T48" i="6"/>
  <c r="T46" i="6"/>
  <c r="T44" i="6"/>
  <c r="T42" i="6"/>
  <c r="T40" i="6"/>
  <c r="T32" i="6"/>
  <c r="T30" i="6"/>
  <c r="T28" i="6"/>
  <c r="T26" i="6"/>
  <c r="T24" i="6"/>
  <c r="T22" i="6"/>
  <c r="T20" i="6"/>
  <c r="T18" i="6"/>
  <c r="T14" i="6"/>
  <c r="T12" i="6"/>
  <c r="F18" i="14"/>
  <c r="F15" i="14"/>
  <c r="F14" i="14"/>
  <c r="F12" i="14"/>
  <c r="I55" i="9"/>
  <c r="I48" i="9"/>
  <c r="I25" i="9"/>
  <c r="I18" i="9"/>
  <c r="B9" i="14"/>
  <c r="B8" i="14"/>
  <c r="B7" i="14"/>
  <c r="B6" i="14"/>
  <c r="B5" i="14"/>
  <c r="B4" i="14"/>
  <c r="F5" i="14"/>
  <c r="F7" i="14"/>
  <c r="F6" i="14"/>
  <c r="D7" i="14"/>
  <c r="D6" i="14"/>
  <c r="D9" i="14"/>
  <c r="D8" i="14"/>
  <c r="C8" i="14"/>
  <c r="C7" i="14"/>
  <c r="C6" i="14"/>
  <c r="D185" i="15" l="1"/>
  <c r="D186" i="15"/>
  <c r="D70" i="13"/>
  <c r="G32" i="1"/>
  <c r="B17" i="2"/>
  <c r="B16" i="2"/>
  <c r="B15" i="2"/>
  <c r="B14" i="2"/>
  <c r="B13" i="2"/>
  <c r="B12" i="2"/>
  <c r="B11" i="2"/>
  <c r="D187" i="15" l="1"/>
  <c r="E186" i="15"/>
  <c r="G33" i="1"/>
  <c r="F35" i="4"/>
  <c r="D58" i="7"/>
  <c r="D34" i="7"/>
  <c r="F616" i="12"/>
  <c r="G183" i="12"/>
  <c r="E187" i="15" l="1"/>
  <c r="F186" i="15"/>
  <c r="E79" i="9"/>
  <c r="F33" i="9"/>
  <c r="H13" i="6"/>
  <c r="F15" i="6"/>
  <c r="G15" i="6"/>
  <c r="H15" i="6"/>
  <c r="I15" i="6"/>
  <c r="J15" i="6"/>
  <c r="L15" i="6"/>
  <c r="M15" i="6"/>
  <c r="N15" i="6"/>
  <c r="O15" i="6"/>
  <c r="P15" i="6"/>
  <c r="Q15" i="6"/>
  <c r="R15" i="6"/>
  <c r="S15" i="6"/>
  <c r="E19" i="6"/>
  <c r="F19" i="6"/>
  <c r="G19" i="6"/>
  <c r="H19" i="6"/>
  <c r="I19" i="6"/>
  <c r="J19" i="6"/>
  <c r="M19" i="6"/>
  <c r="N19" i="6"/>
  <c r="O19" i="6"/>
  <c r="P19" i="6"/>
  <c r="Q19" i="6"/>
  <c r="R19" i="6"/>
  <c r="S19" i="6"/>
  <c r="E21" i="6"/>
  <c r="F21" i="6"/>
  <c r="G21" i="6"/>
  <c r="H21" i="6"/>
  <c r="I21" i="6"/>
  <c r="J21" i="6"/>
  <c r="K21" i="6"/>
  <c r="M21" i="6"/>
  <c r="N21" i="6"/>
  <c r="P21" i="6"/>
  <c r="Q21" i="6"/>
  <c r="R21" i="6"/>
  <c r="S21" i="6"/>
  <c r="E23" i="6"/>
  <c r="F23" i="6"/>
  <c r="G23" i="6"/>
  <c r="H23" i="6"/>
  <c r="I23" i="6"/>
  <c r="J23" i="6"/>
  <c r="K23" i="6"/>
  <c r="L23" i="6"/>
  <c r="M23" i="6"/>
  <c r="N23" i="6"/>
  <c r="O23" i="6"/>
  <c r="Q23" i="6"/>
  <c r="S23" i="6"/>
  <c r="E25" i="6"/>
  <c r="F25" i="6"/>
  <c r="G25" i="6"/>
  <c r="H25" i="6"/>
  <c r="I25" i="6"/>
  <c r="J25" i="6"/>
  <c r="K25" i="6"/>
  <c r="L25" i="6"/>
  <c r="M25" i="6"/>
  <c r="N25" i="6"/>
  <c r="O25" i="6"/>
  <c r="Q25" i="6"/>
  <c r="R25" i="6"/>
  <c r="S25" i="6"/>
  <c r="E27" i="6"/>
  <c r="F27" i="6"/>
  <c r="G27" i="6"/>
  <c r="H27" i="6"/>
  <c r="I27" i="6"/>
  <c r="J27" i="6"/>
  <c r="M27" i="6"/>
  <c r="N27" i="6"/>
  <c r="O27" i="6"/>
  <c r="P27" i="6"/>
  <c r="Q27" i="6"/>
  <c r="R27" i="6"/>
  <c r="S27" i="6"/>
  <c r="E29" i="6"/>
  <c r="F29" i="6"/>
  <c r="G29" i="6"/>
  <c r="H29" i="6"/>
  <c r="I29" i="6"/>
  <c r="J29" i="6"/>
  <c r="K29" i="6"/>
  <c r="M29" i="6"/>
  <c r="N29" i="6"/>
  <c r="P29" i="6"/>
  <c r="Q29" i="6"/>
  <c r="R29" i="6"/>
  <c r="S29" i="6"/>
  <c r="E31" i="6"/>
  <c r="F31" i="6"/>
  <c r="G31" i="6"/>
  <c r="H31" i="6"/>
  <c r="I31" i="6"/>
  <c r="J31" i="6"/>
  <c r="K31" i="6"/>
  <c r="L31" i="6"/>
  <c r="M31" i="6"/>
  <c r="N31" i="6"/>
  <c r="O31" i="6"/>
  <c r="Q31" i="6"/>
  <c r="S31" i="6"/>
  <c r="E33" i="6"/>
  <c r="F33" i="6"/>
  <c r="G33" i="6"/>
  <c r="H33" i="6"/>
  <c r="I33" i="6"/>
  <c r="J33" i="6"/>
  <c r="K33" i="6"/>
  <c r="L33" i="6"/>
  <c r="M33" i="6"/>
  <c r="N33" i="6"/>
  <c r="O33" i="6"/>
  <c r="Q33" i="6"/>
  <c r="R33" i="6"/>
  <c r="S33" i="6"/>
  <c r="E41" i="6"/>
  <c r="F41" i="6"/>
  <c r="G41" i="6"/>
  <c r="H41" i="6"/>
  <c r="I41" i="6"/>
  <c r="J41" i="6"/>
  <c r="K41" i="6"/>
  <c r="M41" i="6"/>
  <c r="N41" i="6"/>
  <c r="O41" i="6"/>
  <c r="P41" i="6"/>
  <c r="Q41" i="6"/>
  <c r="R41" i="6"/>
  <c r="S41" i="6"/>
  <c r="E43" i="6"/>
  <c r="F43" i="6"/>
  <c r="G43" i="6"/>
  <c r="H43" i="6"/>
  <c r="I43" i="6"/>
  <c r="J43" i="6"/>
  <c r="K43" i="6"/>
  <c r="L43" i="6"/>
  <c r="M43" i="6"/>
  <c r="N43" i="6"/>
  <c r="O43" i="6"/>
  <c r="Q43" i="6"/>
  <c r="R43" i="6"/>
  <c r="S43" i="6"/>
  <c r="E45" i="6"/>
  <c r="F45" i="6"/>
  <c r="G45" i="6"/>
  <c r="H45" i="6"/>
  <c r="I45" i="6"/>
  <c r="J45" i="6"/>
  <c r="K45" i="6"/>
  <c r="L45" i="6"/>
  <c r="N45" i="6"/>
  <c r="O45" i="6"/>
  <c r="P45" i="6"/>
  <c r="R45" i="6"/>
  <c r="S45" i="6"/>
  <c r="E47" i="6"/>
  <c r="F47" i="6"/>
  <c r="G47" i="6"/>
  <c r="H47" i="6"/>
  <c r="I47" i="6"/>
  <c r="J47" i="6"/>
  <c r="K47" i="6"/>
  <c r="L47" i="6"/>
  <c r="N47" i="6"/>
  <c r="O47" i="6"/>
  <c r="P47" i="6"/>
  <c r="R47" i="6"/>
  <c r="S47" i="6"/>
  <c r="E49" i="6"/>
  <c r="F49" i="6"/>
  <c r="G49" i="6"/>
  <c r="H49" i="6"/>
  <c r="I49" i="6"/>
  <c r="J49" i="6"/>
  <c r="K49" i="6"/>
  <c r="L49" i="6"/>
  <c r="M49" i="6"/>
  <c r="N49" i="6"/>
  <c r="O49" i="6"/>
  <c r="P49" i="6"/>
  <c r="R49" i="6"/>
  <c r="E51" i="6"/>
  <c r="F51" i="6"/>
  <c r="G51" i="6"/>
  <c r="H51" i="6"/>
  <c r="I51" i="6"/>
  <c r="J51" i="6"/>
  <c r="K51" i="6"/>
  <c r="L51" i="6"/>
  <c r="M51" i="6"/>
  <c r="N51" i="6"/>
  <c r="O51" i="6"/>
  <c r="P51" i="6"/>
  <c r="R51" i="6"/>
  <c r="S51" i="6"/>
  <c r="E53" i="6"/>
  <c r="F53" i="6"/>
  <c r="G53" i="6"/>
  <c r="H53" i="6"/>
  <c r="I53" i="6"/>
  <c r="J53" i="6"/>
  <c r="K53" i="6"/>
  <c r="L53" i="6"/>
  <c r="M53" i="6"/>
  <c r="N53" i="6"/>
  <c r="P53" i="6"/>
  <c r="Q53" i="6"/>
  <c r="R53" i="6"/>
  <c r="S53" i="6"/>
  <c r="E55" i="6"/>
  <c r="F55" i="6"/>
  <c r="G55" i="6"/>
  <c r="H55" i="6"/>
  <c r="I55" i="6"/>
  <c r="J55" i="6"/>
  <c r="K55" i="6"/>
  <c r="L55" i="6"/>
  <c r="M55" i="6"/>
  <c r="N55" i="6"/>
  <c r="P55" i="6"/>
  <c r="Q55" i="6"/>
  <c r="S55" i="6"/>
  <c r="E57" i="6"/>
  <c r="F57" i="6"/>
  <c r="G57" i="6"/>
  <c r="H57" i="6"/>
  <c r="I57" i="6"/>
  <c r="J57" i="6"/>
  <c r="K57" i="6"/>
  <c r="L57" i="6"/>
  <c r="M57" i="6"/>
  <c r="N57" i="6"/>
  <c r="O57" i="6"/>
  <c r="P57" i="6"/>
  <c r="Q57" i="6"/>
  <c r="R57" i="6"/>
  <c r="E59" i="6"/>
  <c r="F59" i="6"/>
  <c r="G59" i="6"/>
  <c r="H59" i="6"/>
  <c r="I59" i="6"/>
  <c r="J59" i="6"/>
  <c r="K59" i="6"/>
  <c r="L59" i="6"/>
  <c r="M59" i="6"/>
  <c r="N59" i="6"/>
  <c r="O59" i="6"/>
  <c r="P59" i="6"/>
  <c r="Q59" i="6"/>
  <c r="R59" i="6"/>
  <c r="E61" i="6"/>
  <c r="F61" i="6"/>
  <c r="G61" i="6"/>
  <c r="H61" i="6"/>
  <c r="I61" i="6"/>
  <c r="J61" i="6"/>
  <c r="K61" i="6"/>
  <c r="M61" i="6"/>
  <c r="N61" i="6"/>
  <c r="P61" i="6"/>
  <c r="Q61" i="6"/>
  <c r="R61" i="6"/>
  <c r="S61" i="6"/>
  <c r="E63" i="6"/>
  <c r="F63" i="6"/>
  <c r="G63" i="6"/>
  <c r="H63" i="6"/>
  <c r="I63" i="6"/>
  <c r="J63" i="6"/>
  <c r="K63" i="6"/>
  <c r="L63" i="6"/>
  <c r="M63" i="6"/>
  <c r="N63" i="6"/>
  <c r="P63" i="6"/>
  <c r="Q63" i="6"/>
  <c r="S63" i="6"/>
  <c r="E65" i="6"/>
  <c r="F65" i="6"/>
  <c r="G65" i="6"/>
  <c r="H65" i="6"/>
  <c r="I65" i="6"/>
  <c r="J65" i="6"/>
  <c r="K65" i="6"/>
  <c r="L65" i="6"/>
  <c r="M65" i="6"/>
  <c r="N65" i="6"/>
  <c r="O65" i="6"/>
  <c r="P65" i="6"/>
  <c r="Q65" i="6"/>
  <c r="R65" i="6"/>
  <c r="E67" i="6"/>
  <c r="F67" i="6"/>
  <c r="G67" i="6"/>
  <c r="H67" i="6"/>
  <c r="I67" i="6"/>
  <c r="J67" i="6"/>
  <c r="K67" i="6"/>
  <c r="L67" i="6"/>
  <c r="M67" i="6"/>
  <c r="N67" i="6"/>
  <c r="O67" i="6"/>
  <c r="P67" i="6"/>
  <c r="Q67" i="6"/>
  <c r="R67" i="6"/>
  <c r="M71" i="6"/>
  <c r="N71" i="6"/>
  <c r="Q71" i="6"/>
  <c r="M73" i="6"/>
  <c r="N73" i="6"/>
  <c r="O73" i="6"/>
  <c r="P73" i="6"/>
  <c r="Q73" i="6"/>
  <c r="R73" i="6"/>
  <c r="E77" i="6"/>
  <c r="F77" i="6"/>
  <c r="G77" i="6"/>
  <c r="H77" i="6"/>
  <c r="I77" i="6"/>
  <c r="J77" i="6"/>
  <c r="K77" i="6"/>
  <c r="L77" i="6"/>
  <c r="E79" i="6"/>
  <c r="F79" i="6"/>
  <c r="G79" i="6"/>
  <c r="H79" i="6"/>
  <c r="I79" i="6"/>
  <c r="J79" i="6"/>
  <c r="K79" i="6"/>
  <c r="L79" i="6"/>
  <c r="M79" i="6"/>
  <c r="N79" i="6"/>
  <c r="O79" i="6"/>
  <c r="P79" i="6"/>
  <c r="E83" i="6"/>
  <c r="F83" i="6"/>
  <c r="G83" i="6"/>
  <c r="H83" i="6"/>
  <c r="I83" i="6"/>
  <c r="J83" i="6"/>
  <c r="K83" i="6"/>
  <c r="L83" i="6"/>
  <c r="M83" i="6"/>
  <c r="O83" i="6"/>
  <c r="P83" i="6"/>
  <c r="S83" i="6"/>
  <c r="E85" i="6"/>
  <c r="F85" i="6"/>
  <c r="G85" i="6"/>
  <c r="H85" i="6"/>
  <c r="I85" i="6"/>
  <c r="J85" i="6"/>
  <c r="K85" i="6"/>
  <c r="L85" i="6"/>
  <c r="M85" i="6"/>
  <c r="O85" i="6"/>
  <c r="P85" i="6"/>
  <c r="S85" i="6"/>
  <c r="E87" i="6"/>
  <c r="F87" i="6"/>
  <c r="G87" i="6"/>
  <c r="H87" i="6"/>
  <c r="I87" i="6"/>
  <c r="J87" i="6"/>
  <c r="K87" i="6"/>
  <c r="L87" i="6"/>
  <c r="M87" i="6"/>
  <c r="O87" i="6"/>
  <c r="P87" i="6"/>
  <c r="S87" i="6"/>
  <c r="E89" i="6"/>
  <c r="F89" i="6"/>
  <c r="G89" i="6"/>
  <c r="H89" i="6"/>
  <c r="I89" i="6"/>
  <c r="J89" i="6"/>
  <c r="K89" i="6"/>
  <c r="L89" i="6"/>
  <c r="M89" i="6"/>
  <c r="O89" i="6"/>
  <c r="P89" i="6"/>
  <c r="S89" i="6"/>
  <c r="E91" i="6"/>
  <c r="F91" i="6"/>
  <c r="G91" i="6"/>
  <c r="H91" i="6"/>
  <c r="I91" i="6"/>
  <c r="J91" i="6"/>
  <c r="K91" i="6"/>
  <c r="L91" i="6"/>
  <c r="M91" i="6"/>
  <c r="O91" i="6"/>
  <c r="P91" i="6"/>
  <c r="S91" i="6"/>
  <c r="E93" i="6"/>
  <c r="F93" i="6"/>
  <c r="G93" i="6"/>
  <c r="H93" i="6"/>
  <c r="I93" i="6"/>
  <c r="J93" i="6"/>
  <c r="K93" i="6"/>
  <c r="L93" i="6"/>
  <c r="M93" i="6"/>
  <c r="O93" i="6"/>
  <c r="P93" i="6"/>
  <c r="S93" i="6"/>
  <c r="E95" i="6"/>
  <c r="F95" i="6"/>
  <c r="G95" i="6"/>
  <c r="H95" i="6"/>
  <c r="I95" i="6"/>
  <c r="J95" i="6"/>
  <c r="K95" i="6"/>
  <c r="L95" i="6"/>
  <c r="M95" i="6"/>
  <c r="O95" i="6"/>
  <c r="P95" i="6"/>
  <c r="S95" i="6"/>
  <c r="E97" i="6"/>
  <c r="F97" i="6"/>
  <c r="G97" i="6"/>
  <c r="H97" i="6"/>
  <c r="I97" i="6"/>
  <c r="J97" i="6"/>
  <c r="K97" i="6"/>
  <c r="L97" i="6"/>
  <c r="M97" i="6"/>
  <c r="O97" i="6"/>
  <c r="P97" i="6"/>
  <c r="S97" i="6"/>
  <c r="E99" i="6"/>
  <c r="F99" i="6"/>
  <c r="G99" i="6"/>
  <c r="H99" i="6"/>
  <c r="I99" i="6"/>
  <c r="J99" i="6"/>
  <c r="K99" i="6"/>
  <c r="L99" i="6"/>
  <c r="M99" i="6"/>
  <c r="O99" i="6"/>
  <c r="P99" i="6"/>
  <c r="S99" i="6"/>
  <c r="E101" i="6"/>
  <c r="F101" i="6"/>
  <c r="G101" i="6"/>
  <c r="H101" i="6"/>
  <c r="I101" i="6"/>
  <c r="J101" i="6"/>
  <c r="K101" i="6"/>
  <c r="L101" i="6"/>
  <c r="M101" i="6"/>
  <c r="O101" i="6"/>
  <c r="P101" i="6"/>
  <c r="S101" i="6"/>
  <c r="E103" i="6"/>
  <c r="F103" i="6"/>
  <c r="G103" i="6"/>
  <c r="H103" i="6"/>
  <c r="I103" i="6"/>
  <c r="J103" i="6"/>
  <c r="K103" i="6"/>
  <c r="L103" i="6"/>
  <c r="M103" i="6"/>
  <c r="O103" i="6"/>
  <c r="P103" i="6"/>
  <c r="S103" i="6"/>
  <c r="E105" i="6"/>
  <c r="F105" i="6"/>
  <c r="G105" i="6"/>
  <c r="H105" i="6"/>
  <c r="I105" i="6"/>
  <c r="J105" i="6"/>
  <c r="K105" i="6"/>
  <c r="L105" i="6"/>
  <c r="M105" i="6"/>
  <c r="O105" i="6"/>
  <c r="P105" i="6"/>
  <c r="S105" i="6"/>
  <c r="E107" i="6"/>
  <c r="F107" i="6"/>
  <c r="G107" i="6"/>
  <c r="H107" i="6"/>
  <c r="I107" i="6"/>
  <c r="J107" i="6"/>
  <c r="K107" i="6"/>
  <c r="L107" i="6"/>
  <c r="M107" i="6"/>
  <c r="O107" i="6"/>
  <c r="P107" i="6"/>
  <c r="S107" i="6"/>
  <c r="E109" i="6"/>
  <c r="F109" i="6"/>
  <c r="G109" i="6"/>
  <c r="H109" i="6"/>
  <c r="I109" i="6"/>
  <c r="J109" i="6"/>
  <c r="K109" i="6"/>
  <c r="L109" i="6"/>
  <c r="M109" i="6"/>
  <c r="O109" i="6"/>
  <c r="P109" i="6"/>
  <c r="S109" i="6"/>
  <c r="E111" i="6"/>
  <c r="F111" i="6"/>
  <c r="G111" i="6"/>
  <c r="H111" i="6"/>
  <c r="I111" i="6"/>
  <c r="J111" i="6"/>
  <c r="K111" i="6"/>
  <c r="L111" i="6"/>
  <c r="M111" i="6"/>
  <c r="O111" i="6"/>
  <c r="P111" i="6"/>
  <c r="S111" i="6"/>
  <c r="E113" i="6"/>
  <c r="F113" i="6"/>
  <c r="G113" i="6"/>
  <c r="H113" i="6"/>
  <c r="I113" i="6"/>
  <c r="J113" i="6"/>
  <c r="K113" i="6"/>
  <c r="L113" i="6"/>
  <c r="M113" i="6"/>
  <c r="O113" i="6"/>
  <c r="P113" i="6"/>
  <c r="S113" i="6"/>
  <c r="E115" i="6"/>
  <c r="F115" i="6"/>
  <c r="G115" i="6"/>
  <c r="H115" i="6"/>
  <c r="I115" i="6"/>
  <c r="J115" i="6"/>
  <c r="K115" i="6"/>
  <c r="L115" i="6"/>
  <c r="M115" i="6"/>
  <c r="O115" i="6"/>
  <c r="P115" i="6"/>
  <c r="S115" i="6"/>
  <c r="D115" i="6"/>
  <c r="D113" i="6"/>
  <c r="D111" i="6"/>
  <c r="D109" i="6"/>
  <c r="D107" i="6"/>
  <c r="D105" i="6"/>
  <c r="D103" i="6"/>
  <c r="D101" i="6"/>
  <c r="D99" i="6"/>
  <c r="D97" i="6"/>
  <c r="D95" i="6"/>
  <c r="D93" i="6"/>
  <c r="D91" i="6"/>
  <c r="D89" i="6"/>
  <c r="D87" i="6"/>
  <c r="D85" i="6"/>
  <c r="D83" i="6"/>
  <c r="D79" i="6"/>
  <c r="D77" i="6"/>
  <c r="D67" i="6"/>
  <c r="D65" i="6"/>
  <c r="D63" i="6"/>
  <c r="D61" i="6"/>
  <c r="D59" i="6"/>
  <c r="D57" i="6"/>
  <c r="D55" i="6"/>
  <c r="D53" i="6"/>
  <c r="D51" i="6"/>
  <c r="D49" i="6"/>
  <c r="D47" i="6"/>
  <c r="D45" i="6"/>
  <c r="D43" i="6"/>
  <c r="D41" i="6"/>
  <c r="D33" i="6"/>
  <c r="D31" i="6"/>
  <c r="D29" i="6"/>
  <c r="D27" i="6"/>
  <c r="D25" i="6"/>
  <c r="D23" i="6"/>
  <c r="D21" i="6"/>
  <c r="D19" i="6"/>
  <c r="B40" i="6"/>
  <c r="B42" i="6"/>
  <c r="B44" i="6"/>
  <c r="B46" i="6"/>
  <c r="B48" i="6"/>
  <c r="B50" i="6"/>
  <c r="B52" i="6"/>
  <c r="B54" i="6"/>
  <c r="B56" i="6"/>
  <c r="B58" i="6"/>
  <c r="B60" i="6"/>
  <c r="B62" i="6"/>
  <c r="B64" i="6"/>
  <c r="B66" i="6"/>
  <c r="B68" i="6"/>
  <c r="B70" i="6"/>
  <c r="B72" i="6"/>
  <c r="B76" i="6"/>
  <c r="B78" i="6"/>
  <c r="B80" i="6"/>
  <c r="B82" i="6"/>
  <c r="B84" i="6"/>
  <c r="B86" i="6"/>
  <c r="B88" i="6"/>
  <c r="B90" i="6"/>
  <c r="B92" i="6"/>
  <c r="B94" i="6"/>
  <c r="B96" i="6"/>
  <c r="B98" i="6"/>
  <c r="B100" i="6"/>
  <c r="B102" i="6"/>
  <c r="B104" i="6"/>
  <c r="B106" i="6"/>
  <c r="B108" i="6"/>
  <c r="B110" i="6"/>
  <c r="B112" i="6"/>
  <c r="B114" i="6"/>
  <c r="B30" i="6"/>
  <c r="B32" i="6"/>
  <c r="B38" i="6"/>
  <c r="B74" i="6"/>
  <c r="B18" i="6"/>
  <c r="B12" i="6"/>
  <c r="B14" i="6"/>
  <c r="B20" i="6"/>
  <c r="B22" i="6"/>
  <c r="B24" i="6"/>
  <c r="B26" i="6"/>
  <c r="B28" i="6"/>
  <c r="F77" i="9"/>
  <c r="F76" i="9"/>
  <c r="F75" i="9"/>
  <c r="D65" i="9"/>
  <c r="F64" i="9"/>
  <c r="G64" i="9" s="1"/>
  <c r="G63" i="9"/>
  <c r="G69" i="9" s="1"/>
  <c r="G55" i="9" s="1"/>
  <c r="H54" i="9"/>
  <c r="F54" i="9"/>
  <c r="H53" i="9"/>
  <c r="F53" i="9"/>
  <c r="H52" i="9"/>
  <c r="F52" i="9"/>
  <c r="H51" i="9"/>
  <c r="F51" i="9"/>
  <c r="H47" i="9"/>
  <c r="F47" i="9"/>
  <c r="H46" i="9"/>
  <c r="F46" i="9"/>
  <c r="H45" i="9"/>
  <c r="F45" i="9"/>
  <c r="H44" i="9"/>
  <c r="F44" i="9"/>
  <c r="G38" i="9"/>
  <c r="F25" i="9" s="1"/>
  <c r="F38" i="9"/>
  <c r="F18" i="9" s="1"/>
  <c r="D35" i="9"/>
  <c r="G62" i="9" s="1"/>
  <c r="G34" i="9"/>
  <c r="G40" i="9" s="1"/>
  <c r="H25" i="9" s="1"/>
  <c r="F34" i="9"/>
  <c r="G33" i="9"/>
  <c r="G32" i="9"/>
  <c r="H24" i="9"/>
  <c r="F24" i="9"/>
  <c r="H23" i="9"/>
  <c r="F23" i="9"/>
  <c r="H22" i="9"/>
  <c r="F22" i="9"/>
  <c r="H21" i="9"/>
  <c r="F21" i="9"/>
  <c r="F187" i="15" l="1"/>
  <c r="G186" i="15"/>
  <c r="G39" i="9"/>
  <c r="G25" i="9" s="1"/>
  <c r="I20" i="9" s="1"/>
  <c r="F39" i="9"/>
  <c r="G18" i="9" s="1"/>
  <c r="I13" i="9" s="1"/>
  <c r="G70" i="9"/>
  <c r="H55" i="9" s="1"/>
  <c r="F70" i="9"/>
  <c r="H48" i="9" s="1"/>
  <c r="G68" i="9"/>
  <c r="F55" i="9" s="1"/>
  <c r="F68" i="9"/>
  <c r="F48" i="9" s="1"/>
  <c r="F69" i="9"/>
  <c r="G48" i="9" s="1"/>
  <c r="F40" i="9"/>
  <c r="H18" i="9" s="1"/>
  <c r="G187" i="15" l="1"/>
  <c r="I43" i="9"/>
  <c r="I50" i="9"/>
  <c r="F553" i="12" l="1"/>
  <c r="F65" i="3"/>
  <c r="F20" i="3"/>
  <c r="F26" i="3"/>
  <c r="F37" i="3"/>
  <c r="F43" i="3"/>
  <c r="F49" i="3"/>
  <c r="F85" i="3"/>
  <c r="F92" i="3"/>
  <c r="F101" i="3"/>
  <c r="F116" i="3"/>
  <c r="F126" i="3"/>
  <c r="F142" i="3"/>
  <c r="F153" i="3"/>
  <c r="F159" i="3"/>
  <c r="F165" i="3"/>
  <c r="F171" i="3"/>
  <c r="F177" i="3"/>
  <c r="F188" i="3"/>
  <c r="F199" i="3"/>
  <c r="F212" i="3"/>
  <c r="F223" i="3"/>
  <c r="F234" i="3"/>
  <c r="F631" i="12"/>
  <c r="F599" i="12"/>
  <c r="F593" i="12"/>
  <c r="F587" i="12"/>
  <c r="F581" i="12"/>
  <c r="F575" i="12"/>
  <c r="F563" i="12"/>
  <c r="F544" i="12"/>
  <c r="F527" i="12"/>
  <c r="F510" i="12"/>
  <c r="F493" i="12"/>
  <c r="F476" i="12"/>
  <c r="F459" i="12"/>
  <c r="F442" i="12"/>
  <c r="F425" i="12"/>
  <c r="F419" i="12"/>
  <c r="F413" i="12"/>
  <c r="F407" i="12"/>
  <c r="F401" i="12"/>
  <c r="F392" i="12"/>
  <c r="F386" i="12"/>
  <c r="F379" i="12"/>
  <c r="F372" i="12"/>
  <c r="F365" i="12"/>
  <c r="F358" i="12"/>
  <c r="F345" i="12"/>
  <c r="F334" i="12"/>
  <c r="F324" i="12"/>
  <c r="F309" i="12"/>
  <c r="F294" i="12"/>
  <c r="F279" i="12"/>
  <c r="F262" i="12"/>
  <c r="F245" i="12"/>
  <c r="F239" i="12"/>
  <c r="F233" i="12"/>
  <c r="F227" i="12"/>
  <c r="F221" i="12"/>
  <c r="F215" i="12"/>
  <c r="F209" i="12"/>
  <c r="F203" i="12"/>
  <c r="F197" i="12"/>
  <c r="F191" i="12"/>
  <c r="F185" i="12"/>
  <c r="F179" i="12"/>
  <c r="F173" i="12"/>
  <c r="F167" i="12"/>
  <c r="F161" i="12"/>
  <c r="F155" i="12"/>
  <c r="F149" i="12"/>
  <c r="F143" i="12"/>
  <c r="F132" i="12"/>
  <c r="F115" i="12"/>
  <c r="F109" i="12"/>
  <c r="F103" i="12"/>
  <c r="F91" i="12"/>
  <c r="F82" i="12"/>
  <c r="F75" i="12"/>
  <c r="F58" i="12"/>
  <c r="F41" i="12"/>
  <c r="F26" i="12"/>
  <c r="F169" i="3" l="1"/>
  <c r="G169" i="3" s="1"/>
  <c r="G170" i="3" s="1"/>
  <c r="G171" i="3" s="1"/>
  <c r="F120" i="3"/>
  <c r="F74" i="3"/>
  <c r="G74" i="3" s="1"/>
  <c r="F55" i="3"/>
  <c r="G55" i="3" s="1"/>
  <c r="F217" i="3"/>
  <c r="F193" i="3"/>
  <c r="F163" i="3"/>
  <c r="F136" i="3"/>
  <c r="F73" i="3"/>
  <c r="G73" i="3" s="1"/>
  <c r="F54" i="3"/>
  <c r="F216" i="3"/>
  <c r="F192" i="3"/>
  <c r="G192" i="3" s="1"/>
  <c r="F157" i="3"/>
  <c r="F135" i="3"/>
  <c r="F53" i="3"/>
  <c r="F134" i="3"/>
  <c r="F47" i="3"/>
  <c r="G47" i="3" s="1"/>
  <c r="G48" i="3" s="1"/>
  <c r="G49" i="3" s="1"/>
  <c r="F41" i="3"/>
  <c r="F24" i="3"/>
  <c r="F107" i="3"/>
  <c r="G107" i="3" s="1"/>
  <c r="F228" i="3"/>
  <c r="G228" i="3" s="1"/>
  <c r="F182" i="3"/>
  <c r="F147" i="3"/>
  <c r="F106" i="3"/>
  <c r="G106" i="3" s="1"/>
  <c r="F227" i="3"/>
  <c r="G227" i="3" s="1"/>
  <c r="F203" i="3"/>
  <c r="G203" i="3" s="1"/>
  <c r="G204" i="3" s="1"/>
  <c r="F181" i="3"/>
  <c r="G181" i="3" s="1"/>
  <c r="F146" i="3"/>
  <c r="G146" i="3" s="1"/>
  <c r="F105" i="3"/>
  <c r="G105" i="3" s="1"/>
  <c r="F76" i="3"/>
  <c r="G76" i="3" s="1"/>
  <c r="F75" i="3"/>
  <c r="G75" i="3" s="1"/>
  <c r="F56" i="3"/>
  <c r="G56" i="3" s="1"/>
  <c r="F175" i="3"/>
  <c r="G175" i="3" s="1"/>
  <c r="G176" i="3" s="1"/>
  <c r="G177" i="3" s="1"/>
  <c r="G217" i="3"/>
  <c r="G216" i="3"/>
  <c r="G193" i="3"/>
  <c r="G182" i="3"/>
  <c r="G163" i="3"/>
  <c r="G164" i="3" s="1"/>
  <c r="G165" i="3" s="1"/>
  <c r="G157" i="3"/>
  <c r="G158" i="3" s="1"/>
  <c r="G159" i="3" s="1"/>
  <c r="G147" i="3"/>
  <c r="G136" i="3"/>
  <c r="G135" i="3"/>
  <c r="G134" i="3"/>
  <c r="G120" i="3"/>
  <c r="G121" i="3" s="1"/>
  <c r="G54" i="3"/>
  <c r="G53" i="3"/>
  <c r="G41" i="3"/>
  <c r="G42" i="3" s="1"/>
  <c r="G43" i="3" s="1"/>
  <c r="G24" i="3"/>
  <c r="G25" i="3" s="1"/>
  <c r="G26" i="3" s="1"/>
  <c r="G229" i="3" l="1"/>
  <c r="G218" i="3"/>
  <c r="G194" i="3"/>
  <c r="G183" i="3"/>
  <c r="G148" i="3"/>
  <c r="G137" i="3"/>
  <c r="G108" i="3"/>
  <c r="G77" i="3"/>
  <c r="G57" i="3"/>
  <c r="G629" i="12"/>
  <c r="G630" i="12" s="1"/>
  <c r="G626" i="12"/>
  <c r="G627" i="12" s="1"/>
  <c r="G623" i="12"/>
  <c r="G622" i="12"/>
  <c r="G621" i="12"/>
  <c r="G620" i="12"/>
  <c r="G614" i="12"/>
  <c r="G615" i="12" s="1"/>
  <c r="G611" i="12"/>
  <c r="G612" i="12" s="1"/>
  <c r="G608" i="12"/>
  <c r="G607" i="12"/>
  <c r="G606" i="12"/>
  <c r="G605" i="12"/>
  <c r="G604" i="12"/>
  <c r="G603" i="12"/>
  <c r="G597" i="12"/>
  <c r="G598" i="12" s="1"/>
  <c r="G599" i="12" s="1"/>
  <c r="G591" i="12"/>
  <c r="G592" i="12" s="1"/>
  <c r="G593" i="12" s="1"/>
  <c r="G585" i="12"/>
  <c r="G586" i="12" s="1"/>
  <c r="G587" i="12" s="1"/>
  <c r="G579" i="12"/>
  <c r="G580" i="12" s="1"/>
  <c r="G581" i="12" s="1"/>
  <c r="G573" i="12"/>
  <c r="G572" i="12"/>
  <c r="G571" i="12"/>
  <c r="G570" i="12"/>
  <c r="G567" i="12"/>
  <c r="G568" i="12" s="1"/>
  <c r="G561" i="12"/>
  <c r="G560" i="12"/>
  <c r="G562" i="12" s="1"/>
  <c r="G557" i="12"/>
  <c r="G558" i="12" s="1"/>
  <c r="G551" i="12"/>
  <c r="G552" i="12" s="1"/>
  <c r="G548" i="12"/>
  <c r="G549" i="12" s="1"/>
  <c r="G553" i="12" s="1"/>
  <c r="G542" i="12"/>
  <c r="G543" i="12" s="1"/>
  <c r="G539" i="12"/>
  <c r="G540" i="12" s="1"/>
  <c r="G536" i="12"/>
  <c r="G535" i="12"/>
  <c r="G534" i="12"/>
  <c r="G533" i="12"/>
  <c r="G532" i="12"/>
  <c r="G531" i="12"/>
  <c r="G525" i="12"/>
  <c r="G526" i="12" s="1"/>
  <c r="G522" i="12"/>
  <c r="G523" i="12" s="1"/>
  <c r="G519" i="12"/>
  <c r="G518" i="12"/>
  <c r="G517" i="12"/>
  <c r="G516" i="12"/>
  <c r="G515" i="12"/>
  <c r="G514" i="12"/>
  <c r="G508" i="12"/>
  <c r="G509" i="12" s="1"/>
  <c r="G505" i="12"/>
  <c r="G506" i="12" s="1"/>
  <c r="G502" i="12"/>
  <c r="G501" i="12"/>
  <c r="G500" i="12"/>
  <c r="G499" i="12"/>
  <c r="G498" i="12"/>
  <c r="G497" i="12"/>
  <c r="G491" i="12"/>
  <c r="G492" i="12" s="1"/>
  <c r="G488" i="12"/>
  <c r="G489" i="12" s="1"/>
  <c r="G485" i="12"/>
  <c r="G484" i="12"/>
  <c r="G483" i="12"/>
  <c r="G482" i="12"/>
  <c r="G481" i="12"/>
  <c r="G480" i="12"/>
  <c r="G474" i="12"/>
  <c r="G475" i="12" s="1"/>
  <c r="G471" i="12"/>
  <c r="G472" i="12" s="1"/>
  <c r="G468" i="12"/>
  <c r="G467" i="12"/>
  <c r="G466" i="12"/>
  <c r="G465" i="12"/>
  <c r="G464" i="12"/>
  <c r="G463" i="12"/>
  <c r="G457" i="12"/>
  <c r="G458" i="12" s="1"/>
  <c r="G454" i="12"/>
  <c r="G455" i="12" s="1"/>
  <c r="G451" i="12"/>
  <c r="G450" i="12"/>
  <c r="G449" i="12"/>
  <c r="G448" i="12"/>
  <c r="G447" i="12"/>
  <c r="G446" i="12"/>
  <c r="G440" i="12"/>
  <c r="G441" i="12" s="1"/>
  <c r="G437" i="12"/>
  <c r="G438" i="12" s="1"/>
  <c r="G434" i="12"/>
  <c r="G433" i="12"/>
  <c r="G432" i="12"/>
  <c r="G431" i="12"/>
  <c r="G430" i="12"/>
  <c r="G429" i="12"/>
  <c r="G423" i="12"/>
  <c r="G424" i="12" s="1"/>
  <c r="G425" i="12" s="1"/>
  <c r="G417" i="12"/>
  <c r="G418" i="12" s="1"/>
  <c r="G419" i="12" s="1"/>
  <c r="G412" i="12"/>
  <c r="G413" i="12" s="1"/>
  <c r="G411" i="12"/>
  <c r="G405" i="12"/>
  <c r="G406" i="12" s="1"/>
  <c r="G407" i="12" s="1"/>
  <c r="G399" i="12"/>
  <c r="G398" i="12"/>
  <c r="G397" i="12"/>
  <c r="G396" i="12"/>
  <c r="G390" i="12"/>
  <c r="G391" i="12" s="1"/>
  <c r="G392" i="12" s="1"/>
  <c r="G384" i="12"/>
  <c r="G383" i="12"/>
  <c r="G377" i="12"/>
  <c r="G376" i="12"/>
  <c r="G370" i="12"/>
  <c r="G369" i="12"/>
  <c r="G363" i="12"/>
  <c r="G362" i="12"/>
  <c r="G356" i="12"/>
  <c r="G355" i="12"/>
  <c r="G354" i="12"/>
  <c r="G353" i="12"/>
  <c r="G352" i="12"/>
  <c r="G349" i="12"/>
  <c r="G350" i="12" s="1"/>
  <c r="G343" i="12"/>
  <c r="G342" i="12"/>
  <c r="G341" i="12"/>
  <c r="G338" i="12"/>
  <c r="G339" i="12" s="1"/>
  <c r="G332" i="12"/>
  <c r="G331" i="12"/>
  <c r="G328" i="12"/>
  <c r="G329" i="12" s="1"/>
  <c r="G322" i="12"/>
  <c r="G323" i="12" s="1"/>
  <c r="G319" i="12"/>
  <c r="G320" i="12" s="1"/>
  <c r="G316" i="12"/>
  <c r="G315" i="12"/>
  <c r="G314" i="12"/>
  <c r="G313" i="12"/>
  <c r="G307" i="12"/>
  <c r="G308" i="12" s="1"/>
  <c r="G304" i="12"/>
  <c r="G305" i="12" s="1"/>
  <c r="G301" i="12"/>
  <c r="G300" i="12"/>
  <c r="G299" i="12"/>
  <c r="G298" i="12"/>
  <c r="G292" i="12"/>
  <c r="G293" i="12" s="1"/>
  <c r="G289" i="12"/>
  <c r="G290" i="12" s="1"/>
  <c r="G286" i="12"/>
  <c r="G285" i="12"/>
  <c r="G284" i="12"/>
  <c r="G283" i="12"/>
  <c r="G277" i="12"/>
  <c r="G278" i="12" s="1"/>
  <c r="G274" i="12"/>
  <c r="G275" i="12" s="1"/>
  <c r="G271" i="12"/>
  <c r="G270" i="12"/>
  <c r="G269" i="12"/>
  <c r="G268" i="12"/>
  <c r="G267" i="12"/>
  <c r="G266" i="12"/>
  <c r="G260" i="12"/>
  <c r="G261" i="12" s="1"/>
  <c r="G257" i="12"/>
  <c r="G258" i="12" s="1"/>
  <c r="G254" i="12"/>
  <c r="G253" i="12"/>
  <c r="G252" i="12"/>
  <c r="G251" i="12"/>
  <c r="G250" i="12"/>
  <c r="G249" i="12"/>
  <c r="G243" i="12"/>
  <c r="G244" i="12" s="1"/>
  <c r="G245" i="12" s="1"/>
  <c r="G237" i="12"/>
  <c r="G238" i="12" s="1"/>
  <c r="G239" i="12" s="1"/>
  <c r="G231" i="12"/>
  <c r="G232" i="12" s="1"/>
  <c r="G233" i="12" s="1"/>
  <c r="G225" i="12"/>
  <c r="G226" i="12" s="1"/>
  <c r="G227" i="12" s="1"/>
  <c r="G219" i="12"/>
  <c r="G220" i="12" s="1"/>
  <c r="G221" i="12" s="1"/>
  <c r="G213" i="12"/>
  <c r="G214" i="12" s="1"/>
  <c r="G215" i="12" s="1"/>
  <c r="G207" i="12"/>
  <c r="G208" i="12" s="1"/>
  <c r="G209" i="12" s="1"/>
  <c r="G201" i="12"/>
  <c r="G202" i="12" s="1"/>
  <c r="G203" i="12" s="1"/>
  <c r="G195" i="12"/>
  <c r="G196" i="12" s="1"/>
  <c r="G197" i="12" s="1"/>
  <c r="G189" i="12"/>
  <c r="G190" i="12" s="1"/>
  <c r="G191" i="12" s="1"/>
  <c r="G184" i="12"/>
  <c r="G185" i="12" s="1"/>
  <c r="G177" i="12"/>
  <c r="G178" i="12" s="1"/>
  <c r="G179" i="12" s="1"/>
  <c r="G171" i="12"/>
  <c r="G172" i="12" s="1"/>
  <c r="G173" i="12" s="1"/>
  <c r="G165" i="12"/>
  <c r="G166" i="12" s="1"/>
  <c r="G167" i="12" s="1"/>
  <c r="G159" i="12"/>
  <c r="G160" i="12" s="1"/>
  <c r="G161" i="12" s="1"/>
  <c r="G153" i="12"/>
  <c r="G154" i="12" s="1"/>
  <c r="G155" i="12" s="1"/>
  <c r="G147" i="12"/>
  <c r="G148" i="12" s="1"/>
  <c r="G149" i="12" s="1"/>
  <c r="G141" i="12"/>
  <c r="G142" i="12" s="1"/>
  <c r="G138" i="12"/>
  <c r="G137" i="12"/>
  <c r="G136" i="12"/>
  <c r="G130" i="12"/>
  <c r="G131" i="12" s="1"/>
  <c r="G127" i="12"/>
  <c r="G128" i="12" s="1"/>
  <c r="G124" i="12"/>
  <c r="G123" i="12"/>
  <c r="G122" i="12"/>
  <c r="G121" i="12"/>
  <c r="G120" i="12"/>
  <c r="G119" i="12"/>
  <c r="G113" i="12"/>
  <c r="G114" i="12" s="1"/>
  <c r="G115" i="12" s="1"/>
  <c r="G107" i="12"/>
  <c r="G108" i="12" s="1"/>
  <c r="G109" i="12" s="1"/>
  <c r="G101" i="12"/>
  <c r="G102" i="12" s="1"/>
  <c r="G103" i="12" s="1"/>
  <c r="G95" i="12"/>
  <c r="G96" i="12" s="1"/>
  <c r="G97" i="12" s="1"/>
  <c r="G89" i="12"/>
  <c r="G88" i="12"/>
  <c r="G87" i="12"/>
  <c r="G86" i="12"/>
  <c r="G80" i="12"/>
  <c r="G79" i="12"/>
  <c r="G81" i="12" s="1"/>
  <c r="G82" i="12" s="1"/>
  <c r="G73" i="12"/>
  <c r="G74" i="12" s="1"/>
  <c r="G70" i="12"/>
  <c r="G71" i="12" s="1"/>
  <c r="G67" i="12"/>
  <c r="G66" i="12"/>
  <c r="G65" i="12"/>
  <c r="G64" i="12"/>
  <c r="G63" i="12"/>
  <c r="G62" i="12"/>
  <c r="G56" i="12"/>
  <c r="G57" i="12" s="1"/>
  <c r="G53" i="12"/>
  <c r="G54" i="12" s="1"/>
  <c r="G50" i="12"/>
  <c r="G49" i="12"/>
  <c r="G48" i="12"/>
  <c r="G47" i="12"/>
  <c r="G46" i="12"/>
  <c r="G45" i="12"/>
  <c r="G39" i="12"/>
  <c r="G40" i="12" s="1"/>
  <c r="G36" i="12"/>
  <c r="G35" i="12"/>
  <c r="G34" i="12"/>
  <c r="G31" i="12"/>
  <c r="G30" i="12"/>
  <c r="G24" i="12"/>
  <c r="G25" i="12" s="1"/>
  <c r="G21" i="12"/>
  <c r="G22" i="12" s="1"/>
  <c r="G18" i="12"/>
  <c r="G17" i="12"/>
  <c r="G16" i="12"/>
  <c r="G15" i="12"/>
  <c r="G14" i="12"/>
  <c r="G13" i="12"/>
  <c r="G203" i="13"/>
  <c r="G68" i="1" s="1"/>
  <c r="F60" i="4" s="1"/>
  <c r="G199" i="13"/>
  <c r="G195" i="13"/>
  <c r="G191" i="13"/>
  <c r="G67" i="1" s="1"/>
  <c r="F62" i="4" s="1"/>
  <c r="G187" i="13"/>
  <c r="D223" i="13" s="1"/>
  <c r="G222" i="13" s="1"/>
  <c r="G72" i="1" s="1"/>
  <c r="F49" i="4" s="1"/>
  <c r="G183" i="13"/>
  <c r="D218" i="13" s="1"/>
  <c r="G217" i="13" s="1"/>
  <c r="G179" i="13"/>
  <c r="D213" i="13" s="1"/>
  <c r="G212" i="13" s="1"/>
  <c r="G175" i="13"/>
  <c r="G62" i="1" s="1"/>
  <c r="F48" i="4" s="1"/>
  <c r="G171" i="13"/>
  <c r="G60" i="1" s="1"/>
  <c r="F37" i="4" s="1"/>
  <c r="G167" i="13"/>
  <c r="G163" i="13"/>
  <c r="G159" i="13"/>
  <c r="G155" i="13"/>
  <c r="G56" i="1" s="1"/>
  <c r="G144" i="13"/>
  <c r="G48" i="1" s="1"/>
  <c r="F36" i="4" s="1"/>
  <c r="G140" i="13"/>
  <c r="G136" i="13"/>
  <c r="G132" i="13"/>
  <c r="G45" i="1" s="1"/>
  <c r="F40" i="4" s="1"/>
  <c r="D130" i="13"/>
  <c r="D129" i="13"/>
  <c r="D128" i="13"/>
  <c r="D116" i="13"/>
  <c r="D115" i="13"/>
  <c r="D114" i="13"/>
  <c r="G60" i="13"/>
  <c r="G56" i="13"/>
  <c r="G52" i="13"/>
  <c r="G48" i="13"/>
  <c r="G29" i="1" s="1"/>
  <c r="F55" i="4" s="1"/>
  <c r="G104" i="13"/>
  <c r="G40" i="1" s="1"/>
  <c r="F31" i="4" s="1"/>
  <c r="G98" i="13"/>
  <c r="G92" i="13"/>
  <c r="G86" i="13"/>
  <c r="F81" i="13"/>
  <c r="F80" i="13"/>
  <c r="F79" i="13"/>
  <c r="F78" i="13"/>
  <c r="F77" i="13"/>
  <c r="G45" i="13"/>
  <c r="G27" i="1" s="1"/>
  <c r="F19" i="4" s="1"/>
  <c r="G42" i="13"/>
  <c r="G39" i="13"/>
  <c r="G36" i="13"/>
  <c r="G26" i="1" s="1"/>
  <c r="F25" i="4" s="1"/>
  <c r="G66" i="1"/>
  <c r="F61" i="4" s="1"/>
  <c r="G20" i="1"/>
  <c r="G19" i="1"/>
  <c r="G18" i="1"/>
  <c r="G16" i="1"/>
  <c r="G13" i="1"/>
  <c r="G54" i="1"/>
  <c r="G53" i="1"/>
  <c r="G51" i="1"/>
  <c r="G50" i="1"/>
  <c r="I33" i="13"/>
  <c r="G32" i="13" s="1"/>
  <c r="G22" i="1" s="1"/>
  <c r="I30" i="13"/>
  <c r="G29" i="13" s="1"/>
  <c r="G21" i="1" s="1"/>
  <c r="G357" i="12" l="1"/>
  <c r="G37" i="12"/>
  <c r="G90" i="12"/>
  <c r="G91" i="12" s="1"/>
  <c r="F63" i="3"/>
  <c r="G63" i="3" s="1"/>
  <c r="G64" i="3" s="1"/>
  <c r="G333" i="12"/>
  <c r="G378" i="12"/>
  <c r="G379" i="12" s="1"/>
  <c r="G563" i="12"/>
  <c r="G31" i="1"/>
  <c r="F50" i="4" s="1"/>
  <c r="G624" i="12"/>
  <c r="G631" i="12" s="1"/>
  <c r="G609" i="12"/>
  <c r="G616" i="12" s="1"/>
  <c r="G574" i="12"/>
  <c r="G575" i="12" s="1"/>
  <c r="G537" i="12"/>
  <c r="G544" i="12" s="1"/>
  <c r="G520" i="12"/>
  <c r="G503" i="12"/>
  <c r="G510" i="12" s="1"/>
  <c r="G486" i="12"/>
  <c r="G493" i="12" s="1"/>
  <c r="G469" i="12"/>
  <c r="G476" i="12" s="1"/>
  <c r="G452" i="12"/>
  <c r="G435" i="12"/>
  <c r="G442" i="12"/>
  <c r="G400" i="12"/>
  <c r="G401" i="12" s="1"/>
  <c r="G385" i="12"/>
  <c r="G386" i="12" s="1"/>
  <c r="G371" i="12"/>
  <c r="G372" i="12" s="1"/>
  <c r="G364" i="12"/>
  <c r="G365" i="12" s="1"/>
  <c r="G358" i="12"/>
  <c r="G344" i="12"/>
  <c r="G334" i="12"/>
  <c r="G317" i="12"/>
  <c r="G324" i="12" s="1"/>
  <c r="G302" i="12"/>
  <c r="G309" i="12" s="1"/>
  <c r="G287" i="12"/>
  <c r="G294" i="12" s="1"/>
  <c r="F13" i="3" s="1"/>
  <c r="G272" i="12"/>
  <c r="G279" i="12" s="1"/>
  <c r="G255" i="12"/>
  <c r="G139" i="12"/>
  <c r="G143" i="12" s="1"/>
  <c r="G125" i="12"/>
  <c r="G132" i="12" s="1"/>
  <c r="G68" i="12"/>
  <c r="G51" i="12"/>
  <c r="G58" i="12" s="1"/>
  <c r="G32" i="12"/>
  <c r="G41" i="12" s="1"/>
  <c r="G19" i="12"/>
  <c r="G26" i="12" s="1"/>
  <c r="G459" i="12"/>
  <c r="G527" i="12"/>
  <c r="G75" i="12"/>
  <c r="G262" i="12"/>
  <c r="G345" i="12"/>
  <c r="G64" i="1"/>
  <c r="F38" i="4" s="1"/>
  <c r="G65" i="1"/>
  <c r="F63" i="4" s="1"/>
  <c r="D208" i="13"/>
  <c r="G207" i="13" s="1"/>
  <c r="G61" i="1"/>
  <c r="F47" i="4" s="1"/>
  <c r="G63" i="1"/>
  <c r="F46" i="4" s="1"/>
  <c r="G59" i="1"/>
  <c r="F42" i="4" s="1"/>
  <c r="G58" i="1"/>
  <c r="F44" i="4" s="1"/>
  <c r="G57" i="1"/>
  <c r="F43" i="4" s="1"/>
  <c r="G47" i="1"/>
  <c r="F41" i="4" s="1"/>
  <c r="G46" i="1"/>
  <c r="F39" i="4" s="1"/>
  <c r="G124" i="13"/>
  <c r="G44" i="1" s="1"/>
  <c r="F18" i="4" s="1"/>
  <c r="G110" i="13"/>
  <c r="G121" i="13" s="1"/>
  <c r="G28" i="1"/>
  <c r="F56" i="4" s="1"/>
  <c r="G30" i="1"/>
  <c r="F54" i="4" s="1"/>
  <c r="G39" i="1"/>
  <c r="F34" i="4" s="1"/>
  <c r="G37" i="1"/>
  <c r="F33" i="4" s="1"/>
  <c r="G38" i="1"/>
  <c r="F32" i="4" s="1"/>
  <c r="G74" i="13"/>
  <c r="G83" i="13" s="1"/>
  <c r="G25" i="1"/>
  <c r="F23" i="4" s="1"/>
  <c r="G24" i="1"/>
  <c r="F24" i="4" s="1"/>
  <c r="I9" i="13"/>
  <c r="B9" i="13"/>
  <c r="I8" i="13"/>
  <c r="H8" i="13"/>
  <c r="B8" i="13"/>
  <c r="I7" i="13"/>
  <c r="H7" i="13"/>
  <c r="B7" i="13"/>
  <c r="I6" i="13"/>
  <c r="H6" i="13"/>
  <c r="B6" i="13"/>
  <c r="K5" i="13"/>
  <c r="B5" i="13"/>
  <c r="B4" i="13"/>
  <c r="F9" i="7"/>
  <c r="F8" i="7"/>
  <c r="F7" i="7"/>
  <c r="F6" i="7"/>
  <c r="D8" i="7"/>
  <c r="D7" i="7"/>
  <c r="D6" i="7"/>
  <c r="H5" i="7"/>
  <c r="D11" i="8"/>
  <c r="D10" i="8"/>
  <c r="C10" i="8"/>
  <c r="D9" i="8"/>
  <c r="C9" i="8"/>
  <c r="D8" i="8"/>
  <c r="C8" i="8"/>
  <c r="F7" i="8"/>
  <c r="F9" i="6"/>
  <c r="F8" i="6"/>
  <c r="E8" i="6"/>
  <c r="F7" i="6"/>
  <c r="E7" i="6"/>
  <c r="F6" i="6"/>
  <c r="E6" i="6"/>
  <c r="H5" i="6"/>
  <c r="G9" i="9"/>
  <c r="G8" i="9"/>
  <c r="F8" i="9"/>
  <c r="G7" i="9"/>
  <c r="F7" i="9"/>
  <c r="G6" i="9"/>
  <c r="F6" i="9"/>
  <c r="I5" i="9"/>
  <c r="I9" i="4"/>
  <c r="I8" i="4"/>
  <c r="H8" i="4"/>
  <c r="I7" i="4"/>
  <c r="H7" i="4"/>
  <c r="I6" i="4"/>
  <c r="H6" i="4"/>
  <c r="K5" i="4"/>
  <c r="E9" i="12"/>
  <c r="E8" i="12"/>
  <c r="D8" i="12"/>
  <c r="E7" i="12"/>
  <c r="D7" i="12"/>
  <c r="E6" i="12"/>
  <c r="D6" i="12"/>
  <c r="G5" i="12"/>
  <c r="E9" i="3"/>
  <c r="E8" i="3"/>
  <c r="D8" i="3"/>
  <c r="E7" i="3"/>
  <c r="D7" i="3"/>
  <c r="E6" i="3"/>
  <c r="D6" i="3"/>
  <c r="G5" i="3"/>
  <c r="H8" i="1"/>
  <c r="I8" i="1"/>
  <c r="H7" i="1"/>
  <c r="H6" i="1"/>
  <c r="K5" i="1"/>
  <c r="I9" i="1"/>
  <c r="I7" i="1"/>
  <c r="I6" i="1"/>
  <c r="B5" i="3"/>
  <c r="B6" i="3"/>
  <c r="B7" i="3"/>
  <c r="B8" i="3"/>
  <c r="B9" i="3"/>
  <c r="B5" i="12"/>
  <c r="B6" i="12"/>
  <c r="B7" i="12"/>
  <c r="B8" i="12"/>
  <c r="B9" i="12"/>
  <c r="B5" i="4"/>
  <c r="B6" i="4"/>
  <c r="B7" i="4"/>
  <c r="B8" i="4"/>
  <c r="B9" i="4"/>
  <c r="B5" i="9"/>
  <c r="B6" i="9"/>
  <c r="B7" i="9"/>
  <c r="B8" i="9"/>
  <c r="B9" i="9"/>
  <c r="B5" i="6"/>
  <c r="B6" i="6"/>
  <c r="B7" i="6"/>
  <c r="B8" i="6"/>
  <c r="B9" i="6"/>
  <c r="B5" i="7"/>
  <c r="B6" i="7"/>
  <c r="B7" i="7"/>
  <c r="B8" i="7"/>
  <c r="B9" i="7"/>
  <c r="B7" i="8"/>
  <c r="B8" i="8"/>
  <c r="B9" i="8"/>
  <c r="B10" i="8"/>
  <c r="B11" i="8"/>
  <c r="B6" i="8"/>
  <c r="B4" i="7"/>
  <c r="B4" i="6"/>
  <c r="B4" i="9"/>
  <c r="B4" i="4"/>
  <c r="B4" i="12"/>
  <c r="B5" i="1"/>
  <c r="B6" i="1"/>
  <c r="B7" i="1"/>
  <c r="B8" i="1"/>
  <c r="B9" i="1"/>
  <c r="B4" i="3"/>
  <c r="B4" i="1"/>
  <c r="E25" i="8"/>
  <c r="C25" i="8"/>
  <c r="E38" i="8"/>
  <c r="C38" i="8"/>
  <c r="E46" i="8"/>
  <c r="C46" i="8"/>
  <c r="E51" i="8"/>
  <c r="C51" i="8"/>
  <c r="D55" i="7"/>
  <c r="F7" i="2" s="1"/>
  <c r="K7" i="13" s="1"/>
  <c r="F52" i="7"/>
  <c r="D50" i="7"/>
  <c r="F45" i="7"/>
  <c r="D43" i="7"/>
  <c r="F41" i="7"/>
  <c r="F27" i="7"/>
  <c r="F16" i="7"/>
  <c r="F20" i="7"/>
  <c r="F35" i="3" l="1"/>
  <c r="F59" i="3"/>
  <c r="F80" i="3"/>
  <c r="F14" i="3"/>
  <c r="G14" i="3" s="1"/>
  <c r="F15" i="3"/>
  <c r="G15" i="3" s="1"/>
  <c r="F220" i="3"/>
  <c r="F231" i="3"/>
  <c r="F196" i="3"/>
  <c r="F206" i="3"/>
  <c r="F185" i="3"/>
  <c r="G185" i="3" s="1"/>
  <c r="F70" i="3"/>
  <c r="G70" i="3" s="1"/>
  <c r="F131" i="3"/>
  <c r="G131" i="3" s="1"/>
  <c r="F18" i="3"/>
  <c r="G18" i="3" s="1"/>
  <c r="G19" i="3" s="1"/>
  <c r="F207" i="3"/>
  <c r="F221" i="3"/>
  <c r="F232" i="3"/>
  <c r="F197" i="3"/>
  <c r="F186" i="3"/>
  <c r="G186" i="3" s="1"/>
  <c r="F30" i="3"/>
  <c r="G30" i="3" s="1"/>
  <c r="F110" i="3"/>
  <c r="G110" i="3" s="1"/>
  <c r="F83" i="3"/>
  <c r="G83" i="3" s="1"/>
  <c r="G84" i="3" s="1"/>
  <c r="F31" i="3"/>
  <c r="G31" i="3" s="1"/>
  <c r="F89" i="3"/>
  <c r="G89" i="3" s="1"/>
  <c r="F69" i="3"/>
  <c r="G69" i="3" s="1"/>
  <c r="G71" i="3" s="1"/>
  <c r="F130" i="3"/>
  <c r="G130" i="3" s="1"/>
  <c r="F34" i="3"/>
  <c r="F79" i="3"/>
  <c r="F96" i="3"/>
  <c r="G96" i="3" s="1"/>
  <c r="G97" i="3" s="1"/>
  <c r="F114" i="3"/>
  <c r="G114" i="3" s="1"/>
  <c r="G115" i="3" s="1"/>
  <c r="F139" i="3"/>
  <c r="G139" i="3" s="1"/>
  <c r="F150" i="3"/>
  <c r="G150" i="3" s="1"/>
  <c r="F151" i="3"/>
  <c r="G151" i="3" s="1"/>
  <c r="F99" i="3"/>
  <c r="G99" i="3" s="1"/>
  <c r="G100" i="3" s="1"/>
  <c r="F124" i="3"/>
  <c r="G124" i="3" s="1"/>
  <c r="F140" i="3"/>
  <c r="G140" i="3" s="1"/>
  <c r="F90" i="3"/>
  <c r="G90" i="3" s="1"/>
  <c r="F111" i="3"/>
  <c r="G111" i="3" s="1"/>
  <c r="F60" i="3"/>
  <c r="G60" i="3" s="1"/>
  <c r="F123" i="3"/>
  <c r="G123" i="3" s="1"/>
  <c r="F210" i="3"/>
  <c r="G210" i="3" s="1"/>
  <c r="G211" i="3" s="1"/>
  <c r="G132" i="3"/>
  <c r="G13" i="3"/>
  <c r="G232" i="3"/>
  <c r="G197" i="3"/>
  <c r="G221" i="3"/>
  <c r="G207" i="3"/>
  <c r="G35" i="3"/>
  <c r="G80" i="3"/>
  <c r="G59" i="3"/>
  <c r="G231" i="3"/>
  <c r="G220" i="3"/>
  <c r="G206" i="3"/>
  <c r="G196" i="3"/>
  <c r="G79" i="3"/>
  <c r="G70" i="1"/>
  <c r="F51" i="4" s="1"/>
  <c r="G69" i="1"/>
  <c r="F52" i="4" s="1"/>
  <c r="G71" i="1"/>
  <c r="F53" i="4" s="1"/>
  <c r="G41" i="1"/>
  <c r="F22" i="4" s="1"/>
  <c r="G42" i="1"/>
  <c r="F21" i="4" s="1"/>
  <c r="G43" i="1"/>
  <c r="F20" i="4" s="1"/>
  <c r="G118" i="13"/>
  <c r="G35" i="1"/>
  <c r="F27" i="4" s="1"/>
  <c r="G36" i="1"/>
  <c r="F28" i="4" s="1"/>
  <c r="H7" i="7"/>
  <c r="G7" i="3"/>
  <c r="K7" i="1"/>
  <c r="K7" i="4"/>
  <c r="G7" i="12"/>
  <c r="H7" i="6"/>
  <c r="I7" i="9"/>
  <c r="F9" i="8"/>
  <c r="E53" i="8"/>
  <c r="F9" i="2" s="1"/>
  <c r="F9" i="14" s="1"/>
  <c r="C53" i="8"/>
  <c r="F8" i="2" s="1"/>
  <c r="F8" i="14" s="1"/>
  <c r="G112" i="3" l="1"/>
  <c r="G116" i="3" s="1"/>
  <c r="G32" i="3"/>
  <c r="G101" i="3"/>
  <c r="G91" i="3"/>
  <c r="G92" i="3" s="1"/>
  <c r="G16" i="3"/>
  <c r="G20" i="3" s="1"/>
  <c r="G125" i="3"/>
  <c r="G126" i="3" s="1"/>
  <c r="H13" i="4"/>
  <c r="G61" i="3"/>
  <c r="G65" i="3" s="1"/>
  <c r="H16" i="1"/>
  <c r="G152" i="3"/>
  <c r="G153" i="3" s="1"/>
  <c r="G141" i="3"/>
  <c r="G142" i="3" s="1"/>
  <c r="G233" i="3"/>
  <c r="G234" i="3" s="1"/>
  <c r="G198" i="3"/>
  <c r="G199" i="3" s="1"/>
  <c r="G222" i="3"/>
  <c r="G223" i="3" s="1"/>
  <c r="G187" i="3"/>
  <c r="G188" i="3" s="1"/>
  <c r="G208" i="3"/>
  <c r="G212" i="3" s="1"/>
  <c r="G81" i="3"/>
  <c r="G85" i="3" s="1"/>
  <c r="G34" i="3"/>
  <c r="G36" i="3" s="1"/>
  <c r="G37" i="3" s="1"/>
  <c r="G8" i="12"/>
  <c r="K8" i="13"/>
  <c r="K9" i="13"/>
  <c r="H8" i="6"/>
  <c r="H9" i="6"/>
  <c r="H9" i="7"/>
  <c r="F11" i="8"/>
  <c r="K8" i="1"/>
  <c r="I9" i="9"/>
  <c r="G9" i="12"/>
  <c r="K9" i="4"/>
  <c r="H8" i="7"/>
  <c r="F10" i="8"/>
  <c r="I8" i="9"/>
  <c r="K8" i="4"/>
  <c r="G8" i="3"/>
  <c r="G9" i="3"/>
  <c r="K9" i="1"/>
  <c r="I45" i="4" l="1"/>
  <c r="H26" i="1"/>
  <c r="H32" i="1"/>
  <c r="I35" i="4"/>
  <c r="H40" i="1"/>
  <c r="H50" i="1"/>
  <c r="I50" i="1" s="1"/>
  <c r="J50" i="1" s="1"/>
  <c r="H12" i="4"/>
  <c r="H13" i="1"/>
  <c r="H21" i="1"/>
  <c r="H35" i="1"/>
  <c r="H70" i="1"/>
  <c r="H28" i="1"/>
  <c r="H58" i="1"/>
  <c r="H19" i="1"/>
  <c r="H39" i="1"/>
  <c r="H54" i="1"/>
  <c r="H53" i="1"/>
  <c r="H72" i="1"/>
  <c r="H56" i="1"/>
  <c r="H20" i="1"/>
  <c r="H30" i="1"/>
  <c r="H46" i="1"/>
  <c r="H25" i="1"/>
  <c r="H68" i="1"/>
  <c r="H38" i="1"/>
  <c r="H27" i="1"/>
  <c r="H18" i="1"/>
  <c r="H37" i="1"/>
  <c r="H24" i="1"/>
  <c r="H31" i="1"/>
  <c r="H22" i="1"/>
  <c r="H29" i="1"/>
  <c r="H42" i="1"/>
  <c r="H36" i="1"/>
  <c r="H63" i="1"/>
  <c r="D31" i="7"/>
  <c r="F6" i="2" s="1"/>
  <c r="D25" i="7"/>
  <c r="D18" i="7"/>
  <c r="F57" i="4"/>
  <c r="F58" i="4"/>
  <c r="F59" i="4"/>
  <c r="F29" i="4"/>
  <c r="F30" i="4"/>
  <c r="F26" i="4"/>
  <c r="F13" i="4"/>
  <c r="I13" i="4" s="1"/>
  <c r="F15" i="4"/>
  <c r="F16" i="4"/>
  <c r="F17" i="4"/>
  <c r="F12" i="4"/>
  <c r="F14" i="4"/>
  <c r="I12" i="4" l="1"/>
  <c r="H45" i="1"/>
  <c r="H59" i="1"/>
  <c r="H57" i="1"/>
  <c r="H41" i="1"/>
  <c r="H66" i="1"/>
  <c r="H44" i="1"/>
  <c r="H65" i="1"/>
  <c r="H43" i="1"/>
  <c r="H60" i="1"/>
  <c r="H69" i="1"/>
  <c r="H71" i="1"/>
  <c r="I71" i="1" s="1"/>
  <c r="J71" i="1" s="1"/>
  <c r="H47" i="1"/>
  <c r="H67" i="1"/>
  <c r="I67" i="1" s="1"/>
  <c r="J67" i="1" s="1"/>
  <c r="H48" i="1"/>
  <c r="H64" i="1"/>
  <c r="H62" i="1"/>
  <c r="H61" i="1"/>
  <c r="I61" i="1" s="1"/>
  <c r="J61" i="1" s="1"/>
  <c r="K6" i="13"/>
  <c r="H6" i="6"/>
  <c r="K6" i="1"/>
  <c r="I6" i="9"/>
  <c r="F8" i="8"/>
  <c r="G6" i="3"/>
  <c r="K6" i="4"/>
  <c r="H38" i="4" s="1"/>
  <c r="I38" i="4" s="1"/>
  <c r="H6" i="7"/>
  <c r="G6" i="12"/>
  <c r="I32" i="1" l="1"/>
  <c r="J32" i="1" s="1"/>
  <c r="I33" i="1"/>
  <c r="J33" i="1" s="1"/>
  <c r="I62" i="1"/>
  <c r="J62" i="1" s="1"/>
  <c r="H42" i="4"/>
  <c r="I42" i="4" s="1"/>
  <c r="H18" i="4"/>
  <c r="I18" i="4" s="1"/>
  <c r="H36" i="4"/>
  <c r="I36" i="4" s="1"/>
  <c r="H48" i="4"/>
  <c r="I48" i="4" s="1"/>
  <c r="H40" i="4"/>
  <c r="I40" i="4" s="1"/>
  <c r="H62" i="4"/>
  <c r="I62" i="4" s="1"/>
  <c r="H47" i="4"/>
  <c r="I47" i="4" s="1"/>
  <c r="H37" i="4"/>
  <c r="I37" i="4" s="1"/>
  <c r="H61" i="4"/>
  <c r="I61" i="4" s="1"/>
  <c r="H53" i="4"/>
  <c r="I53" i="4" s="1"/>
  <c r="H41" i="4"/>
  <c r="I41" i="4" s="1"/>
  <c r="H20" i="4"/>
  <c r="I20" i="4" s="1"/>
  <c r="H22" i="4"/>
  <c r="I22" i="4" s="1"/>
  <c r="H43" i="4"/>
  <c r="I43" i="4" s="1"/>
  <c r="H58" i="4"/>
  <c r="I58" i="4" s="1"/>
  <c r="H26" i="4"/>
  <c r="I26" i="4" s="1"/>
  <c r="H33" i="4"/>
  <c r="I33" i="4" s="1"/>
  <c r="H29" i="4"/>
  <c r="I29" i="4" s="1"/>
  <c r="H60" i="4"/>
  <c r="I60" i="4" s="1"/>
  <c r="H21" i="4"/>
  <c r="I21" i="4" s="1"/>
  <c r="H27" i="4"/>
  <c r="I27" i="4" s="1"/>
  <c r="H32" i="4"/>
  <c r="I32" i="4" s="1"/>
  <c r="H51" i="4"/>
  <c r="I51" i="4" s="1"/>
  <c r="H34" i="4"/>
  <c r="I34" i="4" s="1"/>
  <c r="H19" i="4"/>
  <c r="I19" i="4" s="1"/>
  <c r="H50" i="4"/>
  <c r="I50" i="4" s="1"/>
  <c r="H46" i="4"/>
  <c r="I46" i="4" s="1"/>
  <c r="H55" i="4"/>
  <c r="I55" i="4" s="1"/>
  <c r="H30" i="4"/>
  <c r="I30" i="4" s="1"/>
  <c r="H31" i="4"/>
  <c r="I31" i="4" s="1"/>
  <c r="H23" i="4"/>
  <c r="I23" i="4" s="1"/>
  <c r="H15" i="4"/>
  <c r="I15" i="4" s="1"/>
  <c r="H25" i="4"/>
  <c r="I25" i="4" s="1"/>
  <c r="H49" i="4"/>
  <c r="I49" i="4" s="1"/>
  <c r="H28" i="4"/>
  <c r="I28" i="4" s="1"/>
  <c r="H24" i="4"/>
  <c r="I24" i="4" s="1"/>
  <c r="H16" i="4"/>
  <c r="I16" i="4" s="1"/>
  <c r="H59" i="4"/>
  <c r="I59" i="4" s="1"/>
  <c r="H56" i="4"/>
  <c r="I56" i="4" s="1"/>
  <c r="H57" i="4"/>
  <c r="I57" i="4" s="1"/>
  <c r="H17" i="4"/>
  <c r="I17" i="4" s="1"/>
  <c r="H39" i="4"/>
  <c r="I39" i="4" s="1"/>
  <c r="H54" i="4"/>
  <c r="I54" i="4" s="1"/>
  <c r="H14" i="4"/>
  <c r="I14" i="4" s="1"/>
  <c r="H44" i="4"/>
  <c r="I44" i="4" s="1"/>
  <c r="H63" i="4"/>
  <c r="I63" i="4" s="1"/>
  <c r="H52" i="4"/>
  <c r="I52" i="4" s="1"/>
  <c r="I16" i="1"/>
  <c r="J16" i="1" s="1"/>
  <c r="J15" i="1" s="1"/>
  <c r="I45" i="1"/>
  <c r="J45" i="1" s="1"/>
  <c r="I31" i="1"/>
  <c r="J31" i="1" s="1"/>
  <c r="I39" i="1"/>
  <c r="J39" i="1" s="1"/>
  <c r="I57" i="1"/>
  <c r="J57" i="1" s="1"/>
  <c r="I22" i="1"/>
  <c r="J22" i="1" s="1"/>
  <c r="I53" i="1"/>
  <c r="J53" i="1" s="1"/>
  <c r="I59" i="1"/>
  <c r="J59" i="1" s="1"/>
  <c r="I42" i="1"/>
  <c r="J42" i="1" s="1"/>
  <c r="I37" i="1"/>
  <c r="J37" i="1" s="1"/>
  <c r="I56" i="1"/>
  <c r="J56" i="1" s="1"/>
  <c r="I60" i="1"/>
  <c r="J60" i="1" s="1"/>
  <c r="I66" i="1"/>
  <c r="J66" i="1" s="1"/>
  <c r="I58" i="1"/>
  <c r="J58" i="1" s="1"/>
  <c r="I25" i="1"/>
  <c r="J25" i="1" s="1"/>
  <c r="I38" i="1"/>
  <c r="J38" i="1" s="1"/>
  <c r="I18" i="1"/>
  <c r="J18" i="1" s="1"/>
  <c r="I64" i="1"/>
  <c r="J64" i="1" s="1"/>
  <c r="I30" i="1"/>
  <c r="J30" i="1" s="1"/>
  <c r="I26" i="1"/>
  <c r="J26" i="1" s="1"/>
  <c r="I29" i="1"/>
  <c r="J29" i="1" s="1"/>
  <c r="I36" i="1"/>
  <c r="J36" i="1" s="1"/>
  <c r="I48" i="1"/>
  <c r="J48" i="1" s="1"/>
  <c r="I43" i="1"/>
  <c r="J43" i="1" s="1"/>
  <c r="I41" i="1"/>
  <c r="J41" i="1" s="1"/>
  <c r="I24" i="1"/>
  <c r="J24" i="1" s="1"/>
  <c r="I21" i="1"/>
  <c r="J21" i="1" s="1"/>
  <c r="I70" i="1"/>
  <c r="J70" i="1" s="1"/>
  <c r="I13" i="1"/>
  <c r="J13" i="1" s="1"/>
  <c r="I19" i="1"/>
  <c r="J19" i="1" s="1"/>
  <c r="I54" i="1"/>
  <c r="J54" i="1" s="1"/>
  <c r="I72" i="1"/>
  <c r="J72" i="1" s="1"/>
  <c r="I40" i="1"/>
  <c r="J40" i="1" s="1"/>
  <c r="I47" i="1"/>
  <c r="J47" i="1" s="1"/>
  <c r="I65" i="1"/>
  <c r="J65" i="1" s="1"/>
  <c r="I46" i="1"/>
  <c r="J46" i="1" s="1"/>
  <c r="I68" i="1"/>
  <c r="J68" i="1" s="1"/>
  <c r="I27" i="1"/>
  <c r="J27" i="1" s="1"/>
  <c r="I20" i="1"/>
  <c r="J20" i="1" s="1"/>
  <c r="I69" i="1"/>
  <c r="J69" i="1" s="1"/>
  <c r="I44" i="1"/>
  <c r="J44" i="1" s="1"/>
  <c r="I35" i="1"/>
  <c r="J35" i="1" s="1"/>
  <c r="I28" i="1"/>
  <c r="J28" i="1" s="1"/>
  <c r="I63" i="1"/>
  <c r="J63" i="1" s="1"/>
  <c r="C82" i="6" l="1"/>
  <c r="R83" i="6" s="1"/>
  <c r="J14" i="4"/>
  <c r="J13" i="4"/>
  <c r="J23" i="1"/>
  <c r="Q83" i="6"/>
  <c r="C30" i="6"/>
  <c r="C32" i="6"/>
  <c r="C26" i="6"/>
  <c r="C28" i="6"/>
  <c r="C86" i="6"/>
  <c r="R87" i="6" s="1"/>
  <c r="C88" i="6"/>
  <c r="R89" i="6" s="1"/>
  <c r="C84" i="6"/>
  <c r="R85" i="6" s="1"/>
  <c r="C90" i="6"/>
  <c r="R91" i="6" s="1"/>
  <c r="C44" i="6"/>
  <c r="C46" i="6"/>
  <c r="C48" i="6"/>
  <c r="C50" i="6"/>
  <c r="C56" i="6"/>
  <c r="C52" i="6"/>
  <c r="O53" i="6" s="1"/>
  <c r="T53" i="6" s="1"/>
  <c r="C58" i="6"/>
  <c r="C54" i="6"/>
  <c r="C102" i="6"/>
  <c r="R103" i="6" s="1"/>
  <c r="C104" i="6"/>
  <c r="R105" i="6" s="1"/>
  <c r="C100" i="6"/>
  <c r="R101" i="6" s="1"/>
  <c r="C106" i="6"/>
  <c r="R107" i="6" s="1"/>
  <c r="C92" i="6"/>
  <c r="R93" i="6" s="1"/>
  <c r="C94" i="6"/>
  <c r="R95" i="6" s="1"/>
  <c r="C96" i="6"/>
  <c r="R97" i="6" s="1"/>
  <c r="C98" i="6"/>
  <c r="R99" i="6" s="1"/>
  <c r="C112" i="6"/>
  <c r="R113" i="6" s="1"/>
  <c r="C114" i="6"/>
  <c r="R115" i="6" s="1"/>
  <c r="C108" i="6"/>
  <c r="R109" i="6" s="1"/>
  <c r="C110" i="6"/>
  <c r="R111" i="6" s="1"/>
  <c r="C70" i="6"/>
  <c r="N83" i="6" l="1"/>
  <c r="T83" i="6" s="1"/>
  <c r="S71" i="6"/>
  <c r="O71" i="6"/>
  <c r="E71" i="6"/>
  <c r="F71" i="6"/>
  <c r="K71" i="6"/>
  <c r="I71" i="6"/>
  <c r="L71" i="6"/>
  <c r="K27" i="6"/>
  <c r="L27" i="6"/>
  <c r="Q47" i="6"/>
  <c r="M47" i="6"/>
  <c r="P33" i="6"/>
  <c r="T33" i="6" s="1"/>
  <c r="M45" i="6"/>
  <c r="Q45" i="6"/>
  <c r="R31" i="6"/>
  <c r="P31" i="6"/>
  <c r="O29" i="6"/>
  <c r="L29" i="6"/>
  <c r="S49" i="6"/>
  <c r="Q49" i="6"/>
  <c r="R55" i="6"/>
  <c r="O55" i="6"/>
  <c r="Q51" i="6"/>
  <c r="T51" i="6" s="1"/>
  <c r="S59" i="6"/>
  <c r="T59" i="6" s="1"/>
  <c r="H71" i="6"/>
  <c r="P71" i="6"/>
  <c r="S57" i="6"/>
  <c r="T57" i="6" s="1"/>
  <c r="N107" i="6"/>
  <c r="Q107" i="6"/>
  <c r="N115" i="6"/>
  <c r="Q115" i="6"/>
  <c r="N105" i="6"/>
  <c r="Q105" i="6"/>
  <c r="N111" i="6"/>
  <c r="Q111" i="6"/>
  <c r="N113" i="6"/>
  <c r="Q113" i="6"/>
  <c r="N103" i="6"/>
  <c r="Q103" i="6"/>
  <c r="N101" i="6"/>
  <c r="Q101" i="6"/>
  <c r="N91" i="6"/>
  <c r="Q91" i="6"/>
  <c r="N97" i="6"/>
  <c r="Q97" i="6"/>
  <c r="N85" i="6"/>
  <c r="Q85" i="6"/>
  <c r="N99" i="6"/>
  <c r="Q99" i="6"/>
  <c r="N95" i="6"/>
  <c r="Q95" i="6"/>
  <c r="N89" i="6"/>
  <c r="Q89" i="6"/>
  <c r="N109" i="6"/>
  <c r="Q109" i="6"/>
  <c r="J71" i="6"/>
  <c r="R71" i="6"/>
  <c r="G71" i="6"/>
  <c r="D71" i="6"/>
  <c r="N93" i="6"/>
  <c r="Q93" i="6"/>
  <c r="N87" i="6"/>
  <c r="Q87" i="6"/>
  <c r="J55" i="1"/>
  <c r="D17" i="2" s="1"/>
  <c r="C60" i="6"/>
  <c r="O61" i="6" s="1"/>
  <c r="T61" i="6" s="1"/>
  <c r="C62" i="6"/>
  <c r="C64" i="6"/>
  <c r="C66" i="6"/>
  <c r="C20" i="6"/>
  <c r="C42" i="6"/>
  <c r="P43" i="6" s="1"/>
  <c r="T43" i="6" s="1"/>
  <c r="C22" i="6"/>
  <c r="C76" i="6"/>
  <c r="C18" i="6"/>
  <c r="C24" i="6"/>
  <c r="J12" i="1"/>
  <c r="D11" i="2" l="1"/>
  <c r="T49" i="6"/>
  <c r="T29" i="6"/>
  <c r="T87" i="6"/>
  <c r="T55" i="6"/>
  <c r="T107" i="6"/>
  <c r="T27" i="6"/>
  <c r="T71" i="6"/>
  <c r="T99" i="6"/>
  <c r="T91" i="6"/>
  <c r="T111" i="6"/>
  <c r="T93" i="6"/>
  <c r="T103" i="6"/>
  <c r="T45" i="6"/>
  <c r="T109" i="6"/>
  <c r="T85" i="6"/>
  <c r="T115" i="6"/>
  <c r="T95" i="6"/>
  <c r="T47" i="6"/>
  <c r="T89" i="6"/>
  <c r="T97" i="6"/>
  <c r="T101" i="6"/>
  <c r="T113" i="6"/>
  <c r="T105" i="6"/>
  <c r="T31" i="6"/>
  <c r="H51" i="1"/>
  <c r="J56" i="4"/>
  <c r="O21" i="6"/>
  <c r="L21" i="6"/>
  <c r="P25" i="6"/>
  <c r="T25" i="6" s="1"/>
  <c r="R63" i="6"/>
  <c r="O63" i="6"/>
  <c r="S67" i="6"/>
  <c r="T67" i="6" s="1"/>
  <c r="K19" i="6"/>
  <c r="L19" i="6"/>
  <c r="R23" i="6"/>
  <c r="P23" i="6"/>
  <c r="S65" i="6"/>
  <c r="T65" i="6" s="1"/>
  <c r="C12" i="6"/>
  <c r="N77" i="6"/>
  <c r="N122" i="6" s="1"/>
  <c r="O77" i="6"/>
  <c r="S77" i="6"/>
  <c r="P77" i="6"/>
  <c r="Q77" i="6"/>
  <c r="R77" i="6"/>
  <c r="M77" i="6"/>
  <c r="D13" i="2"/>
  <c r="F46" i="15" l="1"/>
  <c r="F61" i="15"/>
  <c r="F43" i="15"/>
  <c r="F31" i="15"/>
  <c r="F53" i="15"/>
  <c r="F39" i="15"/>
  <c r="T19" i="6"/>
  <c r="T63" i="6"/>
  <c r="T23" i="6"/>
  <c r="T21" i="6"/>
  <c r="T77" i="6"/>
  <c r="I51" i="1"/>
  <c r="J51" i="1" s="1"/>
  <c r="J41" i="4"/>
  <c r="J57" i="4"/>
  <c r="J54" i="4"/>
  <c r="J29" i="4"/>
  <c r="J63" i="4"/>
  <c r="J58" i="4"/>
  <c r="J12" i="4"/>
  <c r="K12" i="4" s="1"/>
  <c r="J25" i="4"/>
  <c r="J45" i="4"/>
  <c r="J26" i="4"/>
  <c r="J37" i="4"/>
  <c r="J55" i="4"/>
  <c r="J42" i="4"/>
  <c r="J35" i="4"/>
  <c r="J18" i="4"/>
  <c r="J31" i="4"/>
  <c r="J43" i="4"/>
  <c r="J46" i="4"/>
  <c r="J34" i="4"/>
  <c r="J36" i="4"/>
  <c r="J38" i="4"/>
  <c r="J32" i="4"/>
  <c r="J30" i="4"/>
  <c r="J16" i="4"/>
  <c r="J39" i="4"/>
  <c r="J33" i="4"/>
  <c r="J59" i="4"/>
  <c r="J53" i="4"/>
  <c r="J48" i="4"/>
  <c r="J44" i="4"/>
  <c r="J15" i="4"/>
  <c r="J61" i="4"/>
  <c r="J50" i="4"/>
  <c r="J28" i="4"/>
  <c r="J51" i="4"/>
  <c r="J21" i="4"/>
  <c r="J40" i="4"/>
  <c r="J19" i="4"/>
  <c r="J17" i="4"/>
  <c r="J49" i="4"/>
  <c r="J47" i="4"/>
  <c r="J62" i="4"/>
  <c r="J52" i="4"/>
  <c r="J20" i="4"/>
  <c r="J22" i="4"/>
  <c r="J27" i="4"/>
  <c r="J23" i="4"/>
  <c r="J60" i="4"/>
  <c r="J24" i="4"/>
  <c r="P122" i="6"/>
  <c r="J52" i="1"/>
  <c r="D16" i="2" s="1"/>
  <c r="C78" i="6"/>
  <c r="M122" i="6"/>
  <c r="R13" i="6"/>
  <c r="M13" i="6"/>
  <c r="M117" i="6" s="1"/>
  <c r="P13" i="6"/>
  <c r="D13" i="6"/>
  <c r="O13" i="6"/>
  <c r="O117" i="6" s="1"/>
  <c r="N13" i="6"/>
  <c r="N117" i="6" s="1"/>
  <c r="G13" i="6"/>
  <c r="Q13" i="6"/>
  <c r="L13" i="6"/>
  <c r="S13" i="6"/>
  <c r="E13" i="6"/>
  <c r="K13" i="6"/>
  <c r="J34" i="1"/>
  <c r="D14" i="2" s="1"/>
  <c r="C40" i="6"/>
  <c r="L41" i="6" s="1"/>
  <c r="T41" i="6" s="1"/>
  <c r="O122" i="6"/>
  <c r="J17" i="1"/>
  <c r="J14" i="1" s="1"/>
  <c r="D12" i="2" l="1"/>
  <c r="C72" i="6"/>
  <c r="S73" i="6" s="1"/>
  <c r="L12" i="4"/>
  <c r="K13" i="4"/>
  <c r="J49" i="1"/>
  <c r="D15" i="2" s="1"/>
  <c r="L73" i="6"/>
  <c r="Q79" i="6"/>
  <c r="R79" i="6"/>
  <c r="R117" i="6" s="1"/>
  <c r="S79" i="6"/>
  <c r="C14" i="6"/>
  <c r="K15" i="6" s="1"/>
  <c r="J73" i="6" l="1"/>
  <c r="J122" i="6" s="1"/>
  <c r="H73" i="6"/>
  <c r="H117" i="6" s="1"/>
  <c r="K73" i="6"/>
  <c r="D73" i="6"/>
  <c r="G73" i="6"/>
  <c r="G117" i="6" s="1"/>
  <c r="F73" i="6"/>
  <c r="F122" i="6" s="1"/>
  <c r="F17" i="15"/>
  <c r="F25" i="15"/>
  <c r="F21" i="15"/>
  <c r="F19" i="15"/>
  <c r="F15" i="15"/>
  <c r="F23" i="15"/>
  <c r="I73" i="6"/>
  <c r="I122" i="6" s="1"/>
  <c r="E73" i="6"/>
  <c r="L13" i="4"/>
  <c r="K14" i="4"/>
  <c r="T79" i="6"/>
  <c r="J74" i="1"/>
  <c r="K32" i="1" s="1"/>
  <c r="H122" i="6"/>
  <c r="K122" i="6"/>
  <c r="L122" i="6"/>
  <c r="S122" i="6"/>
  <c r="S117" i="6"/>
  <c r="Q122" i="6"/>
  <c r="Q117" i="6"/>
  <c r="K117" i="6"/>
  <c r="R122" i="6"/>
  <c r="E15" i="6"/>
  <c r="D15" i="6"/>
  <c r="C116" i="6"/>
  <c r="E19" i="2"/>
  <c r="F12" i="2" s="1"/>
  <c r="E117" i="6" l="1"/>
  <c r="E118" i="6" s="1"/>
  <c r="G122" i="6"/>
  <c r="T73" i="6"/>
  <c r="F27" i="15"/>
  <c r="F12" i="15"/>
  <c r="K15" i="4"/>
  <c r="L14" i="4"/>
  <c r="Q118" i="6"/>
  <c r="S118" i="6"/>
  <c r="K33" i="1"/>
  <c r="N118" i="6"/>
  <c r="M118" i="6"/>
  <c r="P118" i="6"/>
  <c r="O118" i="6"/>
  <c r="G118" i="6"/>
  <c r="K118" i="6"/>
  <c r="R118" i="6"/>
  <c r="H118" i="6"/>
  <c r="L118" i="6"/>
  <c r="D117" i="6"/>
  <c r="T15" i="6"/>
  <c r="D122" i="6"/>
  <c r="E122" i="6"/>
  <c r="C122" i="6"/>
  <c r="T117" i="6"/>
  <c r="K30" i="1"/>
  <c r="K29" i="1"/>
  <c r="K31" i="1"/>
  <c r="K28" i="1"/>
  <c r="K63" i="1"/>
  <c r="K57" i="1"/>
  <c r="K65" i="1"/>
  <c r="K67" i="1"/>
  <c r="K59" i="1"/>
  <c r="K72" i="1"/>
  <c r="K68" i="1"/>
  <c r="K69" i="1"/>
  <c r="K61" i="1"/>
  <c r="K66" i="1"/>
  <c r="K70" i="1"/>
  <c r="K62" i="1"/>
  <c r="K58" i="1"/>
  <c r="K60" i="1"/>
  <c r="K64" i="1"/>
  <c r="K71" i="1"/>
  <c r="K47" i="1"/>
  <c r="K41" i="1"/>
  <c r="K39" i="1"/>
  <c r="K40" i="1"/>
  <c r="K48" i="1"/>
  <c r="K42" i="1"/>
  <c r="K37" i="1"/>
  <c r="K44" i="1"/>
  <c r="K46" i="1"/>
  <c r="K45" i="1"/>
  <c r="K43" i="1"/>
  <c r="K38" i="1"/>
  <c r="K21" i="1"/>
  <c r="K20" i="1"/>
  <c r="K18" i="1"/>
  <c r="K53" i="1"/>
  <c r="K27" i="1"/>
  <c r="K51" i="1"/>
  <c r="K35" i="1"/>
  <c r="K16" i="1"/>
  <c r="K56" i="1"/>
  <c r="K36" i="1"/>
  <c r="K54" i="1"/>
  <c r="K24" i="1"/>
  <c r="K22" i="1"/>
  <c r="K26" i="1"/>
  <c r="K19" i="1"/>
  <c r="K50" i="1"/>
  <c r="K25" i="1"/>
  <c r="K13" i="1"/>
  <c r="F15" i="2"/>
  <c r="F16" i="2"/>
  <c r="F14" i="2"/>
  <c r="F17" i="2"/>
  <c r="F11" i="2"/>
  <c r="F13" i="2"/>
  <c r="L15" i="4" l="1"/>
  <c r="K16" i="4"/>
  <c r="D119" i="6"/>
  <c r="D120" i="6" s="1"/>
  <c r="D118" i="6"/>
  <c r="I123" i="6"/>
  <c r="F123" i="6"/>
  <c r="F13" i="6" s="1"/>
  <c r="H123" i="6"/>
  <c r="P123" i="6"/>
  <c r="K123" i="6"/>
  <c r="G123" i="6"/>
  <c r="Q123" i="6"/>
  <c r="N123" i="6"/>
  <c r="O123" i="6"/>
  <c r="S123" i="6"/>
  <c r="M123" i="6"/>
  <c r="R123" i="6"/>
  <c r="J123" i="6"/>
  <c r="J13" i="6" s="1"/>
  <c r="J117" i="6" s="1"/>
  <c r="J118" i="6" s="1"/>
  <c r="L123" i="6"/>
  <c r="E123" i="6"/>
  <c r="D123" i="6"/>
  <c r="K74" i="1"/>
  <c r="F19" i="2"/>
  <c r="L16" i="4" l="1"/>
  <c r="K17" i="4"/>
  <c r="E119" i="6"/>
  <c r="E120" i="6" s="1"/>
  <c r="F117" i="6"/>
  <c r="T123" i="6"/>
  <c r="I13" i="6"/>
  <c r="I117" i="6" s="1"/>
  <c r="I118" i="6" s="1"/>
  <c r="L17" i="4" l="1"/>
  <c r="K18" i="4"/>
  <c r="F119" i="6"/>
  <c r="F118" i="6"/>
  <c r="T13" i="6"/>
  <c r="L18" i="4" l="1"/>
  <c r="K19" i="4"/>
  <c r="G119" i="6"/>
  <c r="F120" i="6"/>
  <c r="L19" i="4" l="1"/>
  <c r="K20" i="4"/>
  <c r="H119" i="6"/>
  <c r="G120" i="6"/>
  <c r="L20" i="4" l="1"/>
  <c r="K21" i="4"/>
  <c r="H120" i="6"/>
  <c r="I119" i="6"/>
  <c r="L21" i="4" l="1"/>
  <c r="K22" i="4"/>
  <c r="J119" i="6"/>
  <c r="I120" i="6"/>
  <c r="L22" i="4" l="1"/>
  <c r="K23" i="4"/>
  <c r="K119" i="6"/>
  <c r="J120" i="6"/>
  <c r="L23" i="4" l="1"/>
  <c r="K24" i="4"/>
  <c r="L119" i="6"/>
  <c r="K120" i="6"/>
  <c r="L24" i="4" l="1"/>
  <c r="K25" i="4"/>
  <c r="M119" i="6"/>
  <c r="L120" i="6"/>
  <c r="F66" i="15" l="1"/>
  <c r="L25" i="4"/>
  <c r="K26" i="4"/>
  <c r="N119" i="6"/>
  <c r="M120" i="6"/>
  <c r="L26" i="4" l="1"/>
  <c r="K27" i="4"/>
  <c r="O119" i="6"/>
  <c r="N120" i="6"/>
  <c r="L27" i="4" l="1"/>
  <c r="K28" i="4"/>
  <c r="P119" i="6"/>
  <c r="O120" i="6"/>
  <c r="L28" i="4" l="1"/>
  <c r="K29" i="4"/>
  <c r="Q119" i="6"/>
  <c r="P120" i="6"/>
  <c r="F70" i="15" l="1"/>
  <c r="L29" i="4"/>
  <c r="K30" i="4"/>
  <c r="R119" i="6"/>
  <c r="Q120" i="6"/>
  <c r="G70" i="15" l="1"/>
  <c r="G66" i="15"/>
  <c r="G12" i="15"/>
  <c r="G15" i="15"/>
  <c r="G46" i="15"/>
  <c r="G39" i="15"/>
  <c r="G61" i="15"/>
  <c r="G53" i="15"/>
  <c r="G43" i="15"/>
  <c r="G21" i="15"/>
  <c r="G27" i="15"/>
  <c r="G19" i="15"/>
  <c r="G23" i="15"/>
  <c r="G17" i="15"/>
  <c r="G25" i="15"/>
  <c r="G31" i="15"/>
  <c r="L30" i="4"/>
  <c r="K31" i="4"/>
  <c r="R120" i="6"/>
  <c r="S119" i="6"/>
  <c r="L31" i="4" l="1"/>
  <c r="K32" i="4"/>
  <c r="S120" i="6"/>
  <c r="L32" i="4" l="1"/>
  <c r="K33" i="4"/>
  <c r="L33" i="4" l="1"/>
  <c r="K34" i="4"/>
  <c r="L34" i="4" l="1"/>
  <c r="K35" i="4"/>
  <c r="L35" i="4" l="1"/>
  <c r="K36" i="4"/>
  <c r="K37" i="4" l="1"/>
  <c r="L36" i="4"/>
  <c r="K38" i="4" l="1"/>
  <c r="L37" i="4"/>
  <c r="L38" i="4" l="1"/>
  <c r="K39" i="4"/>
  <c r="K40" i="4" l="1"/>
  <c r="L39" i="4"/>
  <c r="L40" i="4" l="1"/>
  <c r="K41" i="4"/>
  <c r="L41" i="4" l="1"/>
  <c r="K42" i="4"/>
  <c r="L42" i="4" l="1"/>
  <c r="K43" i="4"/>
  <c r="L43" i="4" l="1"/>
  <c r="K44" i="4"/>
  <c r="K45" i="4" l="1"/>
  <c r="L44" i="4"/>
  <c r="K46" i="4" l="1"/>
  <c r="L45" i="4"/>
  <c r="L46" i="4" l="1"/>
  <c r="K47" i="4"/>
  <c r="K48" i="4" l="1"/>
  <c r="L47" i="4"/>
  <c r="K49" i="4" l="1"/>
  <c r="L48" i="4"/>
  <c r="K50" i="4" l="1"/>
  <c r="L49" i="4"/>
  <c r="L50" i="4" l="1"/>
  <c r="K51" i="4"/>
  <c r="L51" i="4" l="1"/>
  <c r="K52" i="4"/>
  <c r="K53" i="4" l="1"/>
  <c r="L52" i="4"/>
  <c r="K54" i="4" l="1"/>
  <c r="L53" i="4"/>
  <c r="K55" i="4" l="1"/>
  <c r="L54" i="4"/>
  <c r="K56" i="4" l="1"/>
  <c r="L55" i="4"/>
  <c r="L56" i="4" l="1"/>
  <c r="K57" i="4"/>
  <c r="L57" i="4" l="1"/>
  <c r="K58" i="4"/>
  <c r="L58" i="4" l="1"/>
  <c r="K59" i="4"/>
  <c r="L59" i="4" l="1"/>
  <c r="K60" i="4"/>
  <c r="L60" i="4" l="1"/>
  <c r="K61" i="4"/>
  <c r="K62" i="4" l="1"/>
  <c r="L61" i="4"/>
  <c r="L62" i="4" l="1"/>
  <c r="K63" i="4"/>
  <c r="L63" i="4" s="1"/>
</calcChain>
</file>

<file path=xl/sharedStrings.xml><?xml version="1.0" encoding="utf-8"?>
<sst xmlns="http://schemas.openxmlformats.org/spreadsheetml/2006/main" count="4567" uniqueCount="869">
  <si>
    <t xml:space="preserve">
</t>
  </si>
  <si>
    <t>ITEM</t>
  </si>
  <si>
    <t>CÓDIGO</t>
  </si>
  <si>
    <t>DESCRIÇÃO</t>
  </si>
  <si>
    <t>FONTE</t>
  </si>
  <si>
    <t>UND</t>
  </si>
  <si>
    <t>QUANTIDADE</t>
  </si>
  <si>
    <t>PREÇO
TOTAL R$</t>
  </si>
  <si>
    <t>1</t>
  </si>
  <si>
    <t>ADMINISTRAÇÃO DA OBRA</t>
  </si>
  <si>
    <t>1.1</t>
  </si>
  <si>
    <t>Composições Próprias</t>
  </si>
  <si>
    <t>UN</t>
  </si>
  <si>
    <t>2</t>
  </si>
  <si>
    <t>SERVIÇOS INICIAIS</t>
  </si>
  <si>
    <t>2.1</t>
  </si>
  <si>
    <t>TAXAS E EMOLUMENTOS</t>
  </si>
  <si>
    <t>2.1.1</t>
  </si>
  <si>
    <t>JCA-ART-002-2024</t>
  </si>
  <si>
    <t>ANOTAÇÃO DE RESPONSABILIDADE TÉCNICA JUNTO AO CREA - ART PRINCIPAL - FAIXA ACIMA DE R$ 15.000,00 (2024)</t>
  </si>
  <si>
    <t>2.2</t>
  </si>
  <si>
    <t>CANTEIRO DE OBRAS</t>
  </si>
  <si>
    <t>2.2.1</t>
  </si>
  <si>
    <t>INSTALAÇÃO E DESINSTALAÇÃO MECANIZADA DE CONTÊINER OU MÓDULO HABITÁVEL DE USOS DIVERSOS. AF_03/2024</t>
  </si>
  <si>
    <t>SINAPI</t>
  </si>
  <si>
    <t>2.2.2</t>
  </si>
  <si>
    <t>LOCACAO DE CONTAINER 2,30 X 6,00 M, ALT. 2,50 M, PARA ESCRITORIO, SEM DIVISORIAS INTERNAS E SEM SANITARIO (NAO INCLUI MOBILIZACAO/DESMOBILIZACAO)</t>
  </si>
  <si>
    <t>MES</t>
  </si>
  <si>
    <t>2.2.3</t>
  </si>
  <si>
    <t>LOCACAO DE CONTAINER 2,30 X 6,00 M, ALT. 2,50 M, PARA SANITARIO, COM 4 BACIAS, 8 CHUVEIROS,1 LAVATORIO E 1 MICTORIO (NAO INCLUI MOBILIZACAO/DESMOBILIZACAO)</t>
  </si>
  <si>
    <t>2.2.4</t>
  </si>
  <si>
    <t>FORNECIMENTO E INSTALAÇÃO DE PLACA DE OBRA COM CHAPA GALVANIZADA E ESTRUTURA DE MADEIRA. AF_03/2022_PS</t>
  </si>
  <si>
    <t>M2</t>
  </si>
  <si>
    <t>2.2.5</t>
  </si>
  <si>
    <t>TAPUME COM TELHA METÁLICA. AF_03/2024</t>
  </si>
  <si>
    <t>3</t>
  </si>
  <si>
    <t>DEMOLIÇÕES E RETIRADAS</t>
  </si>
  <si>
    <t>3.1</t>
  </si>
  <si>
    <t>3.2</t>
  </si>
  <si>
    <t>3.3</t>
  </si>
  <si>
    <t>M3</t>
  </si>
  <si>
    <t>3.4</t>
  </si>
  <si>
    <t>3.5</t>
  </si>
  <si>
    <t>3.6</t>
  </si>
  <si>
    <t>3.7</t>
  </si>
  <si>
    <t>3.8</t>
  </si>
  <si>
    <t>4</t>
  </si>
  <si>
    <t>4.1</t>
  </si>
  <si>
    <t>4.2</t>
  </si>
  <si>
    <t>M</t>
  </si>
  <si>
    <t>5</t>
  </si>
  <si>
    <t>OBRAS CIVIS</t>
  </si>
  <si>
    <t>5.1</t>
  </si>
  <si>
    <t>5.2</t>
  </si>
  <si>
    <t>KG</t>
  </si>
  <si>
    <t>6</t>
  </si>
  <si>
    <t>6.1.1</t>
  </si>
  <si>
    <t>6.1.2</t>
  </si>
  <si>
    <t>7</t>
  </si>
  <si>
    <t>FORNECIMENTO DE EQUIPAMENTOS</t>
  </si>
  <si>
    <t>7.1</t>
  </si>
  <si>
    <t>7.2</t>
  </si>
  <si>
    <t>7.3</t>
  </si>
  <si>
    <t>CHI</t>
  </si>
  <si>
    <t>CHP</t>
  </si>
  <si>
    <t>Mão de Obra com Encargos Complementares</t>
  </si>
  <si>
    <t>UNID</t>
  </si>
  <si>
    <t>COEFICIENTE</t>
  </si>
  <si>
    <t>PREÇO UNITÁRIO</t>
  </si>
  <si>
    <t>TOTAL</t>
  </si>
  <si>
    <t>ENCARREGADO GERAL DE OBRAS COM ENCARGOS COMPLEMENTARES</t>
  </si>
  <si>
    <t>ENGENHEIRO CIVIL DE OBRA PLENO COM ENCARGOS COMPLEMENTARES</t>
  </si>
  <si>
    <t>TÉCNICO EM SEGURANÇA DO TRABALHO COM ENCARGOS COMPLEMENTARES</t>
  </si>
  <si>
    <t>Serviço</t>
  </si>
  <si>
    <t>JFPB-14064900</t>
  </si>
  <si>
    <t>ENGENHEIRO ELETRICISTA DE OBRA PLENO COM ENCARGOS COMPLEMENTARES (CUSTO EQUIV. AO DO ENGO. CIVIL)</t>
  </si>
  <si>
    <t xml:space="preserve">Composições </t>
  </si>
  <si>
    <t>TOTAL Serviço:</t>
  </si>
  <si>
    <t>VALOR:</t>
  </si>
  <si>
    <t>Material</t>
  </si>
  <si>
    <t>INS-01726069</t>
  </si>
  <si>
    <t>Faixa 2: acima de R$ 15.000,00 - 2024</t>
  </si>
  <si>
    <t>TOTAL Material:</t>
  </si>
  <si>
    <t>Equipamento Custo Horário</t>
  </si>
  <si>
    <t>GUINDAUTO HIDRÁULICO, CAPACIDADE MÁXIMA DE CARGA 6200 KG, MOMENTO MÁXIMO DE CARGA 11,7 TM, ALCANCE MÁXIMO HORIZONTAL 9,70 M, INCLUSIVE CAMINHÃO TOCO PBT 16.000 KG, POTÊNCIA DE 189 CV - CHI DIURNO. AF_06/2014</t>
  </si>
  <si>
    <t>GUINDAUTO HIDRÁULICO, CAPACIDADE MÁXIMA DE CARGA 6200 KG, MOMENTO MÁXIMO DE CARGA 11,7 TM, ALCANCE MÁXIMO HORIZONTAL 9,70 M, INCLUSIVE CAMINHÃO TOCO PBT 16.000 KG, POTÊNCIA DE 189 CV - CHP DIURNO. AF_06/2014</t>
  </si>
  <si>
    <t>AJUDANTE DE CARPINTEIRO COM ENCARGOS COMPLEMENTARES</t>
  </si>
  <si>
    <t>H</t>
  </si>
  <si>
    <t>CARPINTEIRO DE FORMAS COM ENCARGOS COMPLEMENTARES</t>
  </si>
  <si>
    <t>Equipamento</t>
  </si>
  <si>
    <t>TOTAL Equipamento:</t>
  </si>
  <si>
    <t>PLACA DE OBRA (PARA CONSTRUCAO CIVIL) EM CHAPA GALVANIZADA *N. 22*, ADESIVADA, DE *2,4 X 1,2* M (SEM POSTES PARA FIXACAO)</t>
  </si>
  <si>
    <t>PREGO DE ACO POLIDO COM CABECA 10 X 10 (7/8 X 17)</t>
  </si>
  <si>
    <t>PREGO DE ACO POLIDO COM CABECA 17 X 27 (2 1/2 X 11)</t>
  </si>
  <si>
    <t>SARRAFO *2,5 X 10* CM EM PINUS, MISTA OU EQUIVALENTE DA REGIAO - BRUTA</t>
  </si>
  <si>
    <t>88316</t>
  </si>
  <si>
    <t>SERVENTE COM ENCARGOS COMPLEMENTARES</t>
  </si>
  <si>
    <t>PINTURA IMUNIZANTE PARA MADEIRA, 2 DEMÃOS. AF_01/2021</t>
  </si>
  <si>
    <t>SERRA CIRCULAR DE BANCADA COM MOTOR ELÉTRICO POTÊNCIA DE 5HP, COM COIFA PARA DISCO 10" - CHI DIURNO. AF_08/2015</t>
  </si>
  <si>
    <t>SERRA CIRCULAR DE BANCADA COM MOTOR ELÉTRICO POTÊNCIA DE 5HP, COM COIFA PARA DISCO 10" - CHP DIURNO. AF_08/2015</t>
  </si>
  <si>
    <t>PONTALETE *7,5 X 7,5* CM EM PINUS, MISTA OU EQUIVALENTE DA REGIAO - BRUTA</t>
  </si>
  <si>
    <t>PREGO DE ACO POLIDO COM CABECA 18 X 27 (2 1/2 X 10)</t>
  </si>
  <si>
    <t>TABUA *2,5 X 15 CM EM PINUS, MISTA OU EQUIVALENTE DA REGIAO - BRUTA</t>
  </si>
  <si>
    <t>TELHA TRAPEZOIDAL EM ACO ZINCADO, SEM PINTURA, ALTURA DE APROXIMADAMENTE 40 MM, ESPESSURA DE 0,50 MM E LARGURA UTIL DE 980 MM</t>
  </si>
  <si>
    <t>CONCRETO MAGRO PARA LASTRO, TRAÇO 1:4,5:4,5 (EM MASSA SECA DE CIMENTO/ AREIA MÉDIA/ BRITA 1) - PREPARO MANUAL. AF_05/2021</t>
  </si>
  <si>
    <t>PEDREIRO COM ENCARGOS COMPLEMENTARES</t>
  </si>
  <si>
    <t>AUXILIAR DE ELETRICISTA COM ENCARGOS COMPLEMENTARES</t>
  </si>
  <si>
    <t>ELETRICISTA COM ENCARGOS COMPLEMENTARES</t>
  </si>
  <si>
    <t>MONTADOR ELETROMECÃNICO COM ENCARGOS COMPLEMENTARES</t>
  </si>
  <si>
    <t>FITA ISOLANTE ADESIVA ANTICHAMA, USO ATE 750 V, EM ROLO DE 19 MM X 5 M</t>
  </si>
  <si>
    <t>00001379</t>
  </si>
  <si>
    <t>CIMENTO PORTLAND COMPOSTO CP II-32</t>
  </si>
  <si>
    <t>L</t>
  </si>
  <si>
    <t>88310</t>
  </si>
  <si>
    <t>PINTOR COM ENCARGOS COMPLEMENTARES</t>
  </si>
  <si>
    <t>CABO DE COBRE, FLEXIVEL, CLASSE 4 OU 5, ISOLACAO EM PVC/A, ANTICHAMA BWF-B, COBERTURA PVC-ST1, ANTICHAMA BWF-B, 1 CONDUTOR, 0,6/1 KV, SECAO NOMINAL 2,5 MM2</t>
  </si>
  <si>
    <t>BUCHA DE NYLON SEM ABA S6, COM PARAFUSO DE 4,20 X 40 MM EM ACO ZINCADO COM ROSCA SOBERBA, CABECA CHATA E FENDA PHILLIPS</t>
  </si>
  <si>
    <t>AUXILIAR DE ENCANADOR OU BOMBEIRO HIDRÁULICO COM ENCARGOS COMPLEMENTARES</t>
  </si>
  <si>
    <t>ENCANADOR OU BOMBEIRO HIDRÁULICO COM ENCARGOS COMPLEMENTARES</t>
  </si>
  <si>
    <t>88286</t>
  </si>
  <si>
    <t>MOTORISTA OPERADOR DE MUNCK COM ENCARGOS COMPLEMENTARES</t>
  </si>
  <si>
    <t>TIPO</t>
  </si>
  <si>
    <t>UNIDADE</t>
  </si>
  <si>
    <t>PREÇO TOTAL</t>
  </si>
  <si>
    <t>%</t>
  </si>
  <si>
    <t>ACUMUL. %</t>
  </si>
  <si>
    <t>CL</t>
  </si>
  <si>
    <t>Composições</t>
  </si>
  <si>
    <t>00040813</t>
  </si>
  <si>
    <t>ENGENHEIRO CIVIL DE OBRA PLENO (MENSALISTA)</t>
  </si>
  <si>
    <t>Mão de Obra</t>
  </si>
  <si>
    <t>00040818</t>
  </si>
  <si>
    <t>ENCARREGADO GERAL DE OBRAS (MENSALISTA)</t>
  </si>
  <si>
    <t>00002436</t>
  </si>
  <si>
    <t>ELETRICISTA (HORISTA)</t>
  </si>
  <si>
    <t>00000247</t>
  </si>
  <si>
    <t>AJUDANTE DE ELETRICISTA (HORISTA)</t>
  </si>
  <si>
    <t>00006111</t>
  </si>
  <si>
    <t>SERVENTE DE OBRAS (HORISTA)</t>
  </si>
  <si>
    <t>00040944</t>
  </si>
  <si>
    <t>TECNICO EM SEGURANCA DO TRABALHO (MENSALISTA)</t>
  </si>
  <si>
    <t>00004221</t>
  </si>
  <si>
    <t>OLEO DIESEL COMBUSTIVEL COMUM METROPOLITANO S-10 OU S-500</t>
  </si>
  <si>
    <t>00037372</t>
  </si>
  <si>
    <t>EXAMES - HORISTA (COLETADO CAIXA - ENCARGOS COMPLEMENTARES)</t>
  </si>
  <si>
    <t>Encargos Complementares</t>
  </si>
  <si>
    <t>00002437</t>
  </si>
  <si>
    <t>MONTADOR DE MAQUINAS (HORISTA)</t>
  </si>
  <si>
    <t>00040863</t>
  </si>
  <si>
    <t>EXAMES - MENSALISTA (COLETADO CAIXA - ENCARGOS COMPLEMENTARES)</t>
  </si>
  <si>
    <t>00037370</t>
  </si>
  <si>
    <t>ALIMENTACAO - HORISTA (COLETADO CAIXA - ENCARGOS COMPLEMENTARES)</t>
  </si>
  <si>
    <t>00004750</t>
  </si>
  <si>
    <t>PEDREIRO (HORISTA)</t>
  </si>
  <si>
    <t>00037371</t>
  </si>
  <si>
    <t>TRANSPORTE - HORISTA (COLETADO CAIXA - ENCARGOS COMPLEMENTARES)</t>
  </si>
  <si>
    <t>00043484</t>
  </si>
  <si>
    <t>EPI - FAMILIA ELETRICISTA - HORISTA (ENCARGOS COMPLEMENTARES - COLETADO CAIXA)</t>
  </si>
  <si>
    <t>00004783</t>
  </si>
  <si>
    <t>PINTOR (HORISTA)</t>
  </si>
  <si>
    <t>00043460</t>
  </si>
  <si>
    <t>FERRAMENTAS - FAMILIA ELETRICISTA - HORISTA (ENCARGOS COMPLEMENTARES - COLETADO CAIXA)</t>
  </si>
  <si>
    <t>00043499</t>
  </si>
  <si>
    <t>EPI - FAMILIA ENCARREGADO GERAL - MENSALISTA (ENCARGOS COMPLEMENTARES - COLETADO CAIXA)</t>
  </si>
  <si>
    <t>00001213</t>
  </si>
  <si>
    <t>CARPINTEIRO DE FORMAS PARA CONCRETO (HORISTA)</t>
  </si>
  <si>
    <t>00004096</t>
  </si>
  <si>
    <t>MOTORISTA OPERADOR DE CAMINHAO COM MUNCK (HORISTA)</t>
  </si>
  <si>
    <t>00043491</t>
  </si>
  <si>
    <t>EPI - FAMILIA SERVENTE - HORISTA (ENCARGOS COMPLEMENTARES - COLETADO CAIXA)</t>
  </si>
  <si>
    <t>00043498</t>
  </si>
  <si>
    <t>EPI - FAMILIA ENGENHEIRO CIVIL - MENSALISTA (ENCARGOS COMPLEMENTARES - COLETADO CAIXA)</t>
  </si>
  <si>
    <t>00006117</t>
  </si>
  <si>
    <t>CARPINTEIRO AUXILIAR (HORISTA)</t>
  </si>
  <si>
    <t>00043467</t>
  </si>
  <si>
    <t>FERRAMENTAS - FAMILIA SERVENTE - HORISTA (ENCARGOS COMPLEMENTARES - COLETADO CAIXA)</t>
  </si>
  <si>
    <t>00043494</t>
  </si>
  <si>
    <t>EPI - FAMILIA ALMOXARIFE - MENSALISTA (ENCARGOS COMPLEMENTARES - COLETADO CAIXA)</t>
  </si>
  <si>
    <t>00037752</t>
  </si>
  <si>
    <t>CAMINHAO TOCO, PESO BRUTO TOTAL 16000 KG, CARGA UTIL MAXIMA 11030 KG, DISTANCIA ENTRE EIXOS 5,41 M, POTENCIA 185 CV (INCLUI CABINE E CHASSI, NAO INCLUI CARROCERIA)</t>
  </si>
  <si>
    <t>00043466</t>
  </si>
  <si>
    <t>FERRAMENTAS - FAMILIA PINTOR - HORISTA (ENCARGOS COMPLEMENTARES - COLETADO CAIXA)</t>
  </si>
  <si>
    <t>00043489</t>
  </si>
  <si>
    <t>EPI - FAMILIA PEDREIRO - HORISTA (ENCARGOS COMPLEMENTARES - COLETADO CAIXA)</t>
  </si>
  <si>
    <t>00043490</t>
  </si>
  <si>
    <t>EPI - FAMILIA PINTOR - HORISTA (ENCARGOS COMPLEMENTARES - COLETADO CAIXA)</t>
  </si>
  <si>
    <t>00043483</t>
  </si>
  <si>
    <t>EPI - FAMILIA CARPINTEIRO DE FORMAS - HORISTA (ENCARGOS COMPLEMENTARES - COLETADO CAIXA)</t>
  </si>
  <si>
    <t>00043475</t>
  </si>
  <si>
    <t>FERRAMENTAS - FAMILIA ENCARREGADO GERAL - MENSALISTA (ENCARGOS COMPLEMENTARES - COLETADO CAIXA)</t>
  </si>
  <si>
    <t>00043465</t>
  </si>
  <si>
    <t>FERRAMENTAS - FAMILIA PEDREIRO - HORISTA (ENCARGOS COMPLEMENTARES - COLETADO CAIXA)</t>
  </si>
  <si>
    <t>00043488</t>
  </si>
  <si>
    <t>EPI - FAMILIA OPERADOR ESCAVADEIRA - HORISTA (ENCARGOS COMPLEMENTARES - COLETADO CAIXA)</t>
  </si>
  <si>
    <t>00007340</t>
  </si>
  <si>
    <t>IMUNIZANTE PARA MADEIRA, INCOLOR</t>
  </si>
  <si>
    <t>00043459</t>
  </si>
  <si>
    <t>FERRAMENTAS - FAMILIA CARPINTEIRO DE FORMAS - HORISTA (ENCARGOS COMPLEMENTARES - COLETADO CAIXA)</t>
  </si>
  <si>
    <t>00000370</t>
  </si>
  <si>
    <t>AREIA MEDIA - POSTO JAZIDA/FORNECEDOR (RETIRADO NA JAZIDA, SEM TRANSPORTE)</t>
  </si>
  <si>
    <t>00004230</t>
  </si>
  <si>
    <t>OPERADOR DE MAQUINAS E TRATORES DIVERSOS - TERRAPLANAGEM (HORISTA)</t>
  </si>
  <si>
    <t>00037373</t>
  </si>
  <si>
    <t>SEGURO - HORISTA (COLETADO CAIXA - ENCARGOS COMPLEMENTARES)</t>
  </si>
  <si>
    <t>00003363</t>
  </si>
  <si>
    <t>GUINDAUTO HIDRAULICO, CAPACIDADE MAXIMA DE CARGA 6200 KG, MOMENTO MAXIMO DE CARGA 11,7 TM, ALCANCE MAXIMO HORIZONTAL 9,70 M, PARA MONTAGEM SOBRE CHASSI DE CAMINHAO PBT MINIMO 13000 KG (INCLUI MONTAGEM, NAO INCLUI CAMINHAO)</t>
  </si>
  <si>
    <t>00004721</t>
  </si>
  <si>
    <t>PEDRA BRITADA N. 1 (9,5 A 19 MM) POSTO PEDREIRA/FORNECEDOR, SEM FRETE</t>
  </si>
  <si>
    <t>00002705</t>
  </si>
  <si>
    <t>ENERGIA ELETRICA ATE 2000 KWH INDUSTRIAL, SEM DEMANDA</t>
  </si>
  <si>
    <t>Especiais</t>
  </si>
  <si>
    <t>KWH</t>
  </si>
  <si>
    <t>00043470</t>
  </si>
  <si>
    <t>FERRAMENTAS - FAMILIA ALMOXARIFE - MENSALISTA (ENCARGOS COMPLEMENTARES - COLETADO CAIXA)</t>
  </si>
  <si>
    <t>00002696</t>
  </si>
  <si>
    <t>ENCANADOR OU BOMBEIRO HIDRAULICO (HORISTA)</t>
  </si>
  <si>
    <t>00000246</t>
  </si>
  <si>
    <t>AUXILIAR DE ENCANADOR OU BOMBEIRO HIDRAULICO (HORISTA)</t>
  </si>
  <si>
    <t>00043474</t>
  </si>
  <si>
    <t>FERRAMENTAS - FAMILIA ENGENHEIRO CIVIL - MENSALISTA (ENCARGOS COMPLEMENTARES - COLETADO CAIXA)</t>
  </si>
  <si>
    <t>00043485</t>
  </si>
  <si>
    <t>EPI - FAMILIA ENCANADOR - HORISTA (ENCARGOS COMPLEMENTARES - COLETADO CAIXA)</t>
  </si>
  <si>
    <t>00043464</t>
  </si>
  <si>
    <t>FERRAMENTAS - FAMILIA OPERADOR ESCAVADEIRA - HORISTA (ENCARGOS COMPLEMENTARES - COLETADO CAIXA)</t>
  </si>
  <si>
    <t>00043461</t>
  </si>
  <si>
    <t>FERRAMENTAS - FAMILIA ENCANADOR - HORISTA (ENCARGOS COMPLEMENTARES - COLETADO CAIXA)</t>
  </si>
  <si>
    <t>00014618</t>
  </si>
  <si>
    <t>SERRA CIRCULAR DE BANCADA COM MOTOR ELETRICO, POTENCIA DE *1600* W, PARA DISCO DE DIAMETRO DE 10" (250 MM)</t>
  </si>
  <si>
    <t>00040864</t>
  </si>
  <si>
    <t>SEGURO - MENSALISTA (COLETADO CAIXA - ENCARGOS COMPLEMENTARES)</t>
  </si>
  <si>
    <t>VALOR (R$)</t>
  </si>
  <si>
    <t>MÊS 1</t>
  </si>
  <si>
    <t>MÊS 2</t>
  </si>
  <si>
    <t>MÊS 3</t>
  </si>
  <si>
    <t>MÊS 4</t>
  </si>
  <si>
    <t>Total parcela</t>
  </si>
  <si>
    <t>COD</t>
  </si>
  <si>
    <t>B</t>
  </si>
  <si>
    <t>BENEFICIO</t>
  </si>
  <si>
    <t>B1</t>
  </si>
  <si>
    <t>Lucro</t>
  </si>
  <si>
    <t>A</t>
  </si>
  <si>
    <t>DESPESAS FINANCEIRAS</t>
  </si>
  <si>
    <t>A1</t>
  </si>
  <si>
    <t xml:space="preserve">Seguro e Garantia </t>
  </si>
  <si>
    <t>A2</t>
  </si>
  <si>
    <t>Riscos e Imprevistos</t>
  </si>
  <si>
    <t>A3</t>
  </si>
  <si>
    <t>Despesas Financeiras</t>
  </si>
  <si>
    <t>A4</t>
  </si>
  <si>
    <t>Administração Central</t>
  </si>
  <si>
    <t>C</t>
  </si>
  <si>
    <t>IMPOSTOS</t>
  </si>
  <si>
    <t>C1</t>
  </si>
  <si>
    <t>PIS / PASEP</t>
  </si>
  <si>
    <t>C2</t>
  </si>
  <si>
    <t>COFINS</t>
  </si>
  <si>
    <t>C3</t>
  </si>
  <si>
    <t>HORISTA %</t>
  </si>
  <si>
    <t>MENSALISTA %</t>
  </si>
  <si>
    <t>GRUPO A</t>
  </si>
  <si>
    <t xml:space="preserve">INSS </t>
  </si>
  <si>
    <t xml:space="preserve">SESI </t>
  </si>
  <si>
    <t xml:space="preserve">SENAI </t>
  </si>
  <si>
    <t xml:space="preserve">INCRA </t>
  </si>
  <si>
    <t>A5</t>
  </si>
  <si>
    <t xml:space="preserve">SEBRAE </t>
  </si>
  <si>
    <t>A6</t>
  </si>
  <si>
    <t xml:space="preserve">Salário Educação </t>
  </si>
  <si>
    <t>A7</t>
  </si>
  <si>
    <t xml:space="preserve">Seguro Contra Acidentes de Trabalho </t>
  </si>
  <si>
    <t>A8</t>
  </si>
  <si>
    <t xml:space="preserve">FGTS </t>
  </si>
  <si>
    <t>A9</t>
  </si>
  <si>
    <t xml:space="preserve">SECONCI </t>
  </si>
  <si>
    <t>GRUPO B</t>
  </si>
  <si>
    <t xml:space="preserve">Repouso Semanal Remunerado </t>
  </si>
  <si>
    <t>B2</t>
  </si>
  <si>
    <t xml:space="preserve">Feriados </t>
  </si>
  <si>
    <t>B3</t>
  </si>
  <si>
    <t xml:space="preserve">Auxílio - Enfermidade </t>
  </si>
  <si>
    <t>B4</t>
  </si>
  <si>
    <t xml:space="preserve">13º Salário </t>
  </si>
  <si>
    <t>B5</t>
  </si>
  <si>
    <t xml:space="preserve">Licença Paternidade </t>
  </si>
  <si>
    <t>B6</t>
  </si>
  <si>
    <t xml:space="preserve">Faltas Justificadas </t>
  </si>
  <si>
    <t>B7</t>
  </si>
  <si>
    <t xml:space="preserve">Dias de Chuvas </t>
  </si>
  <si>
    <t>B8</t>
  </si>
  <si>
    <t xml:space="preserve">Auxílio Acidente de Trabalho </t>
  </si>
  <si>
    <t>B9</t>
  </si>
  <si>
    <t xml:space="preserve">Férias Gozadas </t>
  </si>
  <si>
    <t>B10</t>
  </si>
  <si>
    <t xml:space="preserve">Salário Maternidade </t>
  </si>
  <si>
    <t>GRUPO C</t>
  </si>
  <si>
    <t xml:space="preserve">Aviso Prévio Indenizado </t>
  </si>
  <si>
    <t xml:space="preserve">Aviso Prévio Trabalhado </t>
  </si>
  <si>
    <t xml:space="preserve">Férias Indenizadas </t>
  </si>
  <si>
    <t>C4</t>
  </si>
  <si>
    <t xml:space="preserve">Depósito Rescisão Sem Justa Causa </t>
  </si>
  <si>
    <t>C5</t>
  </si>
  <si>
    <t xml:space="preserve">Indenização Adicional </t>
  </si>
  <si>
    <t>D</t>
  </si>
  <si>
    <t>GRUPO D</t>
  </si>
  <si>
    <t>D1</t>
  </si>
  <si>
    <t xml:space="preserve">Reincidência de Grupo A sobre Grupo B </t>
  </si>
  <si>
    <t>D2</t>
  </si>
  <si>
    <t xml:space="preserve">Reincidência de Grupo A sobre Aviso Prévio Trabalhado e Reincidência do FGTS sobre Aviso Prévio Indenizado </t>
  </si>
  <si>
    <t>A + B + C + D =</t>
  </si>
  <si>
    <t>DADOS</t>
  </si>
  <si>
    <t>EMPRESA 1</t>
  </si>
  <si>
    <t>EMPRESA 2</t>
  </si>
  <si>
    <t>EMPRESA 3</t>
  </si>
  <si>
    <t>ADOTADO</t>
  </si>
  <si>
    <t>FORNECEDOR:</t>
  </si>
  <si>
    <t>CNPJ:</t>
  </si>
  <si>
    <t>DATA:</t>
  </si>
  <si>
    <t>FUNCIONÁRIO:</t>
  </si>
  <si>
    <t>CONTATO:</t>
  </si>
  <si>
    <t>m</t>
  </si>
  <si>
    <t>OBRA:</t>
  </si>
  <si>
    <t>LOCAL:</t>
  </si>
  <si>
    <t>CLIENTE:</t>
  </si>
  <si>
    <t>CREA:</t>
  </si>
  <si>
    <t>VERSÃO:</t>
  </si>
  <si>
    <t>RUA JOÃO TEIXEIRA DE CARVALHO, 480, PEDRO GONDIM, JOÃO PESSOA/PB</t>
  </si>
  <si>
    <t>JUSTIÇA FEDERAL NA PARAÍBA</t>
  </si>
  <si>
    <t>RESP. TÉCN.:</t>
  </si>
  <si>
    <t>DATA</t>
  </si>
  <si>
    <t>BDI DIF.</t>
  </si>
  <si>
    <t>ENC. HORA</t>
  </si>
  <si>
    <t>ENC. MÊS</t>
  </si>
  <si>
    <t>ORÇAMENTO - PLANILHA SINTÉTICA</t>
  </si>
  <si>
    <t>FONTES:</t>
  </si>
  <si>
    <t>SICRO</t>
  </si>
  <si>
    <t>ORÇAMENTO - PLANILHA ANALÍTICA</t>
  </si>
  <si>
    <t>ANOTAÇÃO DE RESPONSABILIDADE TÉCNICA JUNTO AO CREA - ART PRINCIPAL - FAIXA ACIMA DE R$ 15.000,00 (2024) (UN)</t>
  </si>
  <si>
    <t>INSTALAÇÃO E DESINSTALAÇÃO MECANIZADA DE CONTÊINER OU MÓDULO HABITÁVEL DE USOS DIVERSOS. AF_03/2024 (UN)</t>
  </si>
  <si>
    <t>LOCACAO DE CONTAINER 2,30 X 6,00 M, ALT. 2,50 M, PARA ESCRITORIO, SEM DIVISORIAS INTERNAS E SEM SANITARIO (NAO INCLUI MOBILIZACAO/DESMOBILIZACAO) (MES)</t>
  </si>
  <si>
    <t>LOCACAO DE CONTAINER 2,30 X 6,00 M, ALT. 2,50 M, PARA SANITARIO, COM 4 BACIAS, 8 CHUVEIROS,1 LAVATORIO E 1 MICTORIO (NAO INCLUI MOBILIZACAO/DESMOBILIZACAO) (MES)</t>
  </si>
  <si>
    <t>FORNECIMENTO E INSTALAÇÃO DE PLACA DE OBRA COM CHAPA GALVANIZADA E ESTRUTURA DE MADEIRA. AF_03/2022_PS (M2)</t>
  </si>
  <si>
    <t>TAPUME COM TELHA METÁLICA. AF_03/2024 (M2)</t>
  </si>
  <si>
    <t>ORÇAMENTO - MAPA DE COTAÇÃO DE PREÇOS</t>
  </si>
  <si>
    <t>CÓD. ITEM</t>
  </si>
  <si>
    <t>ORÇAMENTO - CURVA ABC DE SERVIÇOS</t>
  </si>
  <si>
    <t>95309</t>
  </si>
  <si>
    <t>CURSO DE CAPACITAÇÃO PARA AJUDANTE DE CARPINTEIRO (ENCARGOS COMPLEMENTARES) - HORISTA</t>
  </si>
  <si>
    <t>95316</t>
  </si>
  <si>
    <t>CURSO DE CAPACITAÇÃO PARA AUXILIAR DE ELETRICISTA (ENCARGOS COMPLEMENTARES) - HORISTA</t>
  </si>
  <si>
    <t>95317</t>
  </si>
  <si>
    <t>CURSO DE CAPACITAÇÃO PARA AUXILIAR DE ENCANADOR OU BOMBEIRO HIDRÁULICO (ENCARGOS COMPLEMENTARES) - HORISTA</t>
  </si>
  <si>
    <t>95330</t>
  </si>
  <si>
    <t>CURSO DE CAPACITAÇÃO PARA CARPINTEIRO DE FÔRMAS (ENCARGOS COMPLEMENTARES) - HORISTA</t>
  </si>
  <si>
    <t>95332</t>
  </si>
  <si>
    <t>CURSO DE CAPACITAÇÃO PARA ELETRICISTA (ENCARGOS COMPLEMENTARES) - HORISTA</t>
  </si>
  <si>
    <t>95335</t>
  </si>
  <si>
    <t>CURSO DE CAPACITAÇÃO PARA ENCANADOR OU BOMBEIRO HIDRÁULICO (ENCARGOS COMPLEMENTARES) - HORISTA</t>
  </si>
  <si>
    <t>95422</t>
  </si>
  <si>
    <t>CURSO DE CAPACITAÇÃO PARA ENCARREGADO GERAL DE OBRAS (ENCARGOS COMPLEMENTARES) - MENSALISTA</t>
  </si>
  <si>
    <t>95417</t>
  </si>
  <si>
    <t>CURSO DE CAPACITAÇÃO PARA ENGENHEIRO CIVIL DE OBRA PLENO (ENCARGOS COMPLEMENTARES) - MENSALISTA</t>
  </si>
  <si>
    <t>TOTAL Especiais:</t>
  </si>
  <si>
    <t>89259</t>
  </si>
  <si>
    <t>GUINDAUTO HIDRÁULICO, CAPACIDADE MÁXIMA DE CARGA 6200 KG, MOMENTO MÁXIMO DE CARGA 11,7 TM, ALCANCE MÁXIMO HORIZONTAL 9,70 M, INCLUSIVE CAMINHÃO TOCO PBT 16.000 KG, POTÊNCIA DE 189 CV - DEPRECIAÇÃO. AF_06/2014</t>
  </si>
  <si>
    <t>91466</t>
  </si>
  <si>
    <t>GUINDAUTO HIDRÁULICO, CAPACIDADE MÁXIMA DE CARGA 6200 KG, MOMENTO MÁXIMO DE CARGA 11,7 TM, ALCANCE MÁXIMO HORIZONTAL 9,70 M, INCLUSIVE CAMINHÃO TOCO PBT 16.000 KG, POTÊNCIA DE 189 CV - IMPOSTOS E SEGUROS. AF_08/2015</t>
  </si>
  <si>
    <t>89260</t>
  </si>
  <si>
    <t>GUINDAUTO HIDRÁULICO, CAPACIDADE MÁXIMA DE CARGA 6200 KG, MOMENTO MÁXIMO DE CARGA 11,7 TM, ALCANCE MÁXIMO HORIZONTAL 9,70 M, INCLUSIVE CAMINHÃO TOCO PBT 16.000 KG, POTÊNCIA DE 189 CV - JUROS. AF_06/2014</t>
  </si>
  <si>
    <t>89262</t>
  </si>
  <si>
    <t>GUINDAUTO HIDRÁULICO, CAPACIDADE MÁXIMA DE CARGA 6200 KG, MOMENTO MÁXIMO DE CARGA 11,7 TM, ALCANCE MÁXIMO HORIZONTAL 9,70 M, INCLUSIVE CAMINHÃO TOCO PBT 16.000 KG, POTÊNCIA DE 189 CV - MANUTENÇÃO. AF_06/2014</t>
  </si>
  <si>
    <t>91467</t>
  </si>
  <si>
    <t>GUINDAUTO HIDRÁULICO, CAPACIDADE MÁXIMA DE CARGA 6200 KG, MOMENTO MÁXIMO DE CARGA 11,7 TM, ALCANCE MÁXIMO HORIZONTAL 9,70 M, INCLUSIVE CAMINHÃO TOCO PBT 16.000 KG, POTÊNCIA DE 189 CV - MATERIAIS NA OPERAÇÃO. AF_08/2015</t>
  </si>
  <si>
    <t>95345</t>
  </si>
  <si>
    <t>CURSO DE CAPACITAÇÃO PARA MONTADOR ELETROMECÂNICO (ENCARGOS COMPLEMENTARES) - HORISTA</t>
  </si>
  <si>
    <t>95351</t>
  </si>
  <si>
    <t>CURSO DE CAPACITAÇÃO PARA MOTORISTA OPERADOR DE MUNCK (ENCARGOS COMPLEMENTARES) - HORISTA</t>
  </si>
  <si>
    <t>95360</t>
  </si>
  <si>
    <t>CURSO DE CAPACITAÇÃO PARA OPERADOR DE MÁQUINAS E EQUIPAMENTOS (ENCARGOS COMPLEMENTARES) - HORISTA</t>
  </si>
  <si>
    <t>95371</t>
  </si>
  <si>
    <t>CURSO DE CAPACITAÇÃO PARA PEDREIRO (ENCARGOS COMPLEMENTARES) - HORISTA</t>
  </si>
  <si>
    <t>95372</t>
  </si>
  <si>
    <t>CURSO DE CAPACITAÇÃO PARA PINTOR (ENCARGOS COMPLEMENTARES) - HORISTA</t>
  </si>
  <si>
    <t>88297</t>
  </si>
  <si>
    <t>OPERADOR DE MÁQUINAS E EQUIPAMENTOS COM ENCARGOS COMPLEMENTARES</t>
  </si>
  <si>
    <t>91688</t>
  </si>
  <si>
    <t>SERRA CIRCULAR DE BANCADA COM MOTOR ELÉTRICO POTÊNCIA DE 5HP, COM COIFA PARA DISCO 10" - DEPRECIAÇÃO. AF_08/2015</t>
  </si>
  <si>
    <t>91689</t>
  </si>
  <si>
    <t>SERRA CIRCULAR DE BANCADA COM MOTOR ELÉTRICO POTÊNCIA DE 5HP, COM COIFA PARA DISCO 10" - JUROS. AF_08/2015</t>
  </si>
  <si>
    <t>91690</t>
  </si>
  <si>
    <t>SERRA CIRCULAR DE BANCADA COM MOTOR ELÉTRICO POTÊNCIA DE 5HP, COM COIFA PARA DISCO 10" - MANUTENÇÃO. AF_08/2015</t>
  </si>
  <si>
    <t>91691</t>
  </si>
  <si>
    <t>SERRA CIRCULAR DE BANCADA COM MOTOR ELÉTRICO POTÊNCIA DE 5HP, COM COIFA PARA DISCO 10" - MATERIAIS NA OPERAÇÃO. AF_08/2015</t>
  </si>
  <si>
    <t>95378</t>
  </si>
  <si>
    <t>CURSO DE CAPACITAÇÃO PARA SERVENTE (ENCARGOS COMPLEMENTARES) - HORISTA</t>
  </si>
  <si>
    <t>100315</t>
  </si>
  <si>
    <t>CURSO DE CAPACITAÇÃO PARA TÉCNICO EM SEGURANÇA DO TRABALHO (ENCARGOS COMPLEMENTARES) - MENSALISTA</t>
  </si>
  <si>
    <t>ORÇAMENTO - PLANILHA ANALÍTICA DE COMPOSIÇÕES AUXILIARES</t>
  </si>
  <si>
    <t>AJUDANTE DE CARPINTEIRO COM ENCARGOS COMPLEMENTARES (H)</t>
  </si>
  <si>
    <t>AUXILIAR DE ELETRICISTA COM ENCARGOS COMPLEMENTARES (H)</t>
  </si>
  <si>
    <t>AUXILIAR DE ENCANADOR OU BOMBEIRO HIDRÁULICO COM ENCARGOS COMPLEMENTARES (H)</t>
  </si>
  <si>
    <t>ENGENHEIRO CIVIL DE OBRA PLENO COM ENCARGOS COMPLEMENTARES (MES)</t>
  </si>
  <si>
    <t>CARPINTEIRO DE FORMAS COM ENCARGOS COMPLEMENTARES (H)</t>
  </si>
  <si>
    <t>CONCRETO MAGRO PARA LASTRO, TRAÇO 1:4,5:4,5 (EM MASSA SECA DE CIMENTO/ AREIA MÉDIA/ BRITA 1) - PREPARO MANUAL. AF_05/2021 (M3)</t>
  </si>
  <si>
    <t>CURSO DE CAPACITAÇÃO PARA AJUDANTE DE CARPINTEIRO (ENCARGOS COMPLEMENTARES) - HORISTA (H)</t>
  </si>
  <si>
    <t>CURSO DE CAPACITAÇÃO PARA AUXILIAR DE ELETRICISTA (ENCARGOS COMPLEMENTARES) - HORISTA (H)</t>
  </si>
  <si>
    <t>CURSO DE CAPACITAÇÃO PARA AUXILIAR DE ENCANADOR OU BOMBEIRO HIDRÁULICO (ENCARGOS COMPLEMENTARES) - HORISTA (H)</t>
  </si>
  <si>
    <t>CURSO DE CAPACITAÇÃO PARA CARPINTEIRO DE FÔRMAS (ENCARGOS COMPLEMENTARES) - HORISTA (H)</t>
  </si>
  <si>
    <t>CURSO DE CAPACITAÇÃO PARA ELETRICISTA (ENCARGOS COMPLEMENTARES) - HORISTA (H)</t>
  </si>
  <si>
    <t>CURSO DE CAPACITAÇÃO PARA ENCANADOR OU BOMBEIRO HIDRÁULICO (ENCARGOS COMPLEMENTARES) - HORISTA (H)</t>
  </si>
  <si>
    <t>CURSO DE CAPACITAÇÃO PARA ENCARREGADO GERAL DE OBRAS (ENCARGOS COMPLEMENTARES) - MENSALISTA (MES)</t>
  </si>
  <si>
    <t>CURSO DE CAPACITAÇÃO PARA ENGENHEIRO CIVIL DE OBRA PLENO (ENCARGOS COMPLEMENTARES) - MENSALISTA (MES)</t>
  </si>
  <si>
    <t>CURSO DE CAPACITAÇÃO PARA MONTADOR ELETROMECÂNICO (ENCARGOS COMPLEMENTARES) - HORISTA (H)</t>
  </si>
  <si>
    <t>CURSO DE CAPACITAÇÃO PARA MOTORISTA OPERADOR DE MUNCK (ENCARGOS COMPLEMENTARES) - HORISTA (H)</t>
  </si>
  <si>
    <t>CURSO DE CAPACITAÇÃO PARA OPERADOR DE MÁQUINAS E EQUIPAMENTOS (ENCARGOS COMPLEMENTARES) - HORISTA (H)</t>
  </si>
  <si>
    <t>CURSO DE CAPACITAÇÃO PARA PEDREIRO (ENCARGOS COMPLEMENTARES) - HORISTA (H)</t>
  </si>
  <si>
    <t>CURSO DE CAPACITAÇÃO PARA PINTOR (ENCARGOS COMPLEMENTARES) - HORISTA (H)</t>
  </si>
  <si>
    <t>CURSO DE CAPACITAÇÃO PARA SERVENTE (ENCARGOS COMPLEMENTARES) - HORISTA (H)</t>
  </si>
  <si>
    <t>ELETRICISTA COM ENCARGOS COMPLEMENTARES (H)</t>
  </si>
  <si>
    <t>ENCANADOR OU BOMBEIRO HIDRÁULICO COM ENCARGOS COMPLEMENTARES (H)</t>
  </si>
  <si>
    <t>ENCARREGADO GERAL DE OBRAS COM ENCARGOS COMPLEMENTARES (MES)</t>
  </si>
  <si>
    <t>ENGENHEIRO ELETRICISTA DE OBRA PLENO COM ENCARGOS COMPLEMENTARES (CUSTO EQUIV. AO DO ENGO. CIVIL) (MES)</t>
  </si>
  <si>
    <t>GUINDAUTO HIDRÁULICO, CAPACIDADE MÁXIMA DE CARGA 6200 KG, MOMENTO MÁXIMO DE CARGA 11,7 TM, ALCANCE MÁXIMO HORIZONTAL 9,70 M, INCLUSIVE CAMINHÃO TOCO PBT 16.000 KG, POTÊNCIA DE 189 CV - CHI DIURNO. AF_06/2014 (CHI)</t>
  </si>
  <si>
    <t>GUINDAUTO HIDRÁULICO, CAPACIDADE MÁXIMA DE CARGA 6200 KG, MOMENTO MÁXIMO DE CARGA 11,7 TM, ALCANCE MÁXIMO HORIZONTAL 9,70 M, INCLUSIVE CAMINHÃO TOCO PBT 16.000 KG, POTÊNCIA DE 189 CV - CHP DIURNO. AF_06/2014 (CHP)</t>
  </si>
  <si>
    <t>GUINDAUTO HIDRÁULICO, CAPACIDADE MÁXIMA DE CARGA 6200 KG, MOMENTO MÁXIMO DE CARGA 11,7 TM, ALCANCE MÁXIMO HORIZONTAL 9,70 M, INCLUSIVE CAMINHÃO TOCO PBT 16.000 KG, POTÊNCIA DE 189 CV - DEPRECIAÇÃO. AF_06/2014 (H)</t>
  </si>
  <si>
    <t>GUINDAUTO HIDRÁULICO, CAPACIDADE MÁXIMA DE CARGA 6200 KG, MOMENTO MÁXIMO DE CARGA 11,7 TM, ALCANCE MÁXIMO HORIZONTAL 9,70 M, INCLUSIVE CAMINHÃO TOCO PBT 16.000 KG, POTÊNCIA DE 189 CV - IMPOSTOS E SEGUROS. AF_08/2015 (H)</t>
  </si>
  <si>
    <t>GUINDAUTO HIDRÁULICO, CAPACIDADE MÁXIMA DE CARGA 6200 KG, MOMENTO MÁXIMO DE CARGA 11,7 TM, ALCANCE MÁXIMO HORIZONTAL 9,70 M, INCLUSIVE CAMINHÃO TOCO PBT 16.000 KG, POTÊNCIA DE 189 CV - JUROS. AF_06/2014 (H)</t>
  </si>
  <si>
    <t>GUINDAUTO HIDRÁULICO, CAPACIDADE MÁXIMA DE CARGA 6200 KG, MOMENTO MÁXIMO DE CARGA 11,7 TM, ALCANCE MÁXIMO HORIZONTAL 9,70 M, INCLUSIVE CAMINHÃO TOCO PBT 16.000 KG, POTÊNCIA DE 189 CV - MATERIAIS NA OPERAÇÃO. AF_08/2015 (H)</t>
  </si>
  <si>
    <t>MOTORISTA OPERADOR DE MUNCK COM ENCARGOS COMPLEMENTARES (H)</t>
  </si>
  <si>
    <t>OPERADOR DE MÁQUINAS E EQUIPAMENTOS COM ENCARGOS COMPLEMENTARES (H)</t>
  </si>
  <si>
    <t>PEDREIRO COM ENCARGOS COMPLEMENTARES (H)</t>
  </si>
  <si>
    <t>PINTOR COM ENCARGOS COMPLEMENTARES (H)</t>
  </si>
  <si>
    <t>PINTURA IMUNIZANTE PARA MADEIRA, 2 DEMÃOS. AF_01/2021 (M2)</t>
  </si>
  <si>
    <t>SERRA CIRCULAR DE BANCADA COM MOTOR ELÉTRICO POTÊNCIA DE 5HP, COM COIFA PARA DISCO 10" - CHI DIURNO. AF_08/2015 (CHI)</t>
  </si>
  <si>
    <t>SERRA CIRCULAR DE BANCADA COM MOTOR ELÉTRICO POTÊNCIA DE 5HP, COM COIFA PARA DISCO 10" - CHP DIURNO. AF_08/2015 (CHP)</t>
  </si>
  <si>
    <t>SERRA CIRCULAR DE BANCADA COM MOTOR ELÉTRICO POTÊNCIA DE 5HP, COM COIFA PARA DISCO 10" - DEPRECIAÇÃO. AF_08/2015 (H)</t>
  </si>
  <si>
    <t>SERRA CIRCULAR DE BANCADA COM MOTOR ELÉTRICO POTÊNCIA DE 5HP, COM COIFA PARA DISCO 10" - JUROS. AF_08/2015 (H)</t>
  </si>
  <si>
    <t>SERRA CIRCULAR DE BANCADA COM MOTOR ELÉTRICO POTÊNCIA DE 5HP, COM COIFA PARA DISCO 10" - MANUTENÇÃO. AF_08/2015 (H)</t>
  </si>
  <si>
    <t>SERRA CIRCULAR DE BANCADA COM MOTOR ELÉTRICO POTÊNCIA DE 5HP, COM COIFA PARA DISCO 10" - MATERIAIS NA OPERAÇÃO. AF_08/2015 (H)</t>
  </si>
  <si>
    <t>SERVENTE COM ENCARGOS COMPLEMENTARES (H)</t>
  </si>
  <si>
    <t>TÉCNICO EM SEGURANÇA DO TRABALHO COM ENCARGOS COMPLEMENTARES (MES)</t>
  </si>
  <si>
    <t>TIPO BDI</t>
  </si>
  <si>
    <t>VALOR UNIT. COM BDI</t>
  </si>
  <si>
    <t>BDI GERAL</t>
  </si>
  <si>
    <t>GERAL</t>
  </si>
  <si>
    <t>DIFERENCIADO</t>
  </si>
  <si>
    <t>PESO (%)</t>
  </si>
  <si>
    <t>CRONOGRAMA FÍSICO FINANCEIRO</t>
  </si>
  <si>
    <t>REFERENCIAL TCU</t>
  </si>
  <si>
    <t>1o QUARTIL</t>
  </si>
  <si>
    <t>3o QUARTIL</t>
  </si>
  <si>
    <t>ISS (João Pessoa/PB-LEI Nº 53/2008)</t>
  </si>
  <si>
    <t>MÉDIO</t>
  </si>
  <si>
    <t xml:space="preserve">Sendo: </t>
  </si>
  <si>
    <t>BDI DIFERENCIADO</t>
  </si>
  <si>
    <t>ENCARGOS SOCIAIS</t>
  </si>
  <si>
    <t>ORÇAMENTO - RESUMO</t>
  </si>
  <si>
    <t>ORÇAMENTO - PLANILHA DE QUANTITATIVOS</t>
  </si>
  <si>
    <t>QUANT.</t>
  </si>
  <si>
    <t>Quantidade aferida para a duração total da obra</t>
  </si>
  <si>
    <t>Corresponde ao valor da ART a ser emitida para a obra. Em se tratado de obra de subestação não será aceito RRT visto que o arquiteto não possui essa atribuição.</t>
  </si>
  <si>
    <t>Container para canteiro de obra. Uma instalação/desistalação para cada coneainer</t>
  </si>
  <si>
    <t>Placa de obra no padrão da Justiça Federal</t>
  </si>
  <si>
    <t>Largura</t>
  </si>
  <si>
    <t>altura</t>
  </si>
  <si>
    <t>Área</t>
  </si>
  <si>
    <t>Comp.</t>
  </si>
  <si>
    <t>área</t>
  </si>
  <si>
    <t>m2</t>
  </si>
  <si>
    <t>JFPB-26707094</t>
  </si>
  <si>
    <t>ADMINISTRAÇÃO LOCAL DA OBRA - SUBSTITUIÇÃO DE ELEVADORES NA SEDE DA JUSTIÇA FEDERAL NA PARAÍBA</t>
  </si>
  <si>
    <t>JFPB-15141637</t>
  </si>
  <si>
    <t>DESMONTAGEM COMPLETA DE ELEVADOR - INCLUSO CABINES, SISTEMAS DE TRAÇÃO E TRANSPORTE, FOSSO E ACESSÓRIOS (GRUPO A - CARRO 1)</t>
  </si>
  <si>
    <t>DESMONTAGEM COMPLETA DE ELEVADOR - INCLUSO CABINES, SISTEMAS DE TRAÇÃO E TRANSPORTE, FOSSO E ACESSÓRIOS (GRUPO A - CARRO 2)</t>
  </si>
  <si>
    <t>DESMONTAGEM COMPLETA DE ELEVADOR - INCLUSO CABINES, SISTEMAS DE TRAÇÃO E TRANSPORTE, FOSSO E ACESSÓRIOS (GRUPO A - CARRO 3)</t>
  </si>
  <si>
    <t>DESMONTAGEM COMPLETA DE ELEVADOR - INCLUSO CABINES, SISTEMAS DE TRAÇÃO E TRANSPORTE, FOSSO E ACESSÓRIOS (GRUPO B)</t>
  </si>
  <si>
    <t>89480</t>
  </si>
  <si>
    <t>ALVENARIA DE BLOCOS DE CONCRETO ESTRUTURAL 14X19X29 CM (ESPESSURA 14 CM), FBK = 14 MPA, UTILIZANDO COLHER DE PEDREIRO. AF_10/2022 (GRUPO A - VÃO ENTRE CARROS 1 e 2)</t>
  </si>
  <si>
    <t>ALVENARIA DE BLOCOS DE CONCRETO ESTRUTURAL 14X19X29 CM (ESPESSURA 14 CM), FBK = 14 MPA, UTILIZANDO COLHER DE PEDREIRO. AF_10/2022 (GRUPO A - VÃO ENTRE CARROS 2 e 3)</t>
  </si>
  <si>
    <t>104642</t>
  </si>
  <si>
    <t>PINTURA LÁTEX ACRÍLICA STANDARD, APLICAÇÃO MANUAL EM PAREDES, DUAS DEMÃOS. AF_04/2023 (GRUPO A - CARRO 1)</t>
  </si>
  <si>
    <t>PINTURA LÁTEX ACRÍLICA STANDARD, APLICAÇÃO MANUAL EM PAREDES, DUAS DEMÃOS. AF_04/2023 (GRUPO A - CARRO 2)</t>
  </si>
  <si>
    <t>PINTURA LÁTEX ACRÍLICA STANDARD, APLICAÇÃO MANUAL EM PAREDES, DUAS DEMÃOS. AF_04/2023 (GRUPO A - CARRO 3)</t>
  </si>
  <si>
    <t>PINTURA LÁTEX ACRÍLICA STANDARD, APLICAÇÃO MANUAL EM PAREDES, DUAS DEMÃOS. AF_04/2023 (GRUPO B)</t>
  </si>
  <si>
    <t>JFPB-11375794</t>
  </si>
  <si>
    <t>PORTAL EM GRANITO CINZA ANDORINHA PARA PORTA DE ELEVADOR - FORNECIMENTO E INSTALAÇÃO (GRUPO A - CARRO 1)</t>
  </si>
  <si>
    <t>PORTAL EM GRANITO CINZA ANDORINHA PARA PORTA DE ELEVADOR - FORNECIMENTO E INSTALAÇÃO (GRUPO A - CARRO 2)</t>
  </si>
  <si>
    <t>PORTAL EM GRANITO CINZA ANDORINHA PARA PORTA DE ELEVADOR - FORNECIMENTO E INSTALAÇÃO (GRUPO A - CARRO 3)</t>
  </si>
  <si>
    <t>PORTAL EM GRANITO CINZA ANDORINHA PARA PORTA DE ELEVADOR - FORNECIMENTO E INSTALAÇÃO (GRUPO B)</t>
  </si>
  <si>
    <t>JFPB-77009839</t>
  </si>
  <si>
    <t>SOLEIRA EM GRANITO, LARGURA 25 CM, ESPESSURA 2,0 CM FORNECIMENTO E INSTALAÇÃO (GRUPO A - CARRO 1)</t>
  </si>
  <si>
    <t>SOLEIRA EM GRANITO, LARGURA 25 CM, ESPESSURA 2,0 CM FORNECIMENTO E INSTALAÇÃO (GRUPO A - CARRO 2)</t>
  </si>
  <si>
    <t>SOLEIRA EM GRANITO, LARGURA 25 CM, ESPESSURA 2,0 CM FORNECIMENTO E INSTALAÇÃO (GRUPO A - CARRO 3)</t>
  </si>
  <si>
    <t>SOLEIRA EM GRANITO, LARGURA 25 CM, ESPESSURA 2,0 CM FORNECIMENTO E INSTALAÇÃO (GRUPO B)</t>
  </si>
  <si>
    <t>4.3</t>
  </si>
  <si>
    <t>4.4</t>
  </si>
  <si>
    <t>4.5</t>
  </si>
  <si>
    <t>4.6</t>
  </si>
  <si>
    <t>4.7</t>
  </si>
  <si>
    <t>4.8</t>
  </si>
  <si>
    <t>4.9</t>
  </si>
  <si>
    <t>4.10</t>
  </si>
  <si>
    <t>4.11</t>
  </si>
  <si>
    <t>4.12</t>
  </si>
  <si>
    <t>4.13</t>
  </si>
  <si>
    <t>4.14</t>
  </si>
  <si>
    <t>JFPB-43950770</t>
  </si>
  <si>
    <t>FORNECIMENTO DE ELEVADOR COMERCIAL- 5 PARADAS - 1,00M/S - CAP. 10/11 PASSAGEIROS - BDI = 15,28</t>
  </si>
  <si>
    <t>JFPB-76681091</t>
  </si>
  <si>
    <t>FORNECIMENTO DE ELEVADOR COMERCIAL- 6 PARADAS - 1,00M/S - CAP. 10/11 PASSAGEIROS - BDI = 15,28</t>
  </si>
  <si>
    <t>SERVIÇOS DE INSTALAÇÃO DE EQUIPAMENTOS</t>
  </si>
  <si>
    <t>JFPB-15002242</t>
  </si>
  <si>
    <t>SERVIÇO DE INSTALAÇÃO DE ELEVADOR COMERCIAL- 5 PARADAS - 1,00M/S - CAP. 10/11 PASSAGEIROS</t>
  </si>
  <si>
    <t>JFPB-46762236</t>
  </si>
  <si>
    <t>SERVIÇO DE INSTALAÇÃO DE ELEVADOR COMERCIAL- 6 PARADAS - 1,00M/S - CAP. 10/11 PASSAGEIROS</t>
  </si>
  <si>
    <t>OUTROS SERVIÇOS</t>
  </si>
  <si>
    <t>7.4</t>
  </si>
  <si>
    <t>7.5</t>
  </si>
  <si>
    <t>7.6</t>
  </si>
  <si>
    <t>7.7</t>
  </si>
  <si>
    <t>7.8</t>
  </si>
  <si>
    <t>7.9</t>
  </si>
  <si>
    <t>7.10</t>
  </si>
  <si>
    <t>7.11</t>
  </si>
  <si>
    <t>7.12</t>
  </si>
  <si>
    <t>7.13</t>
  </si>
  <si>
    <t>7.14</t>
  </si>
  <si>
    <t>7.15</t>
  </si>
  <si>
    <t>7.16</t>
  </si>
  <si>
    <t>93669</t>
  </si>
  <si>
    <t>DISJUNTOR TRIPOLAR TIPO DIN, CORRENTE NOMINAL DE 20A - FORNECIMENTO E INSTALAÇÃO. AF_10/2020</t>
  </si>
  <si>
    <t>97607</t>
  </si>
  <si>
    <t>LUMINÁRIA ARANDELA TIPO TARTARUGA, DE SOBREPOR, COM 1 LÂMPADA LED DE 6 W, SEM REATOR - FORNECIMENTO E INSTALAÇÃO. AF_09/2024 (GRUPO A - CARRO 1)</t>
  </si>
  <si>
    <t>LUMINÁRIA ARANDELA TIPO TARTARUGA, DE SOBREPOR, COM 1 LÂMPADA LED DE 6 W, SEM REATOR - FORNECIMENTO E INSTALAÇÃO. AF_09/2024 (GRUPO A - CARRO 2)</t>
  </si>
  <si>
    <t>LUMINÁRIA ARANDELA TIPO TARTARUGA, DE SOBREPOR, COM 1 LÂMPADA LED DE 6 W, SEM REATOR - FORNECIMENTO E INSTALAÇÃO. AF_09/2024 (GRUPO A - CARRO 3)</t>
  </si>
  <si>
    <t>LUMINÁRIA ARANDELA TIPO TARTARUGA, DE SOBREPOR, COM 1 LÂMPADA LED DE 6 W, SEM REATOR - FORNECIMENTO E INSTALAÇÃO. AF_09/2024 (GRUPO B)</t>
  </si>
  <si>
    <t>95728</t>
  </si>
  <si>
    <t>ELETRODUTO RÍGIDO SOLDÁVEL, PVC, DN 32 MM (1"), APARENTE - FORNECIMENTO E INSTALAÇÃO. AF_10/2022_PA (GRUPO A - CARRO 1)</t>
  </si>
  <si>
    <t>ELETRODUTO RÍGIDO SOLDÁVEL, PVC, DN 32 MM (1"), APARENTE - FORNECIMENTO E INSTALAÇÃO. AF_10/2022_PA (GRUPO A - CARRO 3)</t>
  </si>
  <si>
    <t>ELETRODUTO RÍGIDO SOLDÁVEL, PVC, DN 32 MM (1"), APARENTE - FORNECIMENTO E INSTALAÇÃO. AF_10/2022_PA (GRUPO B)</t>
  </si>
  <si>
    <t>104403</t>
  </si>
  <si>
    <t>CONDULETE DE PVC, TIPO C, PARA ELETRODUTO DE PVC SOLDÁVEL DN 32 MM (1''), APARENTE - FORNECIMENTO E INSTALAÇÃO. AF_10/2022 (GRUPO A - CARRO 1)</t>
  </si>
  <si>
    <t>CONDULETE DE PVC, TIPO C, PARA ELETRODUTO DE PVC SOLDÁVEL DN 32 MM (1''), APARENTE - FORNECIMENTO E INSTALAÇÃO. AF_10/2022 (GRUPO A - CARRO 2)</t>
  </si>
  <si>
    <t>CONDULETE DE PVC, TIPO C, PARA ELETRODUTO DE PVC SOLDÁVEL DN 32 MM (1''), APARENTE - FORNECIMENTO E INSTALAÇÃO. AF_10/2022 (GRUPO A - CARRO 3)</t>
  </si>
  <si>
    <t>CONDULETE DE PVC, TIPO C, PARA ELETRODUTO DE PVC SOLDÁVEL DN 32 MM (1''), APARENTE - FORNECIMENTO E INSTALAÇÃO. AF_10/2022 (GRUPO B)</t>
  </si>
  <si>
    <t>91927</t>
  </si>
  <si>
    <t>CABO DE COBRE FLEXÍVEL ISOLADO, 2,5 MM², ANTI-CHAMA 0,6/1,0 KV, PARA CIRCUITOS TERMINAIS - FORNECIMENTO E INSTALAÇÃO. AF_03/2023 (GRUPO A - CARRO 1)</t>
  </si>
  <si>
    <t>CABO DE COBRE FLEXÍVEL ISOLADO, 2,5 MM², ANTI-CHAMA 0,6/1,0 KV, PARA CIRCUITOS TERMINAIS - FORNECIMENTO E INSTALAÇÃO. AF_03/2023 (GRUPO A - CARRO 2)</t>
  </si>
  <si>
    <t>CABO DE COBRE FLEXÍVEL ISOLADO, 2,5 MM², ANTI-CHAMA 0,6/1,0 KV, PARA CIRCUITOS TERMINAIS - FORNECIMENTO E INSTALAÇÃO. AF_03/2023 (GRUPO A - CARRO 3)</t>
  </si>
  <si>
    <t>CABO DE COBRE FLEXÍVEL ISOLADO, 2,5 MM², ANTI-CHAMA 0,6/1,0 KV, PARA CIRCUITOS TERMINAIS - FORNECIMENTO E INSTALAÇÃO. AF_03/2023 (GRUPO B)</t>
  </si>
  <si>
    <t>(utilizando mesmo canteiro deixado pela subestação)</t>
  </si>
  <si>
    <t xml:space="preserve">Numero de unidades no grupo </t>
  </si>
  <si>
    <t>unidade</t>
  </si>
  <si>
    <t>Alvenaria piso 2</t>
  </si>
  <si>
    <t>Alvenaria piso 3</t>
  </si>
  <si>
    <t>Alvenaria piso 4</t>
  </si>
  <si>
    <t>compr</t>
  </si>
  <si>
    <t>Parada 1</t>
  </si>
  <si>
    <t>Alvenaria piso 5</t>
  </si>
  <si>
    <t>Mesmos vãos da parede entre carros 1 e 2</t>
  </si>
  <si>
    <t>Perimetro</t>
  </si>
  <si>
    <t>Altura</t>
  </si>
  <si>
    <t>Desconto por portas</t>
  </si>
  <si>
    <t>Numero de portas</t>
  </si>
  <si>
    <t>und</t>
  </si>
  <si>
    <t>LIMPEZA DE SUPERFÍCIE COM JATO DE ALTA PRESSÃO. AF_04/2019 (GRUPO A - CARRO 1)</t>
  </si>
  <si>
    <t>LIMPEZA DE SUPERFÍCIE COM JATO DE ALTA PRESSÃO. AF_04/2019 (GRUPO A - CARRO 2)</t>
  </si>
  <si>
    <t>LIMPEZA DE SUPERFÍCIE COM JATO DE ALTA PRESSÃO. AF_04/2019 (GRUPO A - CARRO 3)</t>
  </si>
  <si>
    <t>LIMPEZA DE SUPERFÍCIE COM JATO DE ALTA PRESSÃO. AF_04/2019 (GRUPO B)</t>
  </si>
  <si>
    <t>Peça - Frente lateral esquerda</t>
  </si>
  <si>
    <t>Peça - Frente lateral direita</t>
  </si>
  <si>
    <t>Peça - Frente topo</t>
  </si>
  <si>
    <t>Peça - Portal interno esquerda</t>
  </si>
  <si>
    <t>Peça - Portal interno direita</t>
  </si>
  <si>
    <t>Peça - Portal interno topo</t>
  </si>
  <si>
    <t>Igual Grupo A - Carro 1</t>
  </si>
  <si>
    <t>Quantidade de portas</t>
  </si>
  <si>
    <t>Largura da porta</t>
  </si>
  <si>
    <t>Quantidade de elevadores</t>
  </si>
  <si>
    <t>Quantidade por elevador</t>
  </si>
  <si>
    <t>Quantidade por parada ou fosso</t>
  </si>
  <si>
    <t>Numero de paradas + fosso</t>
  </si>
  <si>
    <t>Trajeto quadro descida</t>
  </si>
  <si>
    <t>Descida até o fosso</t>
  </si>
  <si>
    <t>Arandelas</t>
  </si>
  <si>
    <t>Trajeto</t>
  </si>
  <si>
    <t>Folga de ligação</t>
  </si>
  <si>
    <t>Número de pernas</t>
  </si>
  <si>
    <t>7.17</t>
  </si>
  <si>
    <t>ELETRODUTO RÍGIDO SOLDÁVEL, PVC, DN 32 MM (1"), APARENTE - FORNECIMENTO E INSTALAÇÃO. AF_10/2022_PA (GRUPO A - CARRO 2)</t>
  </si>
  <si>
    <t>Comprimento do carro</t>
  </si>
  <si>
    <t>TOTAL Encargos Complementares:</t>
  </si>
  <si>
    <t>TOTAL Mão de Obra:</t>
  </si>
  <si>
    <t>88831</t>
  </si>
  <si>
    <t>BETONEIRA CAPACIDADE NOMINAL DE 400 L, CAPACIDADE DE MISTURA 280 L, MOTOR ELÉTRICO TRIFÁSICO POTÊNCIA DE 2 CV, SEM CARREGADOR - CHI DIURNO. AF_05/2023</t>
  </si>
  <si>
    <t>88830</t>
  </si>
  <si>
    <t>BETONEIRA CAPACIDADE NOMINAL DE 400 L, CAPACIDADE DE MISTURA 280 L, MOTOR ELÉTRICO TRIFÁSICO POTÊNCIA DE 2 CV, SEM CARREGADOR - CHP DIURNO. AF_05/2023</t>
  </si>
  <si>
    <t>TOTAL Equipamento Custo Horário:</t>
  </si>
  <si>
    <t>00001106</t>
  </si>
  <si>
    <t>CAL HIDRATADA CH-I PARA ARGAMASSAS</t>
  </si>
  <si>
    <t>88377</t>
  </si>
  <si>
    <t>OPERADOR DE BETONEIRA ESTACIONÁRIA/MISTURADOR COM ENCARGOS COMPLEMENTARES</t>
  </si>
  <si>
    <t>TOTAL Mão de Obra com Encargos Complementares:</t>
  </si>
  <si>
    <t>88826</t>
  </si>
  <si>
    <t>BETONEIRA CAPACIDADE NOMINAL DE 400 L, CAPACIDADE DE MISTURA 280 L, MOTOR ELÉTRICO TRIFÁSICO POTÊNCIA DE 2 CV, SEM CARREGADOR - DEPRECIAÇÃO. AF_05/2023</t>
  </si>
  <si>
    <t>88827</t>
  </si>
  <si>
    <t>BETONEIRA CAPACIDADE NOMINAL DE 400 L, CAPACIDADE DE MISTURA 280 L, MOTOR ELÉTRICO TRIFÁSICO POTÊNCIA DE 2 CV, SEM CARREGADOR - JUROS. AF_05/2023</t>
  </si>
  <si>
    <t>88828</t>
  </si>
  <si>
    <t>BETONEIRA CAPACIDADE NOMINAL DE 400 L, CAPACIDADE DE MISTURA 280 L, MOTOR ELÉTRICO TRIFÁSICO POTÊNCIA DE 2 CV, SEM CARREGADOR - MANUTENÇÃO. AF_05/2023</t>
  </si>
  <si>
    <t>88829</t>
  </si>
  <si>
    <t>BETONEIRA CAPACIDADE NOMINAL DE 400 L, CAPACIDADE DE MISTURA 280 L, MOTOR ELÉTRICO TRIFÁSICO POTÊNCIA DE 2 CV, SEM CARREGADOR - MATERIAIS NA OPERAÇÃO. AF_05/2023</t>
  </si>
  <si>
    <t>00010535</t>
  </si>
  <si>
    <t>BETONEIRA CAPACIDADE NOMINAL 400 L, CAPACIDADE DE MISTURA 280 L, MOTOR ELETRICO TRIFASICO 220/380 V POTENCIA 2 CV, SEM CARREGADOR</t>
  </si>
  <si>
    <t>00004755</t>
  </si>
  <si>
    <t>MARMORISTA / GRANITEIRO (HORISTA)</t>
  </si>
  <si>
    <t>00037666</t>
  </si>
  <si>
    <t>OPERADOR DE BETONEIRA ESTACIONARIA / MISTURADOR (HORISTA)</t>
  </si>
  <si>
    <t>00000392</t>
  </si>
  <si>
    <t>ABRACADEIRA EM ACO PARA AMARRACAO DE ELETRODUTOS, TIPO D, COM 1/2" E PARAFUSO DE FIXACAO</t>
  </si>
  <si>
    <t>88248</t>
  </si>
  <si>
    <t>88267</t>
  </si>
  <si>
    <t>99829</t>
  </si>
  <si>
    <t>LAVADORA DE ALTA PRESSAO (LAVA-JATO) PARA AGUA FRIA, PRESSAO DE OPERACAO ENTRE 1400 E 1900 LIB/POL2, VAZAO MAXIMA ENTRE 400 E 700 L/H - DEPRECIAÇÃO. AF_05/2023</t>
  </si>
  <si>
    <t>99830</t>
  </si>
  <si>
    <t>LAVADORA DE ALTA PRESSAO (LAVA-JATO) PARA AGUA FRIA, PRESSAO DE OPERACAO ENTRE 1400 E 1900 LIB/POL2, VAZAO MAXIMA ENTRE 400 E 700 L/H - JUROS. AF_05/2023</t>
  </si>
  <si>
    <t>99831</t>
  </si>
  <si>
    <t>LAVADORA DE ALTA PRESSAO (LAVA-JATO) PARA AGUA FRIA, PRESSAO DE OPERACAO ENTRE 1400 E 1900 LIB/POL2, VAZAO MAXIMA ENTRE 400 E 700 L/H - MANUTENÇÃO. AF_05/2023</t>
  </si>
  <si>
    <t>99832</t>
  </si>
  <si>
    <t>LAVADORA DE ALTA PRESSAO (LAVA-JATO) PARA AGUA FRIA, PRESSAO DE OPERACAO ENTRE 1400 E 1900 LIB/POL2, VAZAO MAXIMA ENTRE 400 E 700 L/H - MATERIAIS NA OPERAÇÃO. AF_05/2023</t>
  </si>
  <si>
    <t>00000746</t>
  </si>
  <si>
    <t>LAVADORA DE ALTA PRESSAO (LAVA - JATO) PARA AGUA FRIA, PRESSAO DE OPERACAO ENTRE 1400 E 1900 LIB/POL2, VAZAO MAXIMA ENTRE 400 E 700 L/H, POTENCIA DE OPERACAO ENTRE 2,50 E 3,00 CV</t>
  </si>
  <si>
    <t>95341</t>
  </si>
  <si>
    <t>CURSO DE CAPACITAÇÃO PARA MARMORISTA/GRANITEIRO (ENCARGOS COMPLEMENTARES) - HORISTA</t>
  </si>
  <si>
    <t>95389</t>
  </si>
  <si>
    <t>CURSO DE CAPACITAÇÃO PARA OPERADOR DE BETONEIRA ESTACIONÁRIA/MISTURADOR (ENCARGOS COMPLEMENTARES) - HORISTA</t>
  </si>
  <si>
    <t>ARGAMASSA TRAÇO 1:0,5:4,5 (EM VOLUME DE CIMENTO, CAL E AREIA MÉDIA ÚMIDA), PREPARO MECÂNICO COM BETONEIRA 400 L. AF_08/2019 (M3)</t>
  </si>
  <si>
    <t>BETONEIRA CAPACIDADE NOMINAL DE 400 L, CAPACIDADE DE MISTURA 280 L, MOTOR ELÉTRICO TRIFÁSICO POTÊNCIA DE 2 CV, SEM CARREGADOR - CHI DIURNO. AF_05/2023 (CHI)</t>
  </si>
  <si>
    <t>BETONEIRA CAPACIDADE NOMINAL DE 400 L, CAPACIDADE DE MISTURA 280 L, MOTOR ELÉTRICO TRIFÁSICO POTÊNCIA DE 2 CV, SEM CARREGADOR - CHP DIURNO. AF_05/2023 (CHP)</t>
  </si>
  <si>
    <t>BETONEIRA CAPACIDADE NOMINAL DE 400 L, CAPACIDADE DE MISTURA 280 L, MOTOR ELÉTRICO TRIFÁSICO POTÊNCIA DE 2 CV, SEM CARREGADOR - DEPRECIAÇÃO. AF_05/2023 (H)</t>
  </si>
  <si>
    <t>BETONEIRA CAPACIDADE NOMINAL DE 400 L, CAPACIDADE DE MISTURA 280 L, MOTOR ELÉTRICO TRIFÁSICO POTÊNCIA DE 2 CV, SEM CARREGADOR - JUROS. AF_05/2023 (H)</t>
  </si>
  <si>
    <t>BETONEIRA CAPACIDADE NOMINAL DE 400 L, CAPACIDADE DE MISTURA 280 L, MOTOR ELÉTRICO TRIFÁSICO POTÊNCIA DE 2 CV, SEM CARREGADOR - MANUTENÇÃO. AF_05/2023 (H)</t>
  </si>
  <si>
    <t>BETONEIRA CAPACIDADE NOMINAL DE 400 L, CAPACIDADE DE MISTURA 280 L, MOTOR ELÉTRICO TRIFÁSICO POTÊNCIA DE 2 CV, SEM CARREGADOR - MATERIAIS NA OPERAÇÃO. AF_05/2023 (H)</t>
  </si>
  <si>
    <t>OPERADOR DE BETONEIRA ESTACIONÁRIA/MISTURADOR COM ENCARGOS COMPLEMENTARES (H)</t>
  </si>
  <si>
    <t>MARMORISTA/GRANITEIRO COM ENCARGOS COMPLEMENTARES (H)</t>
  </si>
  <si>
    <t>LAVADORA DE ALTA PRESSAO (LAVA-JATO) PARA AGUA FRIA, PRESSAO DE OPERACAO ENTRE 1400 E 1900 LIB/POL2, VAZAO MAXIMA ENTRE 400 E 700 L/H - MATERIAIS NA OPERAÇÃO. AF_05/2023 (H)</t>
  </si>
  <si>
    <t>LAVADORA DE ALTA PRESSAO (LAVA-JATO) PARA AGUA FRIA, PRESSAO DE OPERACAO ENTRE 1400 E 1900 LIB/POL2, VAZAO MAXIMA ENTRE 400 E 700 L/H - MANUTENÇÃO. AF_05/2023 (H)</t>
  </si>
  <si>
    <t>LAVADORA DE ALTA PRESSAO (LAVA-JATO) PARA AGUA FRIA, PRESSAO DE OPERACAO ENTRE 1400 E 1900 LIB/POL2, VAZAO MAXIMA ENTRE 400 E 700 L/H - JUROS. AF_05/2023 (H)</t>
  </si>
  <si>
    <t>LAVADORA DE ALTA PRESSAO (LAVA-JATO) PARA AGUA FRIA, PRESSAO DE OPERACAO ENTRE 1400 E 1900 LIB/POL2, VAZAO MAXIMA ENTRE 400 E 700 L/H - DEPRECIAÇÃO. AF_05/2023 (H)</t>
  </si>
  <si>
    <t>LAVADORA DE ALTA PRESSAO (LAVA-JATO) PARA AGUA FRIA, PRESSAO DE OPERACAO ENTRE 1400 E 1900 LIB/POL2, VAZAO MAXIMA ENTRE 400 E 700 L/H - CHP DIURNO. AF_05/2023 (CHP)</t>
  </si>
  <si>
    <t>GUINDAUTO HIDRÁULICO, CAPACIDADE MÁXIMA DE CARGA 6200 KG, MOMENTO MÁXIMO DE CARGA 11,7 TM, ALCANCE MÁXIMO HORIZONTAL 9,70 M, INCLUSIVE CAMINHÃO TOCO PBT 16.000 KG, POTÊNCIA DE 189 CV - MANUTENÇÃO. AF_06/2014 (H)</t>
  </si>
  <si>
    <t>FIXAÇÃO DE TUBOS HORIZONTAIS DE PVC ÁGUA, PVC ESGOTO, PVC ÁGUA PLUVIAL, CPVC, PPR, COBRE OU AÇO, DIÂMETROS MENORES OU IGUAIS A 40 MM, COM ABRAÇADEIRA METÁLICA RÍGIDA TIPO U PERFIL 1 1/4", FIXADA EM PERFILADO EM LAJE. AF_09/2023_PS (M)</t>
  </si>
  <si>
    <t>CURSO DE CAPACITAÇÃO PARA TÉCNICO EM SEGURANÇA DO TRABALHO (ENCARGOS COMPLEMENTARES) - MENSALISTA (MES)</t>
  </si>
  <si>
    <t>CURSO DE CAPACITAÇÃO PARA OPERADOR DE BETONEIRA ESTACIONÁRIA/MISTURADOR (ENCARGOS COMPLEMENTARES) - HORISTA (H)</t>
  </si>
  <si>
    <t>CURSO DE CAPACITAÇÃO PARA MARMORISTA/GRANITEIRO (ENCARGOS COMPLEMENTARES) - HORISTA (H)</t>
  </si>
  <si>
    <t>LAVADORA DE ALTA PRESSAO (LAVA-JATO) PARA AGUA FRIA, PRESSAO DE OPERACAO ENTRE 1400 E 1900 LIB/POL2, VAZAO MAXIMA ENTRE 400 E 700 L/H - CHP DIURNO. AF_05/2023</t>
  </si>
  <si>
    <t>BLOCO DE CONCRETO ESTRUTURAL 14 X 19 X 29 CM, FBK 14 MPA (NBR 6136)</t>
  </si>
  <si>
    <t>CANALETA DE CONCRETO ESTRUTURAL 14 X 19 X 29 CM, FBK 14 MPA (NBR 6136)</t>
  </si>
  <si>
    <t>MEIO BLOCO DE CONCRETO ESTRUTURAL 14 X 19 X 14 CM, FBK 14 MPA (NBR 6136)</t>
  </si>
  <si>
    <t>ARGAMASSA TRAÇO 1:0,5:4,5 (EM VOLUME DE CIMENTO, CAL E AREIA MÉDIA ÚMIDA), PREPARO MECÂNICO COM BETONEIRA 400 L. AF_08/2019</t>
  </si>
  <si>
    <t>TINTA LATEX ACRILICA STANDARD, COR BRANCA</t>
  </si>
  <si>
    <t>ADESIVO ESTRUTURAL A BASE DE RESINA EPOXI, BICOMPONENTE, PASTOSO (TIXOTROPICO)</t>
  </si>
  <si>
    <t>ARGAMASSA COLANTE TIPO AC III E</t>
  </si>
  <si>
    <t>DIVISORIA EM GRANITO, COM DUAS FACES POLIDAS, TIPO ANDORINHA/ QUARTZ/ CASTELO/ CORUMBA OU OUTROS EQUIVALENTES DA REGIAO, E= *3,0* CM</t>
  </si>
  <si>
    <t>MARMORISTA/GRANITEIRO COM ENCARGOS COMPLEMENTARES</t>
  </si>
  <si>
    <t>ARGAMASSA COLANTE TIPO AC III</t>
  </si>
  <si>
    <t>SOLEIRA EM GRANITO, POLIDO, TIPO ANDORINHA/ QUARTZ/ CASTELO/ CORUMBA OU OUTROS EQUIVALENTES DA REGIAO, L= *15* CM, E= *2,0* CM</t>
  </si>
  <si>
    <t>JFPB-I-46073324</t>
  </si>
  <si>
    <t>FORNECIMENTO DE ELEVADOR  COMERCIAL- 5 PARADAS - 1,00M/S - CAP. 10/11 PASSAGEIROS</t>
  </si>
  <si>
    <t>JFPB-I-15924499</t>
  </si>
  <si>
    <t>FORNECIMENTO DE ELEVADOR COMERCIAL- 6 PARADAS - 1,00M/S - CAP. 10/11 PASSAGEIROS</t>
  </si>
  <si>
    <t>JFPB-76618163</t>
  </si>
  <si>
    <t>SERVIÇO DE INSTALAÇÃO DE ELEVADOR  COMERCIAL- 5 PARADAS - 1,00M/S - CAP. 10/11 PASSAGEIROS</t>
  </si>
  <si>
    <t>JFPB-I-37767375</t>
  </si>
  <si>
    <t>SERVIÇO DE INSTALAÇÃO DE ELEVADOR  COMERCIAL- 6 PARADAS - 1,00M/S - CAP. 10/11 PASSAGEIROS</t>
  </si>
  <si>
    <t>DISJUNTOR TERMOMAGNETICO PARA TRILHO DIN (IEC), TRIPOLAR, 10 - 50 A</t>
  </si>
  <si>
    <t>TERMINAL A COMPRESSAO EM COBRE ESTANHADO PARA CABO 4 MM2, 1 FURO E 1 COMPRESSAO, PARA PARAFUSO DE FIXACAO M5</t>
  </si>
  <si>
    <t>LAMPADA LED 6 W BIVOLT BRANCA, FORMATO TRADICIONAL (BASE E27)</t>
  </si>
  <si>
    <t>LUMINARIA TIPO TARTARUGA PARA AREA EXTERNA EM ALUMINIO, COM GRADE, PARA 1 LAMPADA, BASE E27, POTENCIA MAXIMA 40/60 W (NAO INCLUI LAMPADA)</t>
  </si>
  <si>
    <t>ELETRODUTO DE PVC RIGIDO SOLDAVEL, CLASSE B, DE 32 MM</t>
  </si>
  <si>
    <t>FIXAÇÃO DE TUBOS HORIZONTAIS DE PVC ÁGUA, PVC ESGOTO, PVC ÁGUA PLUVIAL, CPVC, PPR, COBRE OU AÇO, DIÂMETROS MENORES OU IGUAIS A 40 MM, COM ABRAÇADEIRA METÁLICA RÍGIDA TIPO U PERFIL 1 1/4", FIXADA EM PERFILADO EM LAJE. AF_09/2023_PS</t>
  </si>
  <si>
    <t>CONDULETE EM PVC, TIPO "C", SEM TAMPA, DE 1"</t>
  </si>
  <si>
    <t>ADMINISTRAÇÃO LOCAL DA OBRA - SUBSTITUIÇÃO DE ELEVADORES NA SEDE DA JUSTIÇA FEDERAL NA PARAÍBA (UN)</t>
  </si>
  <si>
    <t>DESMONTAGEM COMPLETA DE ELEVADOR - INCLUSO CABINES, SISTEMAS DE TRAÇÃO E TRANSPORTE, FOSSO E ACESSÓRIOS (GRUPO A - CARRO 1) (M)</t>
  </si>
  <si>
    <t>LIMPEZA DE SUPERFÍCIE COM JATO DE ALTA PRESSÃO. AF_04/2019 (GRUPO A - CARRO 1) (M2)</t>
  </si>
  <si>
    <t>ALVENARIA DE BLOCOS DE CONCRETO ESTRUTURAL 14X19X29 CM (ESPESSURA 14 CM), FBK = 14 MPA, UTILIZANDO COLHER DE PEDREIRO. AF_10/2022 (GRUPO A - VÃO ENTRE CARROS 1 e 2) (M2)</t>
  </si>
  <si>
    <t>PINTURA LÁTEX ACRÍLICA STANDARD, APLICAÇÃO MANUAL EM PAREDES, DUAS DEMÃOS. AF_04/2023 (GRUPO A - CARRO 1) (M2)</t>
  </si>
  <si>
    <t>PORTAL EM GRANITO CINZA ANDORINHA PARA PORTA DE ELEVADOR - FORNECIMENTO E INSTALAÇÃO (GRUPO A - CARRO 1) (M2)</t>
  </si>
  <si>
    <t>SOLEIRA EM GRANITO, LARGURA 25 CM, ESPESSURA 2,0 CM FORNECIMENTO E INSTALAÇÃO (GRUPO A - CARRO 1) (M)</t>
  </si>
  <si>
    <t>FORNECIMENTO DE ELEVADOR COMERCIAL- 5 PARADAS - 1,00M/S - CAP. 10/11 PASSAGEIROS (UN)</t>
  </si>
  <si>
    <t>FORNECIMENTO DE ELEVADOR COMERCIAL- 6 PARADAS - 1,00M/S - CAP. 10/11 PASSAGEIROS (UN)</t>
  </si>
  <si>
    <t>SERVIÇO DE INSTALAÇÃO DE ELEVADOR COMERCIAL- 5 PARADAS - 1,00M/S - CAP. 10/11 PASSAGEIROS (UN)</t>
  </si>
  <si>
    <t>SERVIÇO DE INSTALAÇÃO DE ELEVADOR COMERCIAL- 6 PARADAS - 1,00M/S - CAP. 10/11 PASSAGEIROS (UN)</t>
  </si>
  <si>
    <t>DISJUNTOR TRIPOLAR TIPO DIN, CORRENTE NOMINAL DE 20A - FORNECIMENTO E INSTALAÇÃO. AF_10/2020 (UN)</t>
  </si>
  <si>
    <t>LUMINÁRIA ARANDELA TIPO TARTARUGA, DE SOBREPOR, COM 1 LÂMPADA LED DE 6 W, SEM REATOR - FORNECIMENTO E INSTALAÇÃO. AF_09/2024 (GRUPO A - CARRO 1) (UN)</t>
  </si>
  <si>
    <t>ELETRODUTO RÍGIDO SOLDÁVEL, PVC, DN 32 MM (1"), APARENTE - FORNECIMENTO E INSTALAÇÃO. AF_10/2022_PA (GRUPO A - CARRO 1) (M)</t>
  </si>
  <si>
    <t>CONDULETE DE PVC, TIPO C, PARA ELETRODUTO DE PVC SOLDÁVEL DN 32 MM (1''), APARENTE - FORNECIMENTO E INSTALAÇÃO. AF_10/2022 (GRUPO A - CARRO 1) (UN)</t>
  </si>
  <si>
    <t>CABO DE COBRE FLEXÍVEL ISOLADO, 2,5 MM², ANTI-CHAMA 0,6/1,0 KV, PARA CIRCUITOS TERMINAIS - FORNECIMENTO E INSTALAÇÃO. AF_03/2023 (GRUPO A - CARRO 1) (M)</t>
  </si>
  <si>
    <t>FORNECIMENTO DE ELEVADOR COMERCIAL- 5 PARADAS - 1,00M/S - CAP. 10/11 PASSAGEIROS</t>
  </si>
  <si>
    <t>TKE</t>
  </si>
  <si>
    <t>ATLAS SCHINDLER</t>
  </si>
  <si>
    <t>90.347.840./0001-18</t>
  </si>
  <si>
    <t>00.028.986/0147-53</t>
  </si>
  <si>
    <t>01/11/24</t>
  </si>
  <si>
    <t>07/11/24</t>
  </si>
  <si>
    <t>Rodrigo Ferreira</t>
  </si>
  <si>
    <t>Candida Galindo</t>
  </si>
  <si>
    <t>rodrigo.silva7@tkelevator.com</t>
  </si>
  <si>
    <t xml:space="preserve"> candida.galindo@schindler.com</t>
  </si>
  <si>
    <t>FORNECIMENTO DE ELEVADOR  COMERCIAL- 6 PARADAS - 1,00M/S - CAP. 10/11 PASSAGEIROS</t>
  </si>
  <si>
    <t>Observações sobre a formação do preço dos elevadores</t>
  </si>
  <si>
    <t>Considerando que as empresas forneceram cotação para o conjunto completo (e não por equipamento individualizado) os valores por unidade foram aferidos considerando a divisão do valor global pelo número total de paradas e, em seguida, distribuindo ppr cada carro. Desse modo temos:</t>
  </si>
  <si>
    <t>Número total de paradas - Grupo A - 1</t>
  </si>
  <si>
    <t>Fornecedor</t>
  </si>
  <si>
    <t>Preço total</t>
  </si>
  <si>
    <t>Preço por parada</t>
  </si>
  <si>
    <t>Número total de paradas - Grupo A - 2</t>
  </si>
  <si>
    <t>Preço TKE:</t>
  </si>
  <si>
    <t>Número total de paradas - Grupo A - 3</t>
  </si>
  <si>
    <t>Número total de paradas - Grupo B</t>
  </si>
  <si>
    <t>Preço Atlas:</t>
  </si>
  <si>
    <t>Total:</t>
  </si>
  <si>
    <t>Os valores aqui lançados correspondem ao fornecimento do equipamento sendo a MO lançada em item separado.</t>
  </si>
  <si>
    <t>Elevador de 5 paradas</t>
  </si>
  <si>
    <t>Elevador de 6 paradas</t>
  </si>
  <si>
    <t>Para confirmação dos preços dos elevadores efetuamos busca em outras tabelas públicas e procedemos a valoraçãl por parada para comparar com os preços cotados. Dai obtivemos o seguinte:</t>
  </si>
  <si>
    <t>Fonte / Código</t>
  </si>
  <si>
    <t>No Paradas</t>
  </si>
  <si>
    <t>Valor</t>
  </si>
  <si>
    <t>EMOP - 18.040.0030-0</t>
  </si>
  <si>
    <t>SIURB - 17.010.004 (E)</t>
  </si>
  <si>
    <t>SP Obras - 61.01.770</t>
  </si>
  <si>
    <t>Aferido por cotação (MAT+MO) por parada:</t>
  </si>
  <si>
    <t>Pela comparação com as tabelas públicas disponiveis podemos verificar que existe alto grau de confiança nos preços aferidos por cotação.</t>
  </si>
  <si>
    <t>6.1</t>
  </si>
  <si>
    <t>6.2</t>
  </si>
  <si>
    <t>MÊS 5</t>
  </si>
  <si>
    <t>MÊS 6</t>
  </si>
  <si>
    <t>MÊS 7</t>
  </si>
  <si>
    <t>MÊS 8</t>
  </si>
  <si>
    <t>MÊS 9</t>
  </si>
  <si>
    <t>MÊS 10</t>
  </si>
  <si>
    <t>MÊS 11</t>
  </si>
  <si>
    <t>MÊS 12</t>
  </si>
  <si>
    <t>MÊS 13</t>
  </si>
  <si>
    <t>MÊS 14</t>
  </si>
  <si>
    <t>MÊS 15</t>
  </si>
  <si>
    <t>MÊS 16</t>
  </si>
  <si>
    <t>KONE</t>
  </si>
  <si>
    <t xml:space="preserve">lcruz@oneelevadores.com.br </t>
  </si>
  <si>
    <t>Luiz Cruz</t>
  </si>
  <si>
    <t>23/10/2024</t>
  </si>
  <si>
    <t xml:space="preserve"> 30.012.492/0001-04</t>
  </si>
  <si>
    <t>Preço KONE:</t>
  </si>
  <si>
    <t>→</t>
  </si>
  <si>
    <t>Mês 8 a 16 = 9</t>
  </si>
  <si>
    <t>Mês 8 a 16 = 9 sendo ~48,8h/mês</t>
  </si>
  <si>
    <t>Mês 8 a 16 = 9 sendo ~97,6h/mês</t>
  </si>
  <si>
    <t>Considerando atividades no mês 8 ao 16 = 9 meses efetivos</t>
  </si>
  <si>
    <t>JOSÉ MENDONÇA FILHO SEGUNDO</t>
  </si>
  <si>
    <t>ENGENHEIRO MECÂNICO - CREA 060136183-0</t>
  </si>
  <si>
    <t>SUBSTITUIÇÃO DE ELEVADORES NA SEDE DA JUSTIÇA FEDERAL NA PARAÍBA - R2</t>
  </si>
  <si>
    <t>R2</t>
  </si>
  <si>
    <t>2025/02</t>
  </si>
  <si>
    <t>2025/01</t>
  </si>
  <si>
    <t>MONTADOR ELETROMECÂNICO COM ENCARGOS COMPLEMENTARES (H)</t>
  </si>
  <si>
    <t>CUSTO UNITÁRIO</t>
  </si>
  <si>
    <t>CUSTO
UNITÁRIO R$</t>
  </si>
  <si>
    <t>QNTD</t>
  </si>
  <si>
    <t>R2 - 15/04/2025</t>
  </si>
  <si>
    <t>VALOR TOTAL:</t>
  </si>
  <si>
    <t>Correção pela variação do INCC-DI no período de 15/11/2024 a 15/04/2025, c/ índice:</t>
  </si>
  <si>
    <t>ORÇAMENTO - PLANILHA DE INSUMOS</t>
  </si>
  <si>
    <t>BDI</t>
  </si>
  <si>
    <t>ACUMULADO</t>
  </si>
  <si>
    <t>MEDIÇÕES</t>
  </si>
  <si>
    <t>VALOR</t>
  </si>
  <si>
    <t>3.9</t>
  </si>
  <si>
    <t>3.10</t>
  </si>
  <si>
    <t>m3</t>
  </si>
  <si>
    <t>Fator empolamento</t>
  </si>
  <si>
    <t>(aplicado no total)</t>
  </si>
  <si>
    <t>Total Eqp.:</t>
  </si>
  <si>
    <t>ETAPA</t>
  </si>
  <si>
    <t>MEDIÇÃO 01</t>
  </si>
  <si>
    <t>MEDIÇÃO 02</t>
  </si>
  <si>
    <t>MEDIÇÃO 03</t>
  </si>
  <si>
    <t>MEDIÇÃO 04</t>
  </si>
  <si>
    <t>MEDIÇÃO 05</t>
  </si>
  <si>
    <t>MEDIÇÃO 06</t>
  </si>
  <si>
    <t>MEDIÇÃO 07</t>
  </si>
  <si>
    <t>MEDIÇÃO 08</t>
  </si>
  <si>
    <t>GRUPO</t>
  </si>
  <si>
    <t>% RELATIVO AO GRUPO</t>
  </si>
  <si>
    <t>SUBTOTAIS</t>
  </si>
  <si>
    <t>VALOR ETAPA (R$)</t>
  </si>
  <si>
    <r>
      <t xml:space="preserve">FORNECIMENTO DE ELEVADOR COMERCIAL- 5 PARADAS - 1,00M/S - CAP. 10/11 PASSAGEIROS </t>
    </r>
    <r>
      <rPr>
        <b/>
        <sz val="10"/>
        <color theme="1"/>
        <rFont val="Arial"/>
        <family val="2"/>
      </rPr>
      <t>(Aquisição de 3 elevadores - Pag. 1ª parcela)</t>
    </r>
  </si>
  <si>
    <r>
      <t xml:space="preserve">FORNECIMENTO DE ELEVADOR COMERCIAL- 6 PARADAS - 1,00M/S - CAP. 10/11 PASSAGEIROS </t>
    </r>
    <r>
      <rPr>
        <b/>
        <sz val="10"/>
        <color theme="1"/>
        <rFont val="Arial"/>
        <family val="2"/>
      </rPr>
      <t>(Aquisição de 1 elevador - Pag. 1ª parcela)</t>
    </r>
  </si>
  <si>
    <r>
      <t xml:space="preserve">FORNECIMENTO DE ELEVADOR COMERCIAL- 5 PARADAS - 1,00M/S - CAP. 10/11 PASSAGEIROS </t>
    </r>
    <r>
      <rPr>
        <b/>
        <sz val="10"/>
        <color theme="1"/>
        <rFont val="Arial"/>
        <family val="2"/>
      </rPr>
      <t>(Aquisição de 3 elevadores - Pag. 2ª parcela)</t>
    </r>
  </si>
  <si>
    <r>
      <t xml:space="preserve">FORNECIMENTO DE ELEVADOR COMERCIAL- 6 PARADAS - 1,00M/S - CAP. 10/11 PASSAGEIROS </t>
    </r>
    <r>
      <rPr>
        <b/>
        <sz val="10"/>
        <color theme="1"/>
        <rFont val="Arial"/>
        <family val="2"/>
      </rPr>
      <t>(Aquisição de 1 elevador - Pag. 2ª parcela)</t>
    </r>
  </si>
  <si>
    <r>
      <t xml:space="preserve">FORNECIMENTO DE ELEVADOR COMERCIAL- 5 PARADAS - 1,00M/S - CAP. 10/11 PASSAGEIROS </t>
    </r>
    <r>
      <rPr>
        <b/>
        <sz val="10"/>
        <color theme="1"/>
        <rFont val="Arial"/>
        <family val="2"/>
      </rPr>
      <t>(Aquisição de 3 elevadores - Pag. 3ª parcela)</t>
    </r>
  </si>
  <si>
    <r>
      <t xml:space="preserve">FORNECIMENTO DE ELEVADOR COMERCIAL- 6 PARADAS - 1,00M/S - CAP. 10/11 PASSAGEIROS </t>
    </r>
    <r>
      <rPr>
        <b/>
        <sz val="10"/>
        <color theme="1"/>
        <rFont val="Arial"/>
        <family val="2"/>
      </rPr>
      <t>(Aquisição de 1 elevador - Pag. 3ª parcela)</t>
    </r>
  </si>
  <si>
    <r>
      <t xml:space="preserve">FORNECIMENTO DE ELEVADOR COMERCIAL- 5 PARADAS - 1,00M/S - CAP. 10/11 PASSAGEIROS </t>
    </r>
    <r>
      <rPr>
        <b/>
        <sz val="10"/>
        <color theme="1"/>
        <rFont val="Arial"/>
        <family val="2"/>
      </rPr>
      <t>(Aquisição de 3 elevadores - Pag. 4ª parcela)</t>
    </r>
  </si>
  <si>
    <r>
      <t xml:space="preserve">FORNECIMENTO DE ELEVADOR COMERCIAL- 6 PARADAS - 1,00M/S - CAP. 10/11 PASSAGEIROS </t>
    </r>
    <r>
      <rPr>
        <b/>
        <sz val="10"/>
        <color theme="1"/>
        <rFont val="Arial"/>
        <family val="2"/>
      </rPr>
      <t>(Aquisição de 1 elevador - Pag. 4ª parcela)</t>
    </r>
  </si>
  <si>
    <r>
      <t xml:space="preserve">FORNECIMENTO DE ELEVADOR COMERCIAL- 5 PARADAS - 1,00M/S - CAP. 10/11 PASSAGEIROS </t>
    </r>
    <r>
      <rPr>
        <b/>
        <sz val="10"/>
        <color theme="1"/>
        <rFont val="Arial"/>
        <family val="2"/>
      </rPr>
      <t>(Aquisição de 3 elevadores - Pag. 5ª parcela)</t>
    </r>
  </si>
  <si>
    <r>
      <t xml:space="preserve">FORNECIMENTO DE ELEVADOR COMERCIAL- 6 PARADAS - 1,00M/S - CAP. 10/11 PASSAGEIROS </t>
    </r>
    <r>
      <rPr>
        <b/>
        <sz val="10"/>
        <color theme="1"/>
        <rFont val="Arial"/>
        <family val="2"/>
      </rPr>
      <t>(Aquisição de 1 elevador - Pag. 5ª parcela)</t>
    </r>
  </si>
  <si>
    <r>
      <t xml:space="preserve">FORNECIMENTO DE ELEVADOR COMERCIAL- 5 PARADAS - 1,00M/S - CAP. 10/11 PASSAGEIROS </t>
    </r>
    <r>
      <rPr>
        <b/>
        <sz val="10"/>
        <color theme="1"/>
        <rFont val="Arial"/>
        <family val="2"/>
      </rPr>
      <t>(Aquisição de 3 elevadores - Pag. 6ª parcela)</t>
    </r>
  </si>
  <si>
    <r>
      <t xml:space="preserve">FORNECIMENTO DE ELEVADOR COMERCIAL- 6 PARADAS - 1,00M/S - CAP. 10/11 PASSAGEIROS </t>
    </r>
    <r>
      <rPr>
        <b/>
        <sz val="10"/>
        <color theme="1"/>
        <rFont val="Arial"/>
        <family val="2"/>
      </rPr>
      <t>(Aquisição de 1 elevador - Pag. 6ª parcela)</t>
    </r>
  </si>
  <si>
    <r>
      <t xml:space="preserve">FORNECIMENTO DE ELEVADOR COMERCIAL- 5 PARADAS - 1,00M/S - CAP. 10/11 PASSAGEIROS </t>
    </r>
    <r>
      <rPr>
        <b/>
        <sz val="10"/>
        <color theme="1"/>
        <rFont val="Arial"/>
        <family val="2"/>
      </rPr>
      <t>(Aquisição de 3 elevadores - Pag. 7ª parcela)</t>
    </r>
  </si>
  <si>
    <r>
      <t xml:space="preserve">FORNECIMENTO DE ELEVADOR COMERCIAL- 6 PARADAS - 1,00M/S - CAP. 10/11 PASSAGEIROS </t>
    </r>
    <r>
      <rPr>
        <b/>
        <sz val="10"/>
        <color theme="1"/>
        <rFont val="Arial"/>
        <family val="2"/>
      </rPr>
      <t>(Aquisição de 1 elevador - Pag. 7ª parcela)</t>
    </r>
  </si>
  <si>
    <r>
      <t xml:space="preserve">ADMINISTRAÇÃO DA OBRA </t>
    </r>
    <r>
      <rPr>
        <b/>
        <sz val="10"/>
        <color theme="1"/>
        <rFont val="Arial"/>
        <family val="2"/>
      </rPr>
      <t>(Início do acompanhamento in loco)</t>
    </r>
  </si>
  <si>
    <r>
      <t xml:space="preserve">SERVIÇOS INICIAIS </t>
    </r>
    <r>
      <rPr>
        <b/>
        <sz val="10"/>
        <color theme="1"/>
        <rFont val="Arial"/>
        <family val="2"/>
      </rPr>
      <t>(Instalação do canteiro de obras)</t>
    </r>
  </si>
  <si>
    <r>
      <t xml:space="preserve">SERVIÇOS INICIAIS </t>
    </r>
    <r>
      <rPr>
        <b/>
        <sz val="10"/>
        <color theme="1"/>
        <rFont val="Arial"/>
        <family val="2"/>
      </rPr>
      <t>(Emissão de ART)</t>
    </r>
  </si>
  <si>
    <t>MEDIÇÃO 09</t>
  </si>
  <si>
    <r>
      <t xml:space="preserve">FORNECIMENTO DE ELEVADOR COMERCIAL- 5 PARADAS - 1,00M/S - CAP. 10/11 PASSAGEIROS </t>
    </r>
    <r>
      <rPr>
        <b/>
        <sz val="10"/>
        <color theme="1"/>
        <rFont val="Arial"/>
        <family val="2"/>
      </rPr>
      <t>(Aquisição de 3 elevadores - Pag. 8ª parcela)</t>
    </r>
  </si>
  <si>
    <r>
      <t xml:space="preserve">FORNECIMENTO DE ELEVADOR COMERCIAL- 6 PARADAS - 1,00M/S - CAP. 10/11 PASSAGEIROS </t>
    </r>
    <r>
      <rPr>
        <b/>
        <sz val="10"/>
        <color theme="1"/>
        <rFont val="Arial"/>
        <family val="2"/>
      </rPr>
      <t>(Aquisição de 1 elevador - Pag. 8ª parcela)</t>
    </r>
  </si>
  <si>
    <r>
      <t xml:space="preserve">DESMONTAGEM COMPLETA DE ELEVADOR - INCLUSO CABINES, SISTEMAS DE TRAÇÃO E TRANSPORTE, FOSSO E ACESSÓRIOS </t>
    </r>
    <r>
      <rPr>
        <b/>
        <sz val="10"/>
        <color theme="1"/>
        <rFont val="Arial"/>
        <family val="2"/>
      </rPr>
      <t>(GRUPO A - CARRO 1)</t>
    </r>
  </si>
  <si>
    <r>
      <t xml:space="preserve">DESMONTAGEM COMPLETA DE ELEVADOR - INCLUSO CABINES, SISTEMAS DE TRAÇÃO E TRANSPORTE, FOSSO E ACESSÓRIOS </t>
    </r>
    <r>
      <rPr>
        <b/>
        <sz val="10"/>
        <color theme="1"/>
        <rFont val="Arial"/>
        <family val="2"/>
      </rPr>
      <t>(GRUPO A - CARRO 2)</t>
    </r>
  </si>
  <si>
    <r>
      <t xml:space="preserve">LIMPEZA DE SUPERFÍCIE COM JATO DE ALTA PRESSÃO. AF_04/2019 </t>
    </r>
    <r>
      <rPr>
        <b/>
        <sz val="10"/>
        <color theme="1"/>
        <rFont val="Arial"/>
        <family val="2"/>
      </rPr>
      <t>(GRUPO A - CARRO 1)</t>
    </r>
  </si>
  <si>
    <r>
      <t xml:space="preserve">LIMPEZA DE SUPERFÍCIE COM JATO DE ALTA PRESSÃO. AF_04/2019 </t>
    </r>
    <r>
      <rPr>
        <b/>
        <sz val="10"/>
        <color theme="1"/>
        <rFont val="Arial"/>
        <family val="2"/>
      </rPr>
      <t>(GRUPO A - CARRO 2)</t>
    </r>
  </si>
  <si>
    <r>
      <t xml:space="preserve">ALVENARIA DE BLOCOS DE CONCRETO ESTRUTURAL 14X19X29 CM (ESPESSURA 14 CM), FBK = 14 MPA, UTILIZANDO COLHER DE PEDREIRO. AF_10/2022 </t>
    </r>
    <r>
      <rPr>
        <b/>
        <sz val="10"/>
        <color theme="1"/>
        <rFont val="Arial"/>
        <family val="2"/>
      </rPr>
      <t>(GRUPO A - VÃO ENTRE CARROS 1 e 2)</t>
    </r>
  </si>
  <si>
    <t>MEDIÇÃO 10</t>
  </si>
  <si>
    <r>
      <t xml:space="preserve">PINTURA LÁTEX ACRÍLICA STANDARD, APLICAÇÃO MANUAL EM PAREDES, DUAS DEMÃOS. AF_04/2023 </t>
    </r>
    <r>
      <rPr>
        <b/>
        <sz val="10"/>
        <color theme="1"/>
        <rFont val="Arial"/>
        <family val="2"/>
      </rPr>
      <t>(GRUPO A - CARRO 1)</t>
    </r>
  </si>
  <si>
    <r>
      <t xml:space="preserve">PINTURA LÁTEX ACRÍLICA STANDARD, APLICAÇÃO MANUAL EM PAREDES, DUAS DEMÃOS. AF_04/2023 </t>
    </r>
    <r>
      <rPr>
        <b/>
        <sz val="10"/>
        <color theme="1"/>
        <rFont val="Arial"/>
        <family val="2"/>
      </rPr>
      <t>(GRUPO A - CARRO 2)</t>
    </r>
  </si>
  <si>
    <r>
      <t xml:space="preserve">SERVIÇO DE INSTALAÇÃO DE ELEVADOR COMERCIAL- 5 PARADAS - 1,00M/S - CAP. 10/11 PASSAGEIROS </t>
    </r>
    <r>
      <rPr>
        <b/>
        <sz val="10"/>
        <color theme="1"/>
        <rFont val="Arial"/>
        <family val="2"/>
      </rPr>
      <t>(Início da instalação dos elevadores)</t>
    </r>
  </si>
  <si>
    <t>MEDIÇÃO 11</t>
  </si>
  <si>
    <t>MEDIÇÃO 12</t>
  </si>
  <si>
    <r>
      <t xml:space="preserve">PORTAL EM GRANITO CINZA ANDORINHA PARA PORTA DE ELEVADOR - FORNECIMENTO E INSTALAÇÃO </t>
    </r>
    <r>
      <rPr>
        <b/>
        <sz val="10"/>
        <color theme="1"/>
        <rFont val="Arial"/>
        <family val="2"/>
      </rPr>
      <t>(GRUPO A - CARRO 1)</t>
    </r>
  </si>
  <si>
    <r>
      <t xml:space="preserve">PORTAL EM GRANITO CINZA ANDORINHA PARA PORTA DE ELEVADOR - FORNECIMENTO E INSTALAÇÃO </t>
    </r>
    <r>
      <rPr>
        <b/>
        <sz val="10"/>
        <color theme="1"/>
        <rFont val="Arial"/>
        <family val="2"/>
      </rPr>
      <t>(GRUPO A - CARRO 2)</t>
    </r>
  </si>
  <si>
    <r>
      <t xml:space="preserve">SOLEIRA EM GRANITO, LARGURA 25 CM, ESPESSURA 2,0 CM FORNECIMENTO E INSTALAÇÃO </t>
    </r>
    <r>
      <rPr>
        <b/>
        <sz val="10"/>
        <color theme="1"/>
        <rFont val="Arial"/>
        <family val="2"/>
      </rPr>
      <t>(GRUPO A - CARRO 1)</t>
    </r>
  </si>
  <si>
    <r>
      <t xml:space="preserve">SOLEIRA EM GRANITO, LARGURA 25 CM, ESPESSURA 2,0 CM FORNECIMENTO E INSTALAÇÃO </t>
    </r>
    <r>
      <rPr>
        <b/>
        <sz val="10"/>
        <color theme="1"/>
        <rFont val="Arial"/>
        <family val="2"/>
      </rPr>
      <t>(GRUPO A - CARRO 2)</t>
    </r>
  </si>
  <si>
    <r>
      <t xml:space="preserve">FORNECIMENTO DE ELEVADOR COMERCIAL- 5 PARADAS - 1,00M/S - CAP. 10/11 PASSAGEIROS </t>
    </r>
    <r>
      <rPr>
        <b/>
        <sz val="10"/>
        <color theme="1"/>
        <rFont val="Arial"/>
        <family val="2"/>
      </rPr>
      <t>(Concorrente à conclusão da instalação de 2 dos 4 elevadores)</t>
    </r>
  </si>
  <si>
    <t>MEDIÇÃO 13</t>
  </si>
  <si>
    <t>EVENTOGRAMA</t>
  </si>
  <si>
    <r>
      <t>DESMONTAGEM COMPLETA DE ELEVADOR - INCLUSO CABINES, SISTEMAS DE TRAÇÃO E TRANSPORTE, FOSSO E ACESSÓRIOS</t>
    </r>
    <r>
      <rPr>
        <b/>
        <sz val="10"/>
        <color theme="1"/>
        <rFont val="Arial"/>
        <family val="2"/>
      </rPr>
      <t xml:space="preserve"> (GRUPO A - CARRO 3)</t>
    </r>
  </si>
  <si>
    <r>
      <t xml:space="preserve">DESMONTAGEM COMPLETA DE ELEVADOR - INCLUSO CABINES, SISTEMAS DE TRAÇÃO E TRANSPORTE, FOSSO E ACESSÓRIOS </t>
    </r>
    <r>
      <rPr>
        <b/>
        <sz val="10"/>
        <color theme="1"/>
        <rFont val="Arial"/>
        <family val="2"/>
      </rPr>
      <t>(GRUPO B)</t>
    </r>
  </si>
  <si>
    <r>
      <t xml:space="preserve">LIMPEZA DE SUPERFÍCIE COM JATO DE ALTA PRESSÃO. AF_04/2019 </t>
    </r>
    <r>
      <rPr>
        <b/>
        <sz val="10"/>
        <color theme="1"/>
        <rFont val="Arial"/>
        <family val="2"/>
      </rPr>
      <t>(GRUPO A - CARRO 3)</t>
    </r>
  </si>
  <si>
    <r>
      <t xml:space="preserve">LIMPEZA DE SUPERFÍCIE COM JATO DE ALTA PRESSÃO. AF_04/2019 </t>
    </r>
    <r>
      <rPr>
        <b/>
        <sz val="10"/>
        <color theme="1"/>
        <rFont val="Arial"/>
        <family val="2"/>
      </rPr>
      <t>(GRUPO B)</t>
    </r>
  </si>
  <si>
    <r>
      <t xml:space="preserve">ALVENARIA DE BLOCOS DE CONCRETO ESTRUTURAL 14X19X29 CM (ESPESSURA 14 CM), FBK = 14 MPA, UTILIZANDO COLHER DE PEDREIRO. AF_10/2022 </t>
    </r>
    <r>
      <rPr>
        <b/>
        <sz val="10"/>
        <color theme="1"/>
        <rFont val="Arial"/>
        <family val="2"/>
      </rPr>
      <t>(GRUPO A - VÃO ENTRE CARROS 2 e 3)</t>
    </r>
  </si>
  <si>
    <t>MEDIÇÃO 14</t>
  </si>
  <si>
    <r>
      <t xml:space="preserve">SERVIÇO DE INSTALAÇÃO DE ELEVADOR COMERCIAL- 5 PARADAS - 1,00M/S - CAP. 10/11 PASSAGEIROS </t>
    </r>
    <r>
      <rPr>
        <b/>
        <sz val="10"/>
        <color theme="1"/>
        <rFont val="Arial"/>
        <family val="2"/>
      </rPr>
      <t>(Instalação dos elevadores)</t>
    </r>
  </si>
  <si>
    <r>
      <t>SERVIÇO DE INSTALAÇÃO DE ELEVADOR COMERCIAL- 5 PARADAS - 1,00M/S - CAP. 10/11 PASSAGEIROS</t>
    </r>
    <r>
      <rPr>
        <b/>
        <sz val="10"/>
        <color theme="1"/>
        <rFont val="Arial"/>
        <family val="2"/>
      </rPr>
      <t xml:space="preserve"> (Instalação dos elevadores)</t>
    </r>
  </si>
  <si>
    <t>MEDIÇÃO 15</t>
  </si>
  <si>
    <r>
      <t xml:space="preserve">SERVIÇO DE INSTALAÇÃO DE ELEVADOR COMERCIAL- 6 PARADAS - 1,00M/S - CAP. 10/11 PASSAGEIROS </t>
    </r>
    <r>
      <rPr>
        <b/>
        <sz val="10"/>
        <color theme="1"/>
        <rFont val="Arial"/>
        <family val="2"/>
      </rPr>
      <t>(Instalação do elevador)</t>
    </r>
  </si>
  <si>
    <r>
      <t>SERVIÇO DE INSTALAÇÃO DE ELEVADOR COMERCIAL- 5 PARADAS - 1,00M/S - CAP. 10/11 PASSAGEIROS</t>
    </r>
    <r>
      <rPr>
        <b/>
        <sz val="10"/>
        <color theme="1"/>
        <rFont val="Arial"/>
        <family val="2"/>
      </rPr>
      <t xml:space="preserve"> (Instalação dos elevador remanescente do Grupo A)</t>
    </r>
  </si>
  <si>
    <t>MEDIÇÃO 16</t>
  </si>
  <si>
    <r>
      <t xml:space="preserve">FORNECIMENTO DE ELEVADOR COMERCIAL- 5 PARADAS - 1,00M/S - CAP. 10/11 PASSAGEIROS </t>
    </r>
    <r>
      <rPr>
        <b/>
        <sz val="10"/>
        <color theme="1"/>
        <rFont val="Arial"/>
        <family val="2"/>
      </rPr>
      <t>(Concorrente à conclusão dos últimos 2 elevadores)</t>
    </r>
  </si>
  <si>
    <r>
      <t xml:space="preserve">FORNECIMENTO DE ELEVADOR COMERCIAL- 6 PARADAS - 1,00M/S - CAP. 10/11 PASSAGEIROS </t>
    </r>
    <r>
      <rPr>
        <b/>
        <sz val="10"/>
        <color theme="1"/>
        <rFont val="Arial"/>
        <family val="2"/>
      </rPr>
      <t>(Concorrente à conclusão dos últimos 2 elevadores)</t>
    </r>
  </si>
  <si>
    <r>
      <t>SERVIÇO DE INSTALAÇÃO DE ELEVADOR COMERCIAL- 5 PARADAS - 1,00M/S - CAP. 10/11 PASSAGEIROS</t>
    </r>
    <r>
      <rPr>
        <b/>
        <sz val="10"/>
        <color theme="1"/>
        <rFont val="Arial"/>
        <family val="2"/>
      </rPr>
      <t xml:space="preserve"> (Instalação do elevador remanescente do Grupo A)</t>
    </r>
  </si>
  <si>
    <r>
      <t xml:space="preserve">SERVIÇO DE INSTALAÇÃO DE ELEVADOR COMERCIAL- 6 PARADAS - 1,00M/S - CAP. 10/11 PASSAGEIROS </t>
    </r>
    <r>
      <rPr>
        <b/>
        <sz val="10"/>
        <color theme="1"/>
        <rFont val="Arial"/>
        <family val="2"/>
      </rPr>
      <t>(Instalação do elevador do Grupo B)</t>
    </r>
  </si>
  <si>
    <r>
      <t xml:space="preserve">SOLEIRA EM GRANITO, LARGURA 25 CM, ESPESSURA 2,0 CM FORNECIMENTO E INSTALAÇÃO </t>
    </r>
    <r>
      <rPr>
        <b/>
        <sz val="10"/>
        <color theme="1"/>
        <rFont val="Arial"/>
        <family val="2"/>
      </rPr>
      <t>(GRUPO A - CARRO 3)</t>
    </r>
  </si>
  <si>
    <r>
      <t xml:space="preserve">SOLEIRA EM GRANITO, LARGURA 25 CM, ESPESSURA 2,0 CM FORNECIMENTO E INSTALAÇÃO </t>
    </r>
    <r>
      <rPr>
        <b/>
        <sz val="10"/>
        <color theme="1"/>
        <rFont val="Arial"/>
        <family val="2"/>
      </rPr>
      <t>(GRUPO B)</t>
    </r>
  </si>
  <si>
    <r>
      <t xml:space="preserve">PORTAL EM GRANITO CINZA ANDORINHA PARA PORTA DE ELEVADOR - FORNECIMENTO E INSTALAÇÃO </t>
    </r>
    <r>
      <rPr>
        <b/>
        <sz val="10"/>
        <color theme="1"/>
        <rFont val="Arial"/>
        <family val="2"/>
      </rPr>
      <t>(GRUPO A - CARRO 3)</t>
    </r>
  </si>
  <si>
    <r>
      <t xml:space="preserve">PORTAL EM GRANITO CINZA ANDORINHA PARA PORTA DE ELEVADOR - FORNECIMENTO E INSTALAÇÃO </t>
    </r>
    <r>
      <rPr>
        <b/>
        <sz val="10"/>
        <color theme="1"/>
        <rFont val="Arial"/>
        <family val="2"/>
      </rPr>
      <t>(GRUPO B)</t>
    </r>
  </si>
  <si>
    <t>017066</t>
  </si>
  <si>
    <t>TRANSPORTE HORIZONTAL MATERIAIS CARRINHO RODA PNEUS</t>
  </si>
  <si>
    <t>SBC</t>
  </si>
  <si>
    <t>SERVENTE</t>
  </si>
  <si>
    <t>099900</t>
  </si>
  <si>
    <t>004125</t>
  </si>
  <si>
    <t>FERRAMENTA - CARRINHO DE MAO CHAPA DE ACO EXTRA FORTE 65L RODA COM CAMARA</t>
  </si>
  <si>
    <t>012334</t>
  </si>
  <si>
    <t>ALUGUEL DE CACAMBA 48 HORAS 5m3</t>
  </si>
  <si>
    <t>BOTA FORA EM CACAMBA 5M3 48 HORAS</t>
  </si>
  <si>
    <t>UM</t>
  </si>
  <si>
    <t>Eventuais demolições</t>
  </si>
  <si>
    <t>Volume de demolição</t>
  </si>
  <si>
    <t>Caçamba estacionária</t>
  </si>
  <si>
    <r>
      <t xml:space="preserve">OUTROS SERVIÇOS </t>
    </r>
    <r>
      <rPr>
        <b/>
        <sz val="10"/>
        <color theme="1"/>
        <rFont val="Arial"/>
        <family val="2"/>
      </rPr>
      <t>(Início dos serviços relativos às instalações elétricas)</t>
    </r>
  </si>
  <si>
    <r>
      <t xml:space="preserve">OUTROS SERVIÇOS </t>
    </r>
    <r>
      <rPr>
        <b/>
        <sz val="10"/>
        <color theme="1"/>
        <rFont val="Arial"/>
        <family val="2"/>
      </rPr>
      <t>(Finalização dos serviços relativos às instalações elétricas)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</si>
</sst>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0.00"/>
    <numFmt numFmtId="165" formatCode="#,##0.00000000"/>
    <numFmt numFmtId="166" formatCode="#,##0.00%"/>
    <numFmt numFmtId="167" formatCode="&quot;R$ &quot;#,##0.00"/>
    <numFmt numFmtId="168" formatCode="0.0%"/>
    <numFmt numFmtId="169" formatCode="#,##0_ ;\-#,##0\ "/>
    <numFmt numFmtId="170" formatCode="#,##0.000000"/>
    <numFmt numFmtId="171" formatCode="#,##0.00000"/>
    <numFmt numFmtId="172" formatCode="#,##0.0000"/>
    <numFmt numFmtId="173" formatCode="_-* #,##0.000000000000_-;\-* #,##0.000000000000_-;_-* &quot;-&quot;??_-;_-@_-"/>
    <numFmt numFmtId="174" formatCode="0.00000000"/>
    <numFmt numFmtId="175" formatCode="#,##0.0000000"/>
    <numFmt numFmtId="176" formatCode="#,##0.000"/>
  </numFmts>
  <fonts count="37">
    <font>
      <sz val="11"/>
      <color theme="1"/>
      <name val="Aptos Narrow"/>
      <family val="2"/>
      <scheme val="minor"/>
    </font>
    <font>
      <sz val="11"/>
      <color theme="1"/>
      <name val="Arial"/>
      <family val="2"/>
    </font>
    <font>
      <sz val="11"/>
      <color theme="1"/>
      <name val="Arial"/>
      <family val="2"/>
    </font>
    <font>
      <b/>
      <sz val="7"/>
      <color rgb="FF000000"/>
      <name val="Arial"/>
      <family val="2"/>
    </font>
    <font>
      <b/>
      <sz val="6"/>
      <color rgb="FF000000"/>
      <name val="Arial"/>
      <family val="2"/>
    </font>
    <font>
      <b/>
      <sz val="5"/>
      <color rgb="FF000000"/>
      <name val="Arial"/>
      <family val="2"/>
    </font>
    <font>
      <sz val="11"/>
      <color theme="1"/>
      <name val="Aptos Narrow"/>
      <family val="2"/>
      <scheme val="minor"/>
    </font>
    <font>
      <sz val="12"/>
      <name val="Arial"/>
      <family val="2"/>
    </font>
    <font>
      <sz val="11"/>
      <color rgb="FF9C6500"/>
      <name val="Calibri"/>
      <family val="2"/>
      <charset val="1"/>
    </font>
    <font>
      <u/>
      <sz val="11"/>
      <color theme="10"/>
      <name val="Arial"/>
      <family val="1"/>
    </font>
    <font>
      <sz val="10"/>
      <name val="Arial"/>
      <family val="2"/>
    </font>
    <font>
      <sz val="8"/>
      <name val="Aptos Narrow"/>
      <family val="2"/>
      <scheme val="minor"/>
    </font>
    <font>
      <sz val="6"/>
      <color rgb="FF000000"/>
      <name val="Arial"/>
      <family val="2"/>
    </font>
    <font>
      <b/>
      <sz val="5"/>
      <name val="Arial"/>
      <family val="2"/>
    </font>
    <font>
      <b/>
      <sz val="6"/>
      <name val="Arial"/>
      <family val="2"/>
    </font>
    <font>
      <sz val="11"/>
      <color rgb="FFFF0000"/>
      <name val="Arial"/>
      <family val="2"/>
    </font>
    <font>
      <b/>
      <sz val="12"/>
      <color theme="1"/>
      <name val="Arial"/>
      <family val="2"/>
    </font>
    <font>
      <sz val="8"/>
      <color theme="1"/>
      <name val="Arial"/>
      <family val="2"/>
    </font>
    <font>
      <sz val="7"/>
      <color theme="1"/>
      <name val="Arial"/>
      <family val="2"/>
    </font>
    <font>
      <b/>
      <sz val="8"/>
      <color rgb="FF000000"/>
      <name val="Arial"/>
      <family val="2"/>
    </font>
    <font>
      <b/>
      <sz val="8"/>
      <color theme="0"/>
      <name val="Arial"/>
      <family val="2"/>
    </font>
    <font>
      <sz val="8"/>
      <color rgb="FF000000"/>
      <name val="Arial"/>
      <family val="2"/>
    </font>
    <font>
      <sz val="8"/>
      <name val="Arial"/>
      <family val="2"/>
    </font>
    <font>
      <sz val="9"/>
      <color theme="1"/>
      <name val="Arial"/>
      <family val="2"/>
    </font>
    <font>
      <b/>
      <sz val="9"/>
      <color rgb="FF000000"/>
      <name val="Arial"/>
      <family val="2"/>
    </font>
    <font>
      <sz val="9"/>
      <color rgb="FF000000"/>
      <name val="Arial"/>
      <family val="2"/>
    </font>
    <font>
      <b/>
      <sz val="11"/>
      <color theme="1"/>
      <name val="Arial"/>
      <family val="2"/>
    </font>
    <font>
      <b/>
      <sz val="8"/>
      <name val="Arial"/>
      <family val="2"/>
    </font>
    <font>
      <b/>
      <sz val="8"/>
      <color rgb="FFFF0000"/>
      <name val="Arial"/>
      <family val="2"/>
    </font>
    <font>
      <sz val="8"/>
      <color theme="4"/>
      <name val="Arial"/>
      <family val="2"/>
    </font>
    <font>
      <sz val="11"/>
      <color theme="4"/>
      <name val="Arial"/>
      <family val="2"/>
    </font>
    <font>
      <sz val="11"/>
      <name val="Arial"/>
      <family val="2"/>
    </font>
    <font>
      <sz val="8"/>
      <color theme="8"/>
      <name val="Arial"/>
      <family val="2"/>
    </font>
    <font>
      <b/>
      <sz val="8"/>
      <color theme="1"/>
      <name val="Arial"/>
      <family val="2"/>
    </font>
    <font>
      <b/>
      <sz val="10"/>
      <color theme="1"/>
      <name val="Arial"/>
      <family val="2"/>
    </font>
    <font>
      <sz val="7"/>
      <name val="Arial"/>
      <family val="2"/>
    </font>
    <font>
      <sz val="10"/>
      <color theme="1"/>
      <name val="Arial"/>
      <family val="2"/>
    </font>
  </fonts>
  <fills count="50">
    <fill>
      <patternFill patternType="none"/>
    </fill>
    <fill>
      <patternFill patternType="gray125"/>
    </fill>
    <fill>
      <patternFill patternType="none"/>
    </fill>
    <fill>
      <patternFill patternType="none"/>
    </fill>
    <fill>
      <patternFill patternType="none"/>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CCCCCC"/>
      </patternFill>
    </fill>
    <fill>
      <patternFill patternType="solid">
        <fgColor rgb="FFC0C0C0"/>
      </patternFill>
    </fill>
    <fill>
      <patternFill patternType="solid">
        <fgColor rgb="FFC0C0C0"/>
      </patternFill>
    </fill>
    <fill>
      <patternFill patternType="solid">
        <fgColor rgb="FFDFDFDF"/>
      </patternFill>
    </fill>
    <fill>
      <patternFill patternType="none"/>
    </fill>
    <fill>
      <patternFill patternType="none"/>
    </fill>
    <fill>
      <patternFill patternType="none"/>
    </fill>
    <fill>
      <patternFill patternType="none"/>
    </fill>
    <fill>
      <patternFill patternType="solid">
        <fgColor rgb="FFDFDFDF"/>
      </patternFill>
    </fill>
    <fill>
      <patternFill patternType="none"/>
    </fill>
    <fill>
      <patternFill patternType="solid">
        <fgColor rgb="FFDFDFDF"/>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FFEB9C"/>
        <bgColor rgb="FFFFFFCC"/>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0" tint="-0.14996795556505021"/>
        <bgColor indexed="64"/>
      </patternFill>
    </fill>
    <fill>
      <patternFill patternType="solid">
        <fgColor theme="3" tint="0.499984740745262"/>
        <bgColor indexed="64"/>
      </patternFill>
    </fill>
    <fill>
      <patternFill patternType="solid">
        <fgColor theme="2"/>
        <bgColor indexed="64"/>
      </patternFill>
    </fill>
  </fills>
  <borders count="6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medium">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3">
    <xf numFmtId="0" fontId="0" fillId="0" borderId="0"/>
    <xf numFmtId="43" fontId="6" fillId="0" borderId="0" applyFont="0" applyFill="0" applyBorder="0" applyAlignment="0" applyProtection="0"/>
    <xf numFmtId="9" fontId="6" fillId="0" borderId="0" applyFont="0" applyFill="0" applyBorder="0" applyAlignment="0" applyProtection="0"/>
    <xf numFmtId="0" fontId="6" fillId="38" borderId="1"/>
    <xf numFmtId="0" fontId="8" fillId="39" borderId="1" applyBorder="0" applyProtection="0"/>
    <xf numFmtId="0" fontId="9" fillId="38" borderId="1" applyNumberFormat="0" applyFill="0" applyBorder="0" applyAlignment="0" applyProtection="0"/>
    <xf numFmtId="0" fontId="6" fillId="38" borderId="1"/>
    <xf numFmtId="0" fontId="10" fillId="38" borderId="1"/>
    <xf numFmtId="44" fontId="6" fillId="0" borderId="0" applyFont="0" applyFill="0" applyBorder="0" applyAlignment="0" applyProtection="0"/>
    <xf numFmtId="0" fontId="6" fillId="38" borderId="1"/>
    <xf numFmtId="0" fontId="6" fillId="38" borderId="1"/>
    <xf numFmtId="43" fontId="6" fillId="38" borderId="1" applyFont="0" applyFill="0" applyBorder="0" applyAlignment="0" applyProtection="0"/>
    <xf numFmtId="9" fontId="6" fillId="38" borderId="1" applyFont="0" applyFill="0" applyBorder="0" applyAlignment="0" applyProtection="0"/>
  </cellStyleXfs>
  <cellXfs count="654">
    <xf numFmtId="0" fontId="0" fillId="0" borderId="0" xfId="0"/>
    <xf numFmtId="0" fontId="3" fillId="4" borderId="1" xfId="0" applyFont="1" applyFill="1" applyBorder="1" applyAlignment="1">
      <alignment horizontal="right" vertical="center" wrapText="1"/>
    </xf>
    <xf numFmtId="0" fontId="5" fillId="13" borderId="1" xfId="0" applyFont="1" applyFill="1" applyBorder="1" applyAlignment="1">
      <alignment horizontal="right" vertical="center" wrapText="1"/>
    </xf>
    <xf numFmtId="0" fontId="7" fillId="38" borderId="1" xfId="3" applyFont="1" applyAlignment="1">
      <alignment vertical="center" wrapText="1"/>
    </xf>
    <xf numFmtId="2" fontId="7" fillId="38" borderId="1" xfId="3" applyNumberFormat="1" applyFont="1" applyAlignment="1">
      <alignment horizontal="center" vertical="center" wrapText="1"/>
    </xf>
    <xf numFmtId="4" fontId="7" fillId="38" borderId="1" xfId="3" applyNumberFormat="1" applyFont="1" applyAlignment="1">
      <alignment vertical="center" wrapText="1"/>
    </xf>
    <xf numFmtId="4" fontId="4" fillId="7" borderId="1" xfId="0" applyNumberFormat="1" applyFont="1" applyFill="1" applyBorder="1" applyAlignment="1">
      <alignment horizontal="right" vertical="center" wrapText="1"/>
    </xf>
    <xf numFmtId="0" fontId="12" fillId="38" borderId="2" xfId="0" applyFont="1" applyFill="1" applyBorder="1" applyAlignment="1">
      <alignment horizontal="center" vertical="center" wrapText="1"/>
    </xf>
    <xf numFmtId="0" fontId="13" fillId="13" borderId="1" xfId="0" applyFont="1" applyFill="1" applyBorder="1" applyAlignment="1">
      <alignment horizontal="right" vertical="center" wrapText="1"/>
    </xf>
    <xf numFmtId="4" fontId="14" fillId="7" borderId="1" xfId="0"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0" fontId="12" fillId="38" borderId="1" xfId="0" applyFont="1" applyFill="1" applyBorder="1" applyAlignment="1">
      <alignment horizontal="center" vertical="center" wrapText="1"/>
    </xf>
    <xf numFmtId="0" fontId="2" fillId="0" borderId="0" xfId="0" applyFont="1" applyAlignment="1">
      <alignment vertical="center"/>
    </xf>
    <xf numFmtId="10" fontId="2" fillId="0" borderId="0" xfId="0" applyNumberFormat="1" applyFont="1" applyAlignment="1">
      <alignment vertical="center"/>
    </xf>
    <xf numFmtId="0" fontId="16" fillId="40" borderId="0" xfId="0" applyFont="1" applyFill="1" applyAlignment="1">
      <alignment horizontal="centerContinuous" vertical="center"/>
    </xf>
    <xf numFmtId="0" fontId="2" fillId="40" borderId="0" xfId="0" applyFont="1" applyFill="1" applyAlignment="1">
      <alignment horizontal="centerContinuous" vertical="center"/>
    </xf>
    <xf numFmtId="10" fontId="2" fillId="40" borderId="0" xfId="0" applyNumberFormat="1" applyFont="1" applyFill="1" applyAlignment="1">
      <alignment horizontal="centerContinuous" vertical="center"/>
    </xf>
    <xf numFmtId="0" fontId="17" fillId="0" borderId="0" xfId="0" applyFont="1" applyAlignment="1">
      <alignment vertical="center"/>
    </xf>
    <xf numFmtId="0" fontId="18" fillId="0" borderId="7" xfId="0" applyFont="1" applyBorder="1" applyAlignment="1">
      <alignment vertical="center"/>
    </xf>
    <xf numFmtId="0" fontId="17" fillId="0" borderId="28" xfId="0" applyFont="1" applyBorder="1" applyAlignment="1">
      <alignment vertical="center"/>
    </xf>
    <xf numFmtId="10" fontId="17" fillId="0" borderId="29" xfId="0" applyNumberFormat="1" applyFont="1" applyBorder="1" applyAlignment="1">
      <alignment vertical="center"/>
    </xf>
    <xf numFmtId="0" fontId="18"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3" xfId="0" applyFont="1" applyBorder="1" applyAlignment="1">
      <alignment horizontal="center" vertical="center"/>
    </xf>
    <xf numFmtId="14" fontId="17" fillId="0" borderId="23" xfId="0" applyNumberFormat="1" applyFont="1" applyBorder="1" applyAlignment="1">
      <alignment horizontal="center" vertical="center"/>
    </xf>
    <xf numFmtId="0" fontId="18" fillId="0" borderId="14" xfId="0" applyFont="1" applyBorder="1" applyAlignment="1">
      <alignment vertical="center"/>
    </xf>
    <xf numFmtId="0" fontId="17" fillId="0" borderId="1" xfId="0" applyFont="1" applyBorder="1" applyAlignment="1">
      <alignment vertical="center"/>
    </xf>
    <xf numFmtId="0" fontId="17" fillId="0" borderId="24" xfId="0" applyFont="1" applyBorder="1" applyAlignment="1">
      <alignment vertical="center"/>
    </xf>
    <xf numFmtId="10" fontId="17" fillId="0" borderId="14" xfId="2" applyNumberFormat="1" applyFont="1" applyBorder="1" applyAlignment="1">
      <alignment vertical="center"/>
    </xf>
    <xf numFmtId="10" fontId="17" fillId="0" borderId="24" xfId="2" applyNumberFormat="1" applyFont="1" applyBorder="1" applyAlignment="1">
      <alignment horizontal="center" vertical="center"/>
    </xf>
    <xf numFmtId="0" fontId="18" fillId="0" borderId="25" xfId="0" applyFont="1" applyBorder="1" applyAlignment="1">
      <alignment vertical="center"/>
    </xf>
    <xf numFmtId="0" fontId="17" fillId="0" borderId="26" xfId="0" applyFont="1" applyBorder="1" applyAlignment="1">
      <alignment vertical="center"/>
    </xf>
    <xf numFmtId="0" fontId="17" fillId="0" borderId="27" xfId="0" applyFont="1" applyBorder="1" applyAlignment="1">
      <alignment vertical="center"/>
    </xf>
    <xf numFmtId="10" fontId="17" fillId="0" borderId="27" xfId="2" applyNumberFormat="1" applyFont="1" applyBorder="1" applyAlignment="1">
      <alignment horizontal="center" vertical="center"/>
    </xf>
    <xf numFmtId="0" fontId="2" fillId="3" borderId="0" xfId="0" applyFont="1" applyFill="1" applyAlignment="1" applyProtection="1">
      <alignment vertical="center" wrapText="1"/>
      <protection locked="0"/>
    </xf>
    <xf numFmtId="0" fontId="19" fillId="5" borderId="2" xfId="0" applyFont="1" applyFill="1" applyBorder="1" applyAlignment="1">
      <alignment horizontal="center" vertical="center" wrapText="1"/>
    </xf>
    <xf numFmtId="10" fontId="19" fillId="5" borderId="3" xfId="0" applyNumberFormat="1" applyFont="1" applyFill="1" applyBorder="1" applyAlignment="1">
      <alignment horizontal="center" vertical="center" wrapText="1"/>
    </xf>
    <xf numFmtId="0" fontId="19" fillId="46" borderId="2" xfId="0" applyFont="1" applyFill="1" applyBorder="1" applyAlignment="1">
      <alignment horizontal="left" vertical="center" wrapText="1"/>
    </xf>
    <xf numFmtId="0" fontId="20" fillId="46" borderId="2" xfId="0" applyFont="1" applyFill="1" applyBorder="1" applyAlignment="1">
      <alignment horizontal="left" vertical="center" wrapText="1"/>
    </xf>
    <xf numFmtId="4" fontId="19" fillId="46" borderId="32" xfId="0" applyNumberFormat="1" applyFont="1" applyFill="1" applyBorder="1" applyAlignment="1">
      <alignment horizontal="right" vertical="center" wrapText="1"/>
    </xf>
    <xf numFmtId="10" fontId="17" fillId="46" borderId="6" xfId="2" applyNumberFormat="1" applyFont="1" applyFill="1" applyBorder="1" applyAlignment="1">
      <alignment vertical="center" wrapText="1"/>
    </xf>
    <xf numFmtId="0" fontId="2" fillId="0" borderId="0" xfId="0" applyFont="1" applyAlignment="1">
      <alignment vertical="center" wrapText="1"/>
    </xf>
    <xf numFmtId="0" fontId="21" fillId="0" borderId="2" xfId="0" applyFont="1" applyBorder="1" applyAlignment="1">
      <alignment horizontal="left" vertical="center" wrapText="1"/>
    </xf>
    <xf numFmtId="0" fontId="21" fillId="0" borderId="2" xfId="0" applyFont="1" applyBorder="1" applyAlignment="1">
      <alignment horizontal="center" vertical="center" wrapText="1"/>
    </xf>
    <xf numFmtId="0" fontId="21" fillId="0" borderId="2" xfId="0" applyFont="1" applyBorder="1" applyAlignment="1">
      <alignment horizontal="justify" vertical="center" wrapText="1"/>
    </xf>
    <xf numFmtId="4" fontId="21" fillId="0" borderId="2" xfId="0" applyNumberFormat="1" applyFont="1" applyBorder="1" applyAlignment="1">
      <alignment horizontal="right" vertical="center" wrapText="1"/>
    </xf>
    <xf numFmtId="4" fontId="22" fillId="0" borderId="2" xfId="0" applyNumberFormat="1" applyFont="1" applyBorder="1" applyAlignment="1">
      <alignment horizontal="right" vertical="center" wrapText="1"/>
    </xf>
    <xf numFmtId="164" fontId="21" fillId="0" borderId="32" xfId="0" applyNumberFormat="1" applyFont="1" applyBorder="1" applyAlignment="1">
      <alignment horizontal="right" vertical="center" wrapText="1"/>
    </xf>
    <xf numFmtId="10" fontId="17" fillId="0" borderId="6" xfId="2" applyNumberFormat="1" applyFont="1" applyFill="1" applyBorder="1" applyAlignment="1">
      <alignment vertical="center" wrapText="1"/>
    </xf>
    <xf numFmtId="4" fontId="2" fillId="0" borderId="0" xfId="0" applyNumberFormat="1" applyFont="1" applyAlignment="1">
      <alignment vertical="center" wrapText="1"/>
    </xf>
    <xf numFmtId="4" fontId="21" fillId="46" borderId="2" xfId="0" applyNumberFormat="1" applyFont="1" applyFill="1" applyBorder="1" applyAlignment="1">
      <alignment horizontal="right" vertical="center" wrapText="1"/>
    </xf>
    <xf numFmtId="4" fontId="22" fillId="46" borderId="2" xfId="0" applyNumberFormat="1" applyFont="1" applyFill="1" applyBorder="1" applyAlignment="1">
      <alignment horizontal="right" vertical="center" wrapText="1"/>
    </xf>
    <xf numFmtId="0" fontId="19" fillId="45" borderId="2" xfId="0" applyFont="1" applyFill="1" applyBorder="1" applyAlignment="1">
      <alignment horizontal="left" vertical="center" wrapText="1"/>
    </xf>
    <xf numFmtId="0" fontId="20" fillId="45" borderId="2" xfId="0" applyFont="1" applyFill="1" applyBorder="1" applyAlignment="1">
      <alignment horizontal="left" vertical="center" wrapText="1"/>
    </xf>
    <xf numFmtId="4" fontId="22" fillId="45" borderId="2" xfId="0" applyNumberFormat="1" applyFont="1" applyFill="1" applyBorder="1" applyAlignment="1">
      <alignment horizontal="right" vertical="center" wrapText="1"/>
    </xf>
    <xf numFmtId="4" fontId="19" fillId="45" borderId="32" xfId="0" applyNumberFormat="1" applyFont="1" applyFill="1" applyBorder="1" applyAlignment="1">
      <alignment horizontal="right" vertical="center" wrapText="1"/>
    </xf>
    <xf numFmtId="10" fontId="17" fillId="45" borderId="6" xfId="2" applyNumberFormat="1" applyFont="1" applyFill="1" applyBorder="1" applyAlignment="1">
      <alignment vertical="center" wrapText="1"/>
    </xf>
    <xf numFmtId="0" fontId="21" fillId="8" borderId="2" xfId="0" applyFont="1" applyFill="1" applyBorder="1" applyAlignment="1">
      <alignment horizontal="left" vertical="center" wrapText="1"/>
    </xf>
    <xf numFmtId="0" fontId="21" fillId="9" borderId="2" xfId="0" applyFont="1" applyFill="1" applyBorder="1" applyAlignment="1">
      <alignment horizontal="center" vertical="center" wrapText="1"/>
    </xf>
    <xf numFmtId="0" fontId="21" fillId="10" borderId="2" xfId="0" applyFont="1" applyFill="1" applyBorder="1" applyAlignment="1">
      <alignment horizontal="justify" vertical="center" wrapText="1"/>
    </xf>
    <xf numFmtId="4" fontId="21" fillId="11" borderId="2" xfId="0" applyNumberFormat="1" applyFont="1" applyFill="1" applyBorder="1" applyAlignment="1">
      <alignment horizontal="right" vertical="center" wrapText="1"/>
    </xf>
    <xf numFmtId="4" fontId="22" fillId="11" borderId="2" xfId="0" applyNumberFormat="1" applyFont="1" applyFill="1" applyBorder="1" applyAlignment="1">
      <alignment horizontal="right" vertical="center" wrapText="1"/>
    </xf>
    <xf numFmtId="10" fontId="17" fillId="0" borderId="6" xfId="2" applyNumberFormat="1" applyFont="1" applyBorder="1" applyAlignment="1">
      <alignment vertical="center" wrapText="1"/>
    </xf>
    <xf numFmtId="0" fontId="19" fillId="46" borderId="3" xfId="0" applyFont="1" applyFill="1" applyBorder="1" applyAlignment="1">
      <alignment horizontal="left" vertical="center" wrapText="1"/>
    </xf>
    <xf numFmtId="0" fontId="21" fillId="9" borderId="6" xfId="0" applyFont="1" applyFill="1" applyBorder="1" applyAlignment="1">
      <alignment horizontal="center" vertical="center" wrapText="1"/>
    </xf>
    <xf numFmtId="4" fontId="21" fillId="11" borderId="5" xfId="0" applyNumberFormat="1" applyFont="1" applyFill="1" applyBorder="1" applyAlignment="1">
      <alignment horizontal="right" vertical="center" wrapText="1"/>
    </xf>
    <xf numFmtId="0" fontId="21" fillId="9" borderId="32" xfId="0" applyFont="1" applyFill="1" applyBorder="1" applyAlignment="1">
      <alignment horizontal="center" vertical="center" wrapText="1"/>
    </xf>
    <xf numFmtId="0" fontId="17" fillId="3" borderId="0" xfId="0" applyFont="1" applyFill="1" applyAlignment="1" applyProtection="1">
      <alignment vertical="center" wrapText="1"/>
      <protection locked="0"/>
    </xf>
    <xf numFmtId="0" fontId="17" fillId="3" borderId="1" xfId="0" applyFont="1" applyFill="1" applyBorder="1" applyAlignment="1" applyProtection="1">
      <alignment vertical="center" wrapText="1"/>
      <protection locked="0"/>
    </xf>
    <xf numFmtId="0" fontId="19" fillId="13" borderId="1" xfId="0" applyFont="1" applyFill="1" applyBorder="1" applyAlignment="1">
      <alignment horizontal="right" vertical="center" wrapText="1"/>
    </xf>
    <xf numFmtId="4" fontId="19" fillId="7" borderId="1" xfId="0" applyNumberFormat="1" applyFont="1" applyFill="1" applyBorder="1" applyAlignment="1">
      <alignment horizontal="right" vertical="center" wrapText="1"/>
    </xf>
    <xf numFmtId="10" fontId="17" fillId="0" borderId="6" xfId="2" applyNumberFormat="1" applyFont="1" applyBorder="1" applyAlignment="1">
      <alignment vertical="center"/>
    </xf>
    <xf numFmtId="43" fontId="15" fillId="0" borderId="0" xfId="1" applyFont="1" applyAlignment="1">
      <alignment vertical="center"/>
    </xf>
    <xf numFmtId="0" fontId="2" fillId="3" borderId="1" xfId="0" applyFont="1" applyFill="1" applyBorder="1" applyAlignment="1" applyProtection="1">
      <alignment vertical="center" wrapText="1"/>
      <protection locked="0"/>
    </xf>
    <xf numFmtId="0" fontId="2" fillId="0" borderId="0" xfId="0" applyFont="1"/>
    <xf numFmtId="0" fontId="2" fillId="0" borderId="0" xfId="0" applyFont="1" applyAlignment="1">
      <alignment wrapText="1"/>
    </xf>
    <xf numFmtId="0" fontId="2" fillId="0" borderId="0" xfId="0" applyFont="1" applyAlignment="1">
      <alignment horizontal="left" vertical="center" wrapText="1"/>
    </xf>
    <xf numFmtId="0" fontId="16" fillId="40" borderId="0" xfId="0" applyFont="1" applyFill="1" applyAlignment="1">
      <alignment horizontal="centerContinuous" vertical="center" wrapText="1"/>
    </xf>
    <xf numFmtId="0" fontId="17" fillId="0" borderId="0" xfId="0" applyFont="1" applyAlignment="1">
      <alignment vertical="center" wrapText="1"/>
    </xf>
    <xf numFmtId="0" fontId="17" fillId="0" borderId="29" xfId="0" applyFont="1" applyBorder="1" applyAlignment="1">
      <alignment vertical="center"/>
    </xf>
    <xf numFmtId="0" fontId="2" fillId="3" borderId="0" xfId="0" applyFont="1" applyFill="1" applyProtection="1">
      <protection locked="0"/>
    </xf>
    <xf numFmtId="0" fontId="2" fillId="3" borderId="0" xfId="0" applyFont="1" applyFill="1" applyAlignment="1" applyProtection="1">
      <alignment wrapText="1"/>
      <protection locked="0"/>
    </xf>
    <xf numFmtId="0" fontId="25" fillId="14" borderId="1" xfId="0" applyFont="1" applyFill="1" applyBorder="1" applyAlignment="1">
      <alignment horizontal="left" vertical="top" wrapText="1"/>
    </xf>
    <xf numFmtId="0" fontId="19" fillId="38" borderId="2" xfId="0" applyFont="1" applyFill="1" applyBorder="1" applyAlignment="1">
      <alignment horizontal="left" vertical="center"/>
    </xf>
    <xf numFmtId="0" fontId="19" fillId="38" borderId="2" xfId="0" applyFont="1" applyFill="1" applyBorder="1" applyAlignment="1">
      <alignment horizontal="left" vertical="center" wrapText="1"/>
    </xf>
    <xf numFmtId="0" fontId="17" fillId="0" borderId="0" xfId="0" applyFont="1"/>
    <xf numFmtId="0" fontId="17" fillId="0" borderId="0" xfId="0" applyFont="1" applyAlignment="1">
      <alignment horizontal="left" vertical="center" wrapText="1"/>
    </xf>
    <xf numFmtId="0" fontId="19" fillId="15" borderId="2" xfId="0" applyFont="1" applyFill="1" applyBorder="1" applyAlignment="1">
      <alignment horizontal="left" vertical="center"/>
    </xf>
    <xf numFmtId="0" fontId="19" fillId="15" borderId="2" xfId="0" applyFont="1" applyFill="1" applyBorder="1" applyAlignment="1">
      <alignment horizontal="left" vertical="center" wrapText="1"/>
    </xf>
    <xf numFmtId="0" fontId="19" fillId="15" borderId="2" xfId="0" applyFont="1" applyFill="1" applyBorder="1" applyAlignment="1">
      <alignment horizontal="center" vertical="center" wrapText="1"/>
    </xf>
    <xf numFmtId="0" fontId="19" fillId="15" borderId="2" xfId="0" applyFont="1" applyFill="1" applyBorder="1" applyAlignment="1">
      <alignment horizontal="center" vertical="center"/>
    </xf>
    <xf numFmtId="0" fontId="21" fillId="0" borderId="2" xfId="0" applyFont="1" applyBorder="1" applyAlignment="1">
      <alignment horizontal="center" vertical="top"/>
    </xf>
    <xf numFmtId="0" fontId="21" fillId="0" borderId="2" xfId="0" applyFont="1" applyBorder="1" applyAlignment="1">
      <alignment horizontal="justify" vertical="top" wrapText="1"/>
    </xf>
    <xf numFmtId="0" fontId="21" fillId="0" borderId="2" xfId="0" applyFont="1" applyBorder="1" applyAlignment="1">
      <alignment horizontal="center" vertical="top" wrapText="1"/>
    </xf>
    <xf numFmtId="4" fontId="21" fillId="0" borderId="2" xfId="0" applyNumberFormat="1" applyFont="1" applyBorder="1" applyAlignment="1">
      <alignment horizontal="right" vertical="top" wrapText="1"/>
    </xf>
    <xf numFmtId="0" fontId="17" fillId="0" borderId="0" xfId="0" applyFont="1" applyAlignment="1">
      <alignment horizontal="center" vertical="center"/>
    </xf>
    <xf numFmtId="0" fontId="17" fillId="38" borderId="0" xfId="0" applyFont="1" applyFill="1" applyProtection="1">
      <protection locked="0"/>
    </xf>
    <xf numFmtId="0" fontId="17" fillId="38" borderId="0" xfId="0" applyFont="1" applyFill="1" applyAlignment="1" applyProtection="1">
      <alignment wrapText="1"/>
      <protection locked="0"/>
    </xf>
    <xf numFmtId="0" fontId="19" fillId="38" borderId="2" xfId="0" applyFont="1" applyFill="1" applyBorder="1" applyAlignment="1">
      <alignment horizontal="right" vertical="top"/>
    </xf>
    <xf numFmtId="0" fontId="19" fillId="38" borderId="2" xfId="0" applyFont="1" applyFill="1" applyBorder="1" applyAlignment="1">
      <alignment horizontal="right" vertical="top" wrapText="1"/>
    </xf>
    <xf numFmtId="4" fontId="19" fillId="38" borderId="2" xfId="0" applyNumberFormat="1" applyFont="1" applyFill="1" applyBorder="1" applyAlignment="1">
      <alignment horizontal="right" vertical="top" wrapText="1"/>
    </xf>
    <xf numFmtId="0" fontId="19" fillId="38" borderId="2" xfId="0" applyFont="1" applyFill="1" applyBorder="1" applyAlignment="1">
      <alignment horizontal="right" vertical="center"/>
    </xf>
    <xf numFmtId="0" fontId="19" fillId="38" borderId="2" xfId="0" applyFont="1" applyFill="1" applyBorder="1" applyAlignment="1">
      <alignment horizontal="right" vertical="center" wrapText="1"/>
    </xf>
    <xf numFmtId="4" fontId="19" fillId="38" borderId="2" xfId="0" applyNumberFormat="1" applyFont="1" applyFill="1" applyBorder="1" applyAlignment="1">
      <alignment horizontal="right" vertical="center" wrapText="1"/>
    </xf>
    <xf numFmtId="0" fontId="21" fillId="38" borderId="1" xfId="0" applyFont="1" applyFill="1" applyBorder="1" applyAlignment="1">
      <alignment horizontal="left" vertical="top"/>
    </xf>
    <xf numFmtId="0" fontId="21" fillId="38" borderId="1" xfId="0" applyFont="1" applyFill="1" applyBorder="1" applyAlignment="1">
      <alignment horizontal="left" vertical="top" wrapText="1"/>
    </xf>
    <xf numFmtId="0" fontId="21" fillId="38" borderId="2" xfId="0" applyFont="1" applyFill="1" applyBorder="1" applyAlignment="1">
      <alignment horizontal="center" vertical="top"/>
    </xf>
    <xf numFmtId="0" fontId="21" fillId="38" borderId="2" xfId="0" applyFont="1" applyFill="1" applyBorder="1" applyAlignment="1">
      <alignment horizontal="justify" vertical="top" wrapText="1"/>
    </xf>
    <xf numFmtId="0" fontId="21" fillId="38" borderId="2" xfId="0" applyFont="1" applyFill="1" applyBorder="1" applyAlignment="1">
      <alignment horizontal="center" vertical="top" wrapText="1"/>
    </xf>
    <xf numFmtId="165" fontId="21" fillId="38" borderId="2" xfId="0" applyNumberFormat="1" applyFont="1" applyFill="1" applyBorder="1" applyAlignment="1">
      <alignment horizontal="right" vertical="top"/>
    </xf>
    <xf numFmtId="4" fontId="21" fillId="38" borderId="2" xfId="0" applyNumberFormat="1" applyFont="1" applyFill="1" applyBorder="1" applyAlignment="1">
      <alignment horizontal="right" vertical="top" wrapText="1"/>
    </xf>
    <xf numFmtId="0" fontId="2" fillId="38" borderId="1" xfId="6" applyFont="1"/>
    <xf numFmtId="0" fontId="24" fillId="38" borderId="2" xfId="0" applyFont="1" applyFill="1" applyBorder="1" applyAlignment="1">
      <alignment horizontal="left" vertical="center"/>
    </xf>
    <xf numFmtId="0" fontId="24" fillId="38" borderId="2" xfId="0" applyFont="1" applyFill="1" applyBorder="1" applyAlignment="1">
      <alignment horizontal="left" vertical="center" wrapText="1"/>
    </xf>
    <xf numFmtId="0" fontId="23" fillId="38" borderId="1" xfId="6" applyFont="1"/>
    <xf numFmtId="0" fontId="24" fillId="15" borderId="2" xfId="0" applyFont="1" applyFill="1" applyBorder="1" applyAlignment="1">
      <alignment horizontal="left" vertical="center"/>
    </xf>
    <xf numFmtId="0" fontId="24" fillId="15" borderId="2" xfId="0" applyFont="1" applyFill="1" applyBorder="1" applyAlignment="1">
      <alignment horizontal="left" vertical="center" wrapText="1"/>
    </xf>
    <xf numFmtId="0" fontId="24" fillId="15" borderId="2" xfId="0" applyFont="1" applyFill="1" applyBorder="1" applyAlignment="1">
      <alignment horizontal="center" vertical="center" wrapText="1"/>
    </xf>
    <xf numFmtId="0" fontId="24" fillId="15" borderId="2" xfId="0" applyFont="1" applyFill="1" applyBorder="1" applyAlignment="1">
      <alignment horizontal="center" vertical="center"/>
    </xf>
    <xf numFmtId="0" fontId="25" fillId="38" borderId="2" xfId="0" applyFont="1" applyFill="1" applyBorder="1" applyAlignment="1">
      <alignment horizontal="center" vertical="top"/>
    </xf>
    <xf numFmtId="0" fontId="25" fillId="38" borderId="2" xfId="0" applyFont="1" applyFill="1" applyBorder="1" applyAlignment="1">
      <alignment horizontal="justify" vertical="top" wrapText="1"/>
    </xf>
    <xf numFmtId="0" fontId="25" fillId="38" borderId="2" xfId="0" applyFont="1" applyFill="1" applyBorder="1" applyAlignment="1">
      <alignment horizontal="center" vertical="top" wrapText="1"/>
    </xf>
    <xf numFmtId="165" fontId="25" fillId="38" borderId="2" xfId="0" applyNumberFormat="1" applyFont="1" applyFill="1" applyBorder="1" applyAlignment="1">
      <alignment horizontal="right" vertical="top"/>
    </xf>
    <xf numFmtId="4" fontId="25" fillId="42" borderId="2" xfId="0" applyNumberFormat="1" applyFont="1" applyFill="1" applyBorder="1" applyAlignment="1">
      <alignment horizontal="right" vertical="top" wrapText="1"/>
    </xf>
    <xf numFmtId="4" fontId="25" fillId="38" borderId="2" xfId="0" applyNumberFormat="1" applyFont="1" applyFill="1" applyBorder="1" applyAlignment="1">
      <alignment horizontal="right" vertical="top" wrapText="1"/>
    </xf>
    <xf numFmtId="0" fontId="23" fillId="38" borderId="0" xfId="0" applyFont="1" applyFill="1" applyProtection="1">
      <protection locked="0"/>
    </xf>
    <xf numFmtId="0" fontId="23" fillId="38" borderId="0" xfId="0" applyFont="1" applyFill="1" applyAlignment="1" applyProtection="1">
      <alignment wrapText="1"/>
      <protection locked="0"/>
    </xf>
    <xf numFmtId="0" fontId="24" fillId="38" borderId="2" xfId="0" applyFont="1" applyFill="1" applyBorder="1" applyAlignment="1">
      <alignment horizontal="right" vertical="top"/>
    </xf>
    <xf numFmtId="0" fontId="24" fillId="38" borderId="2" xfId="0" applyFont="1" applyFill="1" applyBorder="1" applyAlignment="1">
      <alignment horizontal="right" vertical="top" wrapText="1"/>
    </xf>
    <xf numFmtId="4" fontId="24" fillId="38" borderId="2" xfId="0" applyNumberFormat="1" applyFont="1" applyFill="1" applyBorder="1" applyAlignment="1">
      <alignment horizontal="right" vertical="top" wrapText="1"/>
    </xf>
    <xf numFmtId="0" fontId="24" fillId="38" borderId="2" xfId="0" applyFont="1" applyFill="1" applyBorder="1" applyAlignment="1">
      <alignment horizontal="right" vertical="center"/>
    </xf>
    <xf numFmtId="0" fontId="24" fillId="38" borderId="2" xfId="0" applyFont="1" applyFill="1" applyBorder="1" applyAlignment="1">
      <alignment horizontal="right" vertical="center" wrapText="1"/>
    </xf>
    <xf numFmtId="4" fontId="24" fillId="38" borderId="2" xfId="0" applyNumberFormat="1" applyFont="1" applyFill="1" applyBorder="1" applyAlignment="1">
      <alignment horizontal="right" vertical="center" wrapText="1"/>
    </xf>
    <xf numFmtId="0" fontId="25" fillId="38" borderId="1" xfId="0" applyFont="1" applyFill="1" applyBorder="1" applyAlignment="1">
      <alignment horizontal="left" vertical="top"/>
    </xf>
    <xf numFmtId="0" fontId="25" fillId="38" borderId="1" xfId="0" applyFont="1" applyFill="1" applyBorder="1" applyAlignment="1">
      <alignment horizontal="left" vertical="top" wrapText="1"/>
    </xf>
    <xf numFmtId="170" fontId="25" fillId="42" borderId="2" xfId="0" applyNumberFormat="1" applyFont="1" applyFill="1" applyBorder="1" applyAlignment="1">
      <alignment horizontal="right" vertical="top"/>
    </xf>
    <xf numFmtId="171" fontId="25" fillId="42" borderId="2" xfId="0" applyNumberFormat="1" applyFont="1" applyFill="1" applyBorder="1" applyAlignment="1">
      <alignment horizontal="right" vertical="top"/>
    </xf>
    <xf numFmtId="172" fontId="25" fillId="42" borderId="2" xfId="0" applyNumberFormat="1" applyFont="1" applyFill="1" applyBorder="1" applyAlignment="1">
      <alignment horizontal="right" vertical="top"/>
    </xf>
    <xf numFmtId="4" fontId="25" fillId="42" borderId="2" xfId="0" applyNumberFormat="1" applyFont="1" applyFill="1" applyBorder="1" applyAlignment="1">
      <alignment horizontal="right" vertical="top"/>
    </xf>
    <xf numFmtId="172" fontId="25" fillId="38" borderId="2" xfId="0" applyNumberFormat="1" applyFont="1" applyFill="1" applyBorder="1" applyAlignment="1">
      <alignment horizontal="right" vertical="top"/>
    </xf>
    <xf numFmtId="170" fontId="25" fillId="38" borderId="2" xfId="0" applyNumberFormat="1" applyFont="1" applyFill="1" applyBorder="1" applyAlignment="1">
      <alignment horizontal="right" vertical="top"/>
    </xf>
    <xf numFmtId="171" fontId="25" fillId="38" borderId="2" xfId="0" applyNumberFormat="1" applyFont="1" applyFill="1" applyBorder="1" applyAlignment="1">
      <alignment horizontal="right" vertical="top"/>
    </xf>
    <xf numFmtId="4" fontId="25" fillId="38" borderId="2" xfId="0" applyNumberFormat="1" applyFont="1" applyFill="1" applyBorder="1" applyAlignment="1">
      <alignment horizontal="right" vertical="top"/>
    </xf>
    <xf numFmtId="0" fontId="17" fillId="41" borderId="28" xfId="0" applyFont="1" applyFill="1" applyBorder="1" applyAlignment="1">
      <alignment vertical="center"/>
    </xf>
    <xf numFmtId="0" fontId="17" fillId="41" borderId="29" xfId="0" applyFont="1" applyFill="1" applyBorder="1" applyAlignment="1">
      <alignment vertical="center"/>
    </xf>
    <xf numFmtId="0" fontId="17" fillId="41" borderId="1" xfId="0" applyFont="1" applyFill="1" applyBorder="1" applyAlignment="1">
      <alignment vertical="center"/>
    </xf>
    <xf numFmtId="14" fontId="17" fillId="41" borderId="23" xfId="0" applyNumberFormat="1" applyFont="1" applyFill="1" applyBorder="1" applyAlignment="1">
      <alignment horizontal="center" vertical="center"/>
    </xf>
    <xf numFmtId="10" fontId="17" fillId="41" borderId="14" xfId="2" applyNumberFormat="1" applyFont="1" applyFill="1" applyBorder="1" applyAlignment="1">
      <alignment vertical="center"/>
    </xf>
    <xf numFmtId="49" fontId="17" fillId="41" borderId="24" xfId="2" applyNumberFormat="1" applyFont="1" applyFill="1" applyBorder="1" applyAlignment="1">
      <alignment horizontal="center" vertical="center"/>
    </xf>
    <xf numFmtId="10" fontId="17" fillId="41" borderId="24" xfId="2" applyNumberFormat="1" applyFont="1" applyFill="1" applyBorder="1" applyAlignment="1">
      <alignment horizontal="center" vertical="center"/>
    </xf>
    <xf numFmtId="0" fontId="17" fillId="41" borderId="14" xfId="2" applyNumberFormat="1" applyFont="1" applyFill="1" applyBorder="1" applyAlignment="1">
      <alignment vertical="center"/>
    </xf>
    <xf numFmtId="0" fontId="17" fillId="41" borderId="26" xfId="0" applyFont="1" applyFill="1" applyBorder="1" applyAlignment="1">
      <alignment vertical="center"/>
    </xf>
    <xf numFmtId="0" fontId="17" fillId="41" borderId="27" xfId="0" applyFont="1" applyFill="1" applyBorder="1" applyAlignment="1">
      <alignment horizontal="center" vertical="center"/>
    </xf>
    <xf numFmtId="10" fontId="17" fillId="41" borderId="27" xfId="2" applyNumberFormat="1" applyFont="1" applyFill="1" applyBorder="1" applyAlignment="1">
      <alignment horizontal="center" vertical="center"/>
    </xf>
    <xf numFmtId="0" fontId="17" fillId="0" borderId="1" xfId="0" applyFont="1" applyBorder="1" applyAlignment="1" applyProtection="1">
      <alignment wrapText="1"/>
      <protection locked="0"/>
    </xf>
    <xf numFmtId="0" fontId="19" fillId="0" borderId="1" xfId="0" applyFont="1" applyBorder="1" applyAlignment="1">
      <alignment horizontal="left" vertical="center" wrapText="1"/>
    </xf>
    <xf numFmtId="43" fontId="19" fillId="0" borderId="1" xfId="1" applyFont="1" applyFill="1" applyBorder="1" applyAlignment="1">
      <alignment horizontal="center" vertical="center" wrapText="1"/>
    </xf>
    <xf numFmtId="4" fontId="19" fillId="0" borderId="1" xfId="0" applyNumberFormat="1" applyFont="1" applyBorder="1" applyAlignment="1">
      <alignment horizontal="right" vertical="center" wrapText="1"/>
    </xf>
    <xf numFmtId="9" fontId="19" fillId="0" borderId="29" xfId="2" applyFont="1" applyFill="1" applyBorder="1" applyAlignment="1">
      <alignment horizontal="right" vertical="center" wrapText="1"/>
    </xf>
    <xf numFmtId="0" fontId="17" fillId="0" borderId="0" xfId="0" applyFont="1" applyAlignment="1" applyProtection="1">
      <alignment wrapText="1"/>
      <protection locked="0"/>
    </xf>
    <xf numFmtId="4" fontId="17" fillId="0" borderId="0" xfId="0" applyNumberFormat="1" applyFont="1"/>
    <xf numFmtId="14" fontId="17" fillId="0" borderId="23" xfId="0" applyNumberFormat="1" applyFont="1" applyBorder="1" applyAlignment="1">
      <alignment vertical="center"/>
    </xf>
    <xf numFmtId="0" fontId="19" fillId="16" borderId="2" xfId="0" applyFont="1" applyFill="1" applyBorder="1" applyAlignment="1">
      <alignment horizontal="center" vertical="center" wrapText="1"/>
    </xf>
    <xf numFmtId="0" fontId="19" fillId="17" borderId="2" xfId="0" applyFont="1" applyFill="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4" fontId="21" fillId="0" borderId="1" xfId="0" applyNumberFormat="1" applyFont="1" applyBorder="1" applyAlignment="1">
      <alignment horizontal="right" vertical="center" wrapText="1"/>
    </xf>
    <xf numFmtId="10" fontId="21" fillId="0" borderId="1" xfId="2" applyNumberFormat="1" applyFont="1" applyFill="1" applyBorder="1" applyAlignment="1">
      <alignment horizontal="center" vertical="center" wrapText="1"/>
    </xf>
    <xf numFmtId="169" fontId="21" fillId="0" borderId="1" xfId="1" applyNumberFormat="1" applyFont="1" applyFill="1" applyBorder="1" applyAlignment="1">
      <alignment horizontal="center" vertical="center" wrapText="1"/>
    </xf>
    <xf numFmtId="0" fontId="21" fillId="0" borderId="1" xfId="0" applyFont="1" applyBorder="1" applyAlignment="1">
      <alignment horizontal="justify" vertical="center" wrapText="1"/>
    </xf>
    <xf numFmtId="4" fontId="22" fillId="0" borderId="1" xfId="0" applyNumberFormat="1" applyFont="1" applyBorder="1" applyAlignment="1">
      <alignment horizontal="right" vertical="center" wrapText="1"/>
    </xf>
    <xf numFmtId="164" fontId="21" fillId="0" borderId="1" xfId="0" applyNumberFormat="1" applyFont="1" applyBorder="1" applyAlignment="1">
      <alignment horizontal="right" vertical="center" wrapText="1"/>
    </xf>
    <xf numFmtId="0" fontId="20" fillId="45" borderId="1" xfId="0" applyFont="1" applyFill="1" applyBorder="1" applyAlignment="1">
      <alignment horizontal="left" vertical="center"/>
    </xf>
    <xf numFmtId="0" fontId="19" fillId="45" borderId="1" xfId="0" applyFont="1" applyFill="1" applyBorder="1" applyAlignment="1">
      <alignment horizontal="left" vertical="center"/>
    </xf>
    <xf numFmtId="4" fontId="21" fillId="45" borderId="1" xfId="0" applyNumberFormat="1" applyFont="1" applyFill="1" applyBorder="1" applyAlignment="1">
      <alignment horizontal="right" vertical="center" wrapText="1"/>
    </xf>
    <xf numFmtId="4" fontId="22" fillId="45" borderId="1" xfId="0" applyNumberFormat="1" applyFont="1" applyFill="1" applyBorder="1" applyAlignment="1">
      <alignment horizontal="right" vertical="center" wrapText="1"/>
    </xf>
    <xf numFmtId="4" fontId="19" fillId="45" borderId="1" xfId="0" applyNumberFormat="1" applyFont="1" applyFill="1" applyBorder="1" applyAlignment="1">
      <alignment horizontal="right" vertical="center" wrapText="1"/>
    </xf>
    <xf numFmtId="0" fontId="20" fillId="6" borderId="1" xfId="0" applyFont="1" applyFill="1" applyBorder="1" applyAlignment="1">
      <alignment horizontal="left" vertical="center"/>
    </xf>
    <xf numFmtId="0" fontId="19" fillId="6" borderId="1" xfId="0" applyFont="1" applyFill="1" applyBorder="1" applyAlignment="1">
      <alignment horizontal="left" vertical="center"/>
    </xf>
    <xf numFmtId="0" fontId="19" fillId="6" borderId="1" xfId="0" applyFont="1" applyFill="1" applyBorder="1" applyAlignment="1">
      <alignment horizontal="left" vertical="center" wrapText="1"/>
    </xf>
    <xf numFmtId="4" fontId="22" fillId="11" borderId="1" xfId="0" applyNumberFormat="1" applyFont="1" applyFill="1" applyBorder="1" applyAlignment="1">
      <alignment horizontal="right" vertical="center" wrapText="1"/>
    </xf>
    <xf numFmtId="4" fontId="21" fillId="11" borderId="1" xfId="0" applyNumberFormat="1" applyFont="1" applyFill="1" applyBorder="1" applyAlignment="1">
      <alignment horizontal="right" vertical="center" wrapText="1"/>
    </xf>
    <xf numFmtId="0" fontId="21" fillId="9" borderId="1" xfId="0" applyFont="1" applyFill="1" applyBorder="1" applyAlignment="1">
      <alignment horizontal="center" vertical="center" wrapText="1"/>
    </xf>
    <xf numFmtId="0" fontId="21" fillId="10" borderId="1" xfId="0" applyFont="1" applyFill="1" applyBorder="1" applyAlignment="1">
      <alignment horizontal="justify" vertical="center" wrapText="1"/>
    </xf>
    <xf numFmtId="164" fontId="21" fillId="12" borderId="1" xfId="0" applyNumberFormat="1" applyFont="1" applyFill="1" applyBorder="1" applyAlignment="1">
      <alignment horizontal="right" vertical="center" wrapText="1"/>
    </xf>
    <xf numFmtId="0" fontId="20" fillId="0" borderId="1" xfId="0" applyFont="1" applyFill="1" applyBorder="1" applyAlignment="1">
      <alignment horizontal="left" vertical="center"/>
    </xf>
    <xf numFmtId="0" fontId="19"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4" fontId="22" fillId="0" borderId="1" xfId="0" applyNumberFormat="1" applyFont="1" applyFill="1" applyBorder="1" applyAlignment="1">
      <alignment horizontal="right" vertical="center" wrapText="1"/>
    </xf>
    <xf numFmtId="4" fontId="21" fillId="0" borderId="1" xfId="0" applyNumberFormat="1" applyFont="1" applyFill="1" applyBorder="1" applyAlignment="1">
      <alignment horizontal="right" vertical="center" wrapText="1"/>
    </xf>
    <xf numFmtId="4" fontId="19" fillId="0" borderId="1" xfId="0" applyNumberFormat="1" applyFont="1" applyFill="1" applyBorder="1" applyAlignment="1">
      <alignment horizontal="right" vertical="center" wrapText="1"/>
    </xf>
    <xf numFmtId="0" fontId="19" fillId="45" borderId="1" xfId="0" applyFont="1" applyFill="1" applyBorder="1" applyAlignment="1">
      <alignment horizontal="left" vertical="center" wrapText="1"/>
    </xf>
    <xf numFmtId="0" fontId="17" fillId="38" borderId="1" xfId="10" applyFont="1" applyAlignment="1">
      <alignment vertical="center"/>
    </xf>
    <xf numFmtId="173" fontId="17" fillId="38" borderId="1" xfId="11" applyNumberFormat="1" applyFont="1" applyAlignment="1">
      <alignment vertical="center"/>
    </xf>
    <xf numFmtId="0" fontId="16" fillId="40" borderId="1" xfId="10" applyFont="1" applyFill="1" applyAlignment="1">
      <alignment horizontal="centerContinuous" vertical="center"/>
    </xf>
    <xf numFmtId="173" fontId="16" fillId="40" borderId="1" xfId="11" applyNumberFormat="1" applyFont="1" applyFill="1" applyAlignment="1">
      <alignment horizontal="centerContinuous" vertical="center"/>
    </xf>
    <xf numFmtId="173" fontId="17" fillId="38" borderId="1" xfId="11" applyNumberFormat="1" applyFont="1" applyBorder="1" applyAlignment="1">
      <alignment vertical="center"/>
    </xf>
    <xf numFmtId="0" fontId="18" fillId="38" borderId="7" xfId="10" applyFont="1" applyBorder="1" applyAlignment="1">
      <alignment vertical="center"/>
    </xf>
    <xf numFmtId="0" fontId="17" fillId="38" borderId="28" xfId="10" applyFont="1" applyBorder="1" applyAlignment="1">
      <alignment vertical="center"/>
    </xf>
    <xf numFmtId="173" fontId="17" fillId="38" borderId="28" xfId="11" applyNumberFormat="1" applyFont="1" applyBorder="1" applyAlignment="1">
      <alignment vertical="center"/>
    </xf>
    <xf numFmtId="0" fontId="18" fillId="38" borderId="14" xfId="10" applyFont="1" applyBorder="1" applyAlignment="1">
      <alignment vertical="center"/>
    </xf>
    <xf numFmtId="0" fontId="17" fillId="38" borderId="22" xfId="10" applyFont="1" applyBorder="1" applyAlignment="1">
      <alignment vertical="center"/>
    </xf>
    <xf numFmtId="0" fontId="18" fillId="38" borderId="21" xfId="10" applyFont="1" applyBorder="1" applyAlignment="1">
      <alignment vertical="center"/>
    </xf>
    <xf numFmtId="0" fontId="17" fillId="38" borderId="23" xfId="10" applyFont="1" applyBorder="1" applyAlignment="1">
      <alignment horizontal="center" vertical="center"/>
    </xf>
    <xf numFmtId="14" fontId="17" fillId="38" borderId="23" xfId="10" applyNumberFormat="1" applyFont="1" applyBorder="1" applyAlignment="1">
      <alignment horizontal="center" vertical="center"/>
    </xf>
    <xf numFmtId="10" fontId="17" fillId="38" borderId="14" xfId="12" applyNumberFormat="1" applyFont="1" applyBorder="1" applyAlignment="1">
      <alignment vertical="center"/>
    </xf>
    <xf numFmtId="10" fontId="17" fillId="38" borderId="24" xfId="12" applyNumberFormat="1" applyFont="1" applyBorder="1" applyAlignment="1">
      <alignment horizontal="center" vertical="center"/>
    </xf>
    <xf numFmtId="0" fontId="18" fillId="38" borderId="25" xfId="10" applyFont="1" applyBorder="1" applyAlignment="1">
      <alignment vertical="center"/>
    </xf>
    <xf numFmtId="0" fontId="17" fillId="38" borderId="26" xfId="10" applyFont="1" applyBorder="1" applyAlignment="1">
      <alignment vertical="center"/>
    </xf>
    <xf numFmtId="10" fontId="17" fillId="38" borderId="27" xfId="12" applyNumberFormat="1" applyFont="1" applyBorder="1" applyAlignment="1">
      <alignment horizontal="center" vertical="center"/>
    </xf>
    <xf numFmtId="0" fontId="17" fillId="38" borderId="1" xfId="10" applyFont="1" applyAlignment="1" applyProtection="1">
      <alignment vertical="center" wrapText="1"/>
      <protection locked="0"/>
    </xf>
    <xf numFmtId="0" fontId="19" fillId="38" borderId="1" xfId="10" applyFont="1" applyAlignment="1">
      <alignment horizontal="right" vertical="center" wrapText="1"/>
    </xf>
    <xf numFmtId="173" fontId="17" fillId="38" borderId="1" xfId="11" applyNumberFormat="1" applyFont="1" applyFill="1" applyAlignment="1" applyProtection="1">
      <alignment vertical="center" wrapText="1"/>
      <protection locked="0"/>
    </xf>
    <xf numFmtId="0" fontId="19" fillId="17" borderId="2" xfId="10" applyFont="1" applyFill="1" applyBorder="1" applyAlignment="1">
      <alignment horizontal="center" vertical="center" wrapText="1"/>
    </xf>
    <xf numFmtId="0" fontId="19" fillId="17" borderId="2" xfId="10" applyFont="1" applyFill="1" applyBorder="1" applyAlignment="1">
      <alignment horizontal="left" vertical="center" wrapText="1"/>
    </xf>
    <xf numFmtId="0" fontId="21" fillId="38" borderId="1" xfId="10" applyFont="1" applyAlignment="1">
      <alignment horizontal="center" vertical="center" wrapText="1"/>
    </xf>
    <xf numFmtId="0" fontId="21" fillId="38" borderId="1" xfId="10" applyFont="1" applyAlignment="1">
      <alignment horizontal="left" vertical="center" wrapText="1"/>
    </xf>
    <xf numFmtId="173" fontId="21" fillId="38" borderId="1" xfId="11" applyNumberFormat="1" applyFont="1" applyFill="1" applyBorder="1" applyAlignment="1">
      <alignment horizontal="right" vertical="center" wrapText="1"/>
    </xf>
    <xf numFmtId="4" fontId="21" fillId="38" borderId="1" xfId="10" applyNumberFormat="1" applyFont="1" applyAlignment="1">
      <alignment horizontal="right" vertical="center" wrapText="1"/>
    </xf>
    <xf numFmtId="4" fontId="17" fillId="38" borderId="1" xfId="10" applyNumberFormat="1" applyFont="1" applyAlignment="1">
      <alignment vertical="center"/>
    </xf>
    <xf numFmtId="49" fontId="17" fillId="38" borderId="24" xfId="12" applyNumberFormat="1" applyFont="1" applyBorder="1" applyAlignment="1">
      <alignment horizontal="center" vertical="center"/>
    </xf>
    <xf numFmtId="0" fontId="17" fillId="0" borderId="6" xfId="0" applyFont="1" applyBorder="1" applyAlignment="1">
      <alignment vertical="center"/>
    </xf>
    <xf numFmtId="0" fontId="27" fillId="38" borderId="6" xfId="4" applyFont="1" applyFill="1" applyBorder="1" applyAlignment="1">
      <alignment horizontal="center" vertical="center" wrapText="1"/>
    </xf>
    <xf numFmtId="0" fontId="27" fillId="38" borderId="6" xfId="4" applyFont="1" applyFill="1" applyBorder="1" applyAlignment="1">
      <alignment horizontal="center" vertical="center"/>
    </xf>
    <xf numFmtId="49" fontId="27" fillId="38" borderId="7" xfId="4" applyNumberFormat="1" applyFont="1" applyFill="1" applyBorder="1" applyAlignment="1">
      <alignment horizontal="center" vertical="center"/>
    </xf>
    <xf numFmtId="0" fontId="27" fillId="38" borderId="6" xfId="4" applyFont="1" applyFill="1" applyBorder="1" applyAlignment="1" applyProtection="1">
      <alignment horizontal="center" vertical="center"/>
    </xf>
    <xf numFmtId="4" fontId="27" fillId="38" borderId="6" xfId="4" applyNumberFormat="1" applyFont="1" applyFill="1" applyBorder="1" applyAlignment="1">
      <alignment horizontal="center" vertical="center"/>
    </xf>
    <xf numFmtId="4" fontId="27" fillId="38" borderId="6" xfId="4" applyNumberFormat="1" applyFont="1" applyFill="1" applyBorder="1" applyAlignment="1" applyProtection="1">
      <alignment horizontal="center" vertical="center"/>
    </xf>
    <xf numFmtId="0" fontId="22" fillId="38" borderId="1" xfId="3" applyFont="1" applyAlignment="1">
      <alignment horizontal="center" vertical="center"/>
    </xf>
    <xf numFmtId="0" fontId="22" fillId="38" borderId="1" xfId="4" applyFont="1" applyFill="1" applyBorder="1" applyAlignment="1">
      <alignment horizontal="center" vertical="center" wrapText="1"/>
    </xf>
    <xf numFmtId="4" fontId="22" fillId="38" borderId="1" xfId="4" applyNumberFormat="1" applyFont="1" applyFill="1" applyBorder="1" applyAlignment="1">
      <alignment vertical="center" wrapText="1"/>
    </xf>
    <xf numFmtId="49" fontId="22" fillId="38" borderId="1" xfId="4" applyNumberFormat="1" applyFont="1" applyFill="1" applyBorder="1" applyAlignment="1">
      <alignment horizontal="center" vertical="center" wrapText="1"/>
    </xf>
    <xf numFmtId="167" fontId="22" fillId="38" borderId="1" xfId="4" applyNumberFormat="1" applyFont="1" applyFill="1" applyBorder="1" applyAlignment="1" applyProtection="1">
      <alignment horizontal="center" vertical="center" wrapText="1"/>
    </xf>
    <xf numFmtId="0" fontId="22" fillId="38" borderId="8" xfId="4" applyFont="1" applyFill="1" applyBorder="1" applyAlignment="1">
      <alignment horizontal="center" vertical="center" wrapText="1"/>
    </xf>
    <xf numFmtId="0" fontId="22" fillId="38" borderId="9" xfId="4" applyFont="1" applyFill="1" applyBorder="1" applyAlignment="1">
      <alignment horizontal="center" vertical="center" wrapText="1"/>
    </xf>
    <xf numFmtId="4" fontId="22" fillId="38" borderId="9" xfId="4" applyNumberFormat="1" applyFont="1" applyFill="1" applyBorder="1" applyAlignment="1">
      <alignment vertical="center" wrapText="1"/>
    </xf>
    <xf numFmtId="0" fontId="22" fillId="38" borderId="10" xfId="4" applyFont="1" applyFill="1" applyBorder="1" applyAlignment="1">
      <alignment horizontal="center" vertical="center" wrapText="1"/>
    </xf>
    <xf numFmtId="0" fontId="22" fillId="38" borderId="11" xfId="4" applyFont="1" applyFill="1" applyBorder="1" applyAlignment="1">
      <alignment vertical="center" wrapText="1"/>
    </xf>
    <xf numFmtId="0" fontId="27" fillId="38" borderId="11" xfId="4" applyFont="1" applyFill="1" applyBorder="1" applyAlignment="1" applyProtection="1">
      <alignment horizontal="center" vertical="center" wrapText="1"/>
    </xf>
    <xf numFmtId="0" fontId="27" fillId="38" borderId="19" xfId="4" applyFont="1" applyFill="1" applyBorder="1" applyAlignment="1" applyProtection="1">
      <alignment horizontal="center" vertical="center" wrapText="1"/>
    </xf>
    <xf numFmtId="0" fontId="22" fillId="38" borderId="1" xfId="3" applyFont="1" applyAlignment="1">
      <alignment vertical="center" wrapText="1"/>
    </xf>
    <xf numFmtId="0" fontId="22" fillId="38" borderId="12" xfId="4" applyFont="1" applyFill="1" applyBorder="1" applyAlignment="1">
      <alignment horizontal="center" vertical="center" wrapText="1"/>
    </xf>
    <xf numFmtId="0" fontId="22" fillId="38" borderId="13" xfId="4" applyFont="1" applyFill="1" applyBorder="1" applyAlignment="1">
      <alignment horizontal="center" vertical="center" wrapText="1"/>
    </xf>
    <xf numFmtId="4" fontId="22" fillId="38" borderId="13" xfId="4" applyNumberFormat="1" applyFont="1" applyFill="1" applyBorder="1" applyAlignment="1">
      <alignment vertical="center" wrapText="1"/>
    </xf>
    <xf numFmtId="0" fontId="22" fillId="38" borderId="14" xfId="4" applyFont="1" applyFill="1" applyBorder="1" applyAlignment="1">
      <alignment horizontal="center" vertical="center" wrapText="1"/>
    </xf>
    <xf numFmtId="0" fontId="22" fillId="38" borderId="6" xfId="4" applyFont="1" applyFill="1" applyBorder="1" applyAlignment="1">
      <alignment vertical="center" wrapText="1"/>
    </xf>
    <xf numFmtId="0" fontId="22" fillId="38" borderId="6" xfId="4" applyFont="1" applyFill="1" applyBorder="1" applyAlignment="1" applyProtection="1">
      <alignment horizontal="center" vertical="center" wrapText="1"/>
    </xf>
    <xf numFmtId="0" fontId="22" fillId="38" borderId="7" xfId="4" applyFont="1" applyFill="1" applyBorder="1" applyAlignment="1" applyProtection="1">
      <alignment horizontal="center" vertical="center" wrapText="1"/>
    </xf>
    <xf numFmtId="49" fontId="22" fillId="38" borderId="6" xfId="4" applyNumberFormat="1" applyFont="1" applyFill="1" applyBorder="1" applyAlignment="1" applyProtection="1">
      <alignment horizontal="center" vertical="center" wrapText="1"/>
    </xf>
    <xf numFmtId="49" fontId="22" fillId="38" borderId="7" xfId="4" applyNumberFormat="1" applyFont="1" applyFill="1" applyBorder="1" applyAlignment="1" applyProtection="1">
      <alignment horizontal="center" vertical="center" wrapText="1"/>
    </xf>
    <xf numFmtId="0" fontId="22" fillId="38" borderId="15" xfId="4" applyFont="1" applyFill="1" applyBorder="1" applyAlignment="1">
      <alignment horizontal="center" vertical="center" wrapText="1"/>
    </xf>
    <xf numFmtId="0" fontId="22" fillId="38" borderId="16" xfId="4" applyFont="1" applyFill="1" applyBorder="1" applyAlignment="1">
      <alignment horizontal="center" vertical="center" wrapText="1"/>
    </xf>
    <xf numFmtId="4" fontId="22" fillId="38" borderId="16" xfId="4" applyNumberFormat="1" applyFont="1" applyFill="1" applyBorder="1" applyAlignment="1">
      <alignment vertical="center" wrapText="1"/>
    </xf>
    <xf numFmtId="0" fontId="22" fillId="38" borderId="17" xfId="4" applyFont="1" applyFill="1" applyBorder="1" applyAlignment="1">
      <alignment horizontal="center" vertical="center" wrapText="1"/>
    </xf>
    <xf numFmtId="0" fontId="22" fillId="38" borderId="18" xfId="4" applyFont="1" applyFill="1" applyBorder="1" applyAlignment="1">
      <alignment horizontal="left" vertical="center" wrapText="1"/>
    </xf>
    <xf numFmtId="167" fontId="27" fillId="38" borderId="18" xfId="4" applyNumberFormat="1" applyFont="1" applyFill="1" applyBorder="1" applyAlignment="1" applyProtection="1">
      <alignment horizontal="center" vertical="center" wrapText="1"/>
    </xf>
    <xf numFmtId="167" fontId="27" fillId="38" borderId="20" xfId="4" applyNumberFormat="1" applyFont="1" applyFill="1" applyBorder="1" applyAlignment="1" applyProtection="1">
      <alignment horizontal="center" vertical="center" wrapText="1"/>
    </xf>
    <xf numFmtId="0" fontId="22" fillId="38" borderId="1" xfId="4" applyFont="1" applyFill="1" applyBorder="1" applyAlignment="1">
      <alignment horizontal="left" vertical="center" wrapText="1"/>
    </xf>
    <xf numFmtId="167" fontId="27" fillId="38" borderId="1" xfId="4" applyNumberFormat="1" applyFont="1" applyFill="1" applyBorder="1" applyAlignment="1" applyProtection="1">
      <alignment horizontal="center" vertical="center" wrapText="1"/>
    </xf>
    <xf numFmtId="167" fontId="28" fillId="38" borderId="1" xfId="4" applyNumberFormat="1" applyFont="1" applyFill="1" applyBorder="1" applyAlignment="1" applyProtection="1">
      <alignment horizontal="center" vertical="center" wrapText="1"/>
    </xf>
    <xf numFmtId="0" fontId="22" fillId="38" borderId="36" xfId="4" applyFont="1" applyFill="1" applyBorder="1" applyAlignment="1">
      <alignment horizontal="left" vertical="center"/>
    </xf>
    <xf numFmtId="0" fontId="22" fillId="38" borderId="37" xfId="4" applyFont="1" applyFill="1" applyBorder="1" applyAlignment="1">
      <alignment horizontal="left" vertical="center"/>
    </xf>
    <xf numFmtId="4" fontId="22" fillId="38" borderId="37" xfId="4" applyNumberFormat="1" applyFont="1" applyFill="1" applyBorder="1" applyAlignment="1">
      <alignment horizontal="left" vertical="center"/>
    </xf>
    <xf numFmtId="167" fontId="27" fillId="38" borderId="37" xfId="4" applyNumberFormat="1" applyFont="1" applyFill="1" applyBorder="1" applyAlignment="1" applyProtection="1">
      <alignment horizontal="left" vertical="center"/>
    </xf>
    <xf numFmtId="167" fontId="28" fillId="38" borderId="37" xfId="4" applyNumberFormat="1" applyFont="1" applyFill="1" applyBorder="1" applyAlignment="1" applyProtection="1">
      <alignment horizontal="left" vertical="center"/>
    </xf>
    <xf numFmtId="167" fontId="27" fillId="38" borderId="38" xfId="4" applyNumberFormat="1" applyFont="1" applyFill="1" applyBorder="1" applyAlignment="1" applyProtection="1">
      <alignment horizontal="left" vertical="center"/>
    </xf>
    <xf numFmtId="0" fontId="22" fillId="38" borderId="39" xfId="4" applyFont="1" applyFill="1" applyBorder="1" applyAlignment="1">
      <alignment horizontal="left" vertical="center"/>
    </xf>
    <xf numFmtId="0" fontId="22" fillId="38" borderId="1" xfId="4" applyFont="1" applyFill="1" applyBorder="1" applyAlignment="1">
      <alignment horizontal="left" vertical="center"/>
    </xf>
    <xf numFmtId="4" fontId="22" fillId="38" borderId="1" xfId="4" applyNumberFormat="1" applyFont="1" applyFill="1" applyBorder="1" applyAlignment="1">
      <alignment horizontal="left" vertical="center"/>
    </xf>
    <xf numFmtId="167" fontId="27" fillId="38" borderId="1" xfId="4" applyNumberFormat="1" applyFont="1" applyFill="1" applyBorder="1" applyAlignment="1" applyProtection="1">
      <alignment horizontal="left" vertical="center"/>
    </xf>
    <xf numFmtId="167" fontId="28" fillId="38" borderId="1" xfId="4" applyNumberFormat="1" applyFont="1" applyFill="1" applyBorder="1" applyAlignment="1" applyProtection="1">
      <alignment horizontal="left" vertical="center"/>
    </xf>
    <xf numFmtId="167" fontId="27" fillId="38" borderId="40" xfId="4" applyNumberFormat="1" applyFont="1" applyFill="1" applyBorder="1" applyAlignment="1" applyProtection="1">
      <alignment horizontal="left" vertical="center"/>
    </xf>
    <xf numFmtId="0" fontId="22" fillId="38" borderId="1" xfId="4" applyFont="1" applyFill="1" applyBorder="1" applyAlignment="1">
      <alignment horizontal="right" vertical="center"/>
    </xf>
    <xf numFmtId="4" fontId="22" fillId="38" borderId="1" xfId="4" applyNumberFormat="1" applyFont="1" applyFill="1" applyBorder="1" applyAlignment="1">
      <alignment horizontal="right" vertical="center"/>
    </xf>
    <xf numFmtId="0" fontId="22" fillId="38" borderId="1" xfId="4" applyFont="1" applyFill="1" applyBorder="1" applyAlignment="1">
      <alignment horizontal="center" vertical="center"/>
    </xf>
    <xf numFmtId="0" fontId="22" fillId="38" borderId="21" xfId="3" applyFont="1" applyBorder="1" applyAlignment="1">
      <alignment horizontal="center" vertical="center"/>
    </xf>
    <xf numFmtId="167" fontId="22" fillId="38" borderId="22" xfId="4" applyNumberFormat="1" applyFont="1" applyFill="1" applyBorder="1" applyAlignment="1" applyProtection="1">
      <alignment horizontal="center" vertical="center"/>
    </xf>
    <xf numFmtId="167" fontId="22" fillId="38" borderId="23" xfId="4" applyNumberFormat="1" applyFont="1" applyFill="1" applyBorder="1" applyAlignment="1" applyProtection="1">
      <alignment horizontal="center" vertical="center"/>
    </xf>
    <xf numFmtId="167" fontId="22" fillId="38" borderId="14" xfId="4" applyNumberFormat="1" applyFont="1" applyFill="1" applyBorder="1" applyAlignment="1" applyProtection="1">
      <alignment horizontal="center" vertical="center"/>
    </xf>
    <xf numFmtId="44" fontId="22" fillId="38" borderId="1" xfId="8" applyFont="1" applyFill="1" applyBorder="1" applyAlignment="1">
      <alignment vertical="center"/>
    </xf>
    <xf numFmtId="44" fontId="22" fillId="38" borderId="24" xfId="8" applyFont="1" applyFill="1" applyBorder="1" applyAlignment="1" applyProtection="1">
      <alignment vertical="center"/>
    </xf>
    <xf numFmtId="44" fontId="22" fillId="38" borderId="1" xfId="8" applyFont="1" applyFill="1" applyBorder="1" applyAlignment="1" applyProtection="1">
      <alignment vertical="center"/>
    </xf>
    <xf numFmtId="0" fontId="22" fillId="38" borderId="25" xfId="3" applyFont="1" applyBorder="1" applyAlignment="1">
      <alignment vertical="center"/>
    </xf>
    <xf numFmtId="167" fontId="22" fillId="38" borderId="26" xfId="4" applyNumberFormat="1" applyFont="1" applyFill="1" applyBorder="1" applyAlignment="1" applyProtection="1">
      <alignment horizontal="left" vertical="center"/>
    </xf>
    <xf numFmtId="167" fontId="22" fillId="38" borderId="27" xfId="4" applyNumberFormat="1" applyFont="1" applyFill="1" applyBorder="1" applyAlignment="1" applyProtection="1">
      <alignment horizontal="left" vertical="center"/>
    </xf>
    <xf numFmtId="9" fontId="22" fillId="38" borderId="1" xfId="2" applyFont="1" applyFill="1" applyBorder="1" applyAlignment="1" applyProtection="1">
      <alignment horizontal="left" vertical="center"/>
    </xf>
    <xf numFmtId="0" fontId="22" fillId="38" borderId="1" xfId="3" applyFont="1" applyAlignment="1">
      <alignment vertical="center"/>
    </xf>
    <xf numFmtId="167" fontId="22" fillId="38" borderId="1" xfId="4" applyNumberFormat="1" applyFont="1" applyFill="1" applyBorder="1" applyAlignment="1" applyProtection="1">
      <alignment horizontal="left" vertical="center"/>
    </xf>
    <xf numFmtId="0" fontId="22" fillId="38" borderId="21" xfId="4" applyFont="1" applyFill="1" applyBorder="1" applyAlignment="1">
      <alignment horizontal="left" vertical="center"/>
    </xf>
    <xf numFmtId="168" fontId="27" fillId="38" borderId="40" xfId="2" applyNumberFormat="1" applyFont="1" applyFill="1" applyBorder="1" applyAlignment="1" applyProtection="1">
      <alignment horizontal="left" vertical="center"/>
    </xf>
    <xf numFmtId="167" fontId="22" fillId="38" borderId="1" xfId="4" applyNumberFormat="1" applyFont="1" applyFill="1" applyBorder="1" applyAlignment="1" applyProtection="1">
      <alignment horizontal="center" vertical="center"/>
    </xf>
    <xf numFmtId="167" fontId="22" fillId="38" borderId="24" xfId="4" applyNumberFormat="1" applyFont="1" applyFill="1" applyBorder="1" applyAlignment="1" applyProtection="1">
      <alignment horizontal="center" vertical="center"/>
    </xf>
    <xf numFmtId="167" fontId="22" fillId="38" borderId="25" xfId="4" applyNumberFormat="1" applyFont="1" applyFill="1" applyBorder="1" applyAlignment="1" applyProtection="1">
      <alignment horizontal="center" vertical="center"/>
    </xf>
    <xf numFmtId="167" fontId="22" fillId="38" borderId="26" xfId="4" applyNumberFormat="1" applyFont="1" applyFill="1" applyBorder="1" applyAlignment="1" applyProtection="1">
      <alignment horizontal="center" vertical="center"/>
    </xf>
    <xf numFmtId="167" fontId="22" fillId="38" borderId="27" xfId="4" applyNumberFormat="1" applyFont="1" applyFill="1" applyBorder="1" applyAlignment="1" applyProtection="1">
      <alignment horizontal="center" vertical="center"/>
    </xf>
    <xf numFmtId="0" fontId="22" fillId="38" borderId="41" xfId="4" applyFont="1" applyFill="1" applyBorder="1" applyAlignment="1">
      <alignment horizontal="left" vertical="center"/>
    </xf>
    <xf numFmtId="0" fontId="22" fillId="38" borderId="42" xfId="4" applyFont="1" applyFill="1" applyBorder="1" applyAlignment="1">
      <alignment horizontal="left" vertical="center"/>
    </xf>
    <xf numFmtId="4" fontId="22" fillId="38" borderId="42" xfId="4" applyNumberFormat="1" applyFont="1" applyFill="1" applyBorder="1" applyAlignment="1">
      <alignment horizontal="left" vertical="center"/>
    </xf>
    <xf numFmtId="167" fontId="27" fillId="38" borderId="42" xfId="4" applyNumberFormat="1" applyFont="1" applyFill="1" applyBorder="1" applyAlignment="1" applyProtection="1">
      <alignment horizontal="left" vertical="center"/>
    </xf>
    <xf numFmtId="167" fontId="28" fillId="38" borderId="42" xfId="4" applyNumberFormat="1" applyFont="1" applyFill="1" applyBorder="1" applyAlignment="1" applyProtection="1">
      <alignment horizontal="left" vertical="center"/>
    </xf>
    <xf numFmtId="167" fontId="27" fillId="38" borderId="43" xfId="4" applyNumberFormat="1" applyFont="1" applyFill="1" applyBorder="1" applyAlignment="1" applyProtection="1">
      <alignment horizontal="left" vertical="center"/>
    </xf>
    <xf numFmtId="0" fontId="22" fillId="38" borderId="36" xfId="3" applyFont="1" applyBorder="1" applyAlignment="1">
      <alignment vertical="center"/>
    </xf>
    <xf numFmtId="0" fontId="22" fillId="38" borderId="37" xfId="3" applyFont="1" applyBorder="1" applyAlignment="1">
      <alignment vertical="center"/>
    </xf>
    <xf numFmtId="2" fontId="22" fillId="38" borderId="37" xfId="3" applyNumberFormat="1" applyFont="1" applyBorder="1" applyAlignment="1">
      <alignment horizontal="center" vertical="center"/>
    </xf>
    <xf numFmtId="4" fontId="22" fillId="38" borderId="37" xfId="3" applyNumberFormat="1" applyFont="1" applyBorder="1" applyAlignment="1">
      <alignment vertical="center"/>
    </xf>
    <xf numFmtId="0" fontId="22" fillId="38" borderId="38" xfId="3" applyFont="1" applyBorder="1" applyAlignment="1">
      <alignment vertical="center"/>
    </xf>
    <xf numFmtId="0" fontId="22" fillId="38" borderId="39" xfId="3" applyFont="1" applyBorder="1" applyAlignment="1">
      <alignment vertical="center"/>
    </xf>
    <xf numFmtId="4" fontId="22" fillId="38" borderId="1" xfId="3" applyNumberFormat="1" applyFont="1" applyAlignment="1">
      <alignment horizontal="center" vertical="center"/>
    </xf>
    <xf numFmtId="4" fontId="22" fillId="38" borderId="1" xfId="3" applyNumberFormat="1" applyFont="1" applyAlignment="1">
      <alignment vertical="center"/>
    </xf>
    <xf numFmtId="0" fontId="22" fillId="38" borderId="40" xfId="3" applyFont="1" applyBorder="1" applyAlignment="1">
      <alignment vertical="center"/>
    </xf>
    <xf numFmtId="167" fontId="22" fillId="38" borderId="1" xfId="4" applyNumberFormat="1" applyFont="1" applyFill="1" applyBorder="1" applyAlignment="1" applyProtection="1">
      <alignment horizontal="right" vertical="center"/>
    </xf>
    <xf numFmtId="4" fontId="22" fillId="38" borderId="1" xfId="3" applyNumberFormat="1" applyFont="1" applyAlignment="1">
      <alignment horizontal="right" vertical="center"/>
    </xf>
    <xf numFmtId="167" fontId="22" fillId="42" borderId="1" xfId="4" applyNumberFormat="1" applyFont="1" applyFill="1" applyBorder="1" applyAlignment="1" applyProtection="1">
      <alignment horizontal="center" vertical="center"/>
    </xf>
    <xf numFmtId="2" fontId="22" fillId="38" borderId="1" xfId="3" applyNumberFormat="1" applyFont="1" applyAlignment="1">
      <alignment horizontal="center" vertical="center"/>
    </xf>
    <xf numFmtId="0" fontId="22" fillId="38" borderId="41" xfId="3" applyFont="1" applyBorder="1" applyAlignment="1">
      <alignment vertical="center"/>
    </xf>
    <xf numFmtId="0" fontId="22" fillId="38" borderId="42" xfId="3" applyFont="1" applyBorder="1" applyAlignment="1">
      <alignment vertical="center"/>
    </xf>
    <xf numFmtId="2" fontId="22" fillId="38" borderId="42" xfId="3" applyNumberFormat="1" applyFont="1" applyBorder="1" applyAlignment="1">
      <alignment horizontal="center" vertical="center"/>
    </xf>
    <xf numFmtId="4" fontId="22" fillId="38" borderId="42" xfId="3" applyNumberFormat="1" applyFont="1" applyBorder="1" applyAlignment="1">
      <alignment vertical="center"/>
    </xf>
    <xf numFmtId="0" fontId="22" fillId="38" borderId="43" xfId="3" applyFont="1" applyBorder="1" applyAlignment="1">
      <alignment vertical="center"/>
    </xf>
    <xf numFmtId="0" fontId="1" fillId="0" borderId="0" xfId="0" applyFont="1" applyAlignment="1">
      <alignment vertical="center"/>
    </xf>
    <xf numFmtId="0" fontId="1" fillId="0" borderId="0" xfId="0" applyFont="1" applyAlignment="1">
      <alignment horizontal="center" vertical="center"/>
    </xf>
    <xf numFmtId="10" fontId="1" fillId="0" borderId="0" xfId="0" applyNumberFormat="1" applyFont="1" applyAlignment="1">
      <alignment vertical="center"/>
    </xf>
    <xf numFmtId="0" fontId="16" fillId="40" borderId="0" xfId="0" applyFont="1" applyFill="1" applyAlignment="1">
      <alignment horizontal="center" vertical="center"/>
    </xf>
    <xf numFmtId="0" fontId="1" fillId="40" borderId="0" xfId="0" applyFont="1" applyFill="1" applyAlignment="1">
      <alignment horizontal="centerContinuous" vertical="center"/>
    </xf>
    <xf numFmtId="10" fontId="1" fillId="40" borderId="0" xfId="0" applyNumberFormat="1" applyFont="1" applyFill="1" applyAlignment="1">
      <alignment horizontal="centerContinuous" vertical="center"/>
    </xf>
    <xf numFmtId="0" fontId="17" fillId="0" borderId="28" xfId="0" applyFont="1" applyBorder="1" applyAlignment="1">
      <alignment horizontal="center" vertical="center"/>
    </xf>
    <xf numFmtId="0" fontId="17" fillId="0" borderId="22" xfId="0" applyFont="1" applyBorder="1" applyAlignment="1">
      <alignment horizontal="center" vertical="center"/>
    </xf>
    <xf numFmtId="0" fontId="17" fillId="0" borderId="1" xfId="0" applyFont="1" applyBorder="1" applyAlignment="1">
      <alignment horizontal="center" vertical="center"/>
    </xf>
    <xf numFmtId="0" fontId="17" fillId="0" borderId="26" xfId="0" applyFont="1" applyBorder="1" applyAlignment="1">
      <alignment horizontal="center" vertical="center"/>
    </xf>
    <xf numFmtId="0" fontId="1" fillId="3" borderId="0" xfId="0" applyFont="1" applyFill="1" applyAlignment="1" applyProtection="1">
      <alignment vertical="center" wrapText="1"/>
      <protection locked="0"/>
    </xf>
    <xf numFmtId="0" fontId="19" fillId="6" borderId="2" xfId="0" applyFont="1" applyFill="1" applyBorder="1" applyAlignment="1">
      <alignment horizontal="left" vertical="center" wrapText="1"/>
    </xf>
    <xf numFmtId="0" fontId="19" fillId="6" borderId="2" xfId="0" applyFont="1" applyFill="1" applyBorder="1" applyAlignment="1">
      <alignment horizontal="left" vertical="center"/>
    </xf>
    <xf numFmtId="0" fontId="19" fillId="6" borderId="2" xfId="0" applyFont="1" applyFill="1" applyBorder="1" applyAlignment="1">
      <alignment horizontal="center" vertical="center"/>
    </xf>
    <xf numFmtId="4" fontId="19" fillId="7" borderId="32" xfId="0" applyNumberFormat="1" applyFont="1" applyFill="1" applyBorder="1" applyAlignment="1">
      <alignment horizontal="right" vertical="center" wrapText="1"/>
    </xf>
    <xf numFmtId="164" fontId="21" fillId="12" borderId="32" xfId="0" applyNumberFormat="1" applyFont="1" applyFill="1" applyBorder="1" applyAlignment="1">
      <alignment horizontal="right" vertical="center" wrapText="1"/>
    </xf>
    <xf numFmtId="4" fontId="1" fillId="0" borderId="0" xfId="0" applyNumberFormat="1" applyFont="1" applyAlignment="1">
      <alignment vertical="center"/>
    </xf>
    <xf numFmtId="0" fontId="29" fillId="8" borderId="2" xfId="0" applyFont="1" applyFill="1" applyBorder="1" applyAlignment="1">
      <alignment horizontal="left" vertical="center" wrapText="1"/>
    </xf>
    <xf numFmtId="0" fontId="29" fillId="9" borderId="2" xfId="0" applyFont="1" applyFill="1" applyBorder="1" applyAlignment="1">
      <alignment horizontal="left" vertical="center" wrapText="1"/>
    </xf>
    <xf numFmtId="0" fontId="29" fillId="10" borderId="2" xfId="0" applyFont="1" applyFill="1" applyBorder="1" applyAlignment="1">
      <alignment horizontal="left" vertical="center" wrapText="1"/>
    </xf>
    <xf numFmtId="0" fontId="29" fillId="9" borderId="2" xfId="0" applyFont="1" applyFill="1" applyBorder="1" applyAlignment="1">
      <alignment horizontal="center" vertical="center" wrapText="1"/>
    </xf>
    <xf numFmtId="4" fontId="29" fillId="11" borderId="2" xfId="0" applyNumberFormat="1" applyFont="1" applyFill="1" applyBorder="1" applyAlignment="1">
      <alignment horizontal="left" vertical="center" wrapText="1"/>
    </xf>
    <xf numFmtId="164" fontId="29" fillId="12" borderId="32" xfId="0" applyNumberFormat="1" applyFont="1" applyFill="1" applyBorder="1" applyAlignment="1">
      <alignment horizontal="left" vertical="center" wrapText="1"/>
    </xf>
    <xf numFmtId="10" fontId="29" fillId="0" borderId="6" xfId="2" applyNumberFormat="1" applyFont="1" applyBorder="1" applyAlignment="1">
      <alignment horizontal="left" vertical="center"/>
    </xf>
    <xf numFmtId="4" fontId="30" fillId="0" borderId="0" xfId="0" applyNumberFormat="1" applyFont="1" applyAlignment="1">
      <alignment horizontal="left" vertical="center"/>
    </xf>
    <xf numFmtId="0" fontId="30" fillId="0" borderId="0" xfId="0" applyFont="1" applyAlignment="1">
      <alignment horizontal="left" vertical="center"/>
    </xf>
    <xf numFmtId="0" fontId="21" fillId="9" borderId="2" xfId="0" applyFont="1" applyFill="1" applyBorder="1" applyAlignment="1">
      <alignment horizontal="left" vertical="center" wrapText="1"/>
    </xf>
    <xf numFmtId="4" fontId="21" fillId="11" borderId="2" xfId="0" applyNumberFormat="1" applyFont="1" applyFill="1" applyBorder="1" applyAlignment="1">
      <alignment horizontal="left" vertical="center" wrapText="1"/>
    </xf>
    <xf numFmtId="164" fontId="21" fillId="12" borderId="32" xfId="0" applyNumberFormat="1" applyFont="1" applyFill="1" applyBorder="1" applyAlignment="1">
      <alignment horizontal="left" vertical="center" wrapText="1"/>
    </xf>
    <xf numFmtId="10" fontId="17" fillId="0" borderId="6" xfId="2" applyNumberFormat="1" applyFont="1" applyBorder="1" applyAlignment="1">
      <alignment horizontal="left" vertical="center"/>
    </xf>
    <xf numFmtId="4" fontId="1" fillId="0" borderId="0" xfId="0" applyNumberFormat="1" applyFont="1" applyAlignment="1">
      <alignment horizontal="left" vertical="center"/>
    </xf>
    <xf numFmtId="0" fontId="1" fillId="0" borderId="0" xfId="0" applyFont="1" applyAlignment="1">
      <alignment horizontal="left" vertical="center"/>
    </xf>
    <xf numFmtId="0" fontId="29" fillId="8" borderId="2" xfId="0" applyFont="1" applyFill="1" applyBorder="1" applyAlignment="1">
      <alignment vertical="center" wrapText="1"/>
    </xf>
    <xf numFmtId="0" fontId="29" fillId="9" borderId="2" xfId="0" applyFont="1" applyFill="1" applyBorder="1" applyAlignment="1">
      <alignment vertical="center" wrapText="1"/>
    </xf>
    <xf numFmtId="0" fontId="29" fillId="10" borderId="2" xfId="0" applyFont="1" applyFill="1" applyBorder="1" applyAlignment="1">
      <alignment vertical="center" wrapText="1"/>
    </xf>
    <xf numFmtId="43" fontId="29" fillId="9" borderId="2" xfId="1" applyFont="1" applyFill="1" applyBorder="1" applyAlignment="1">
      <alignment vertical="center" wrapText="1"/>
    </xf>
    <xf numFmtId="4" fontId="29" fillId="11" borderId="2" xfId="0" applyNumberFormat="1" applyFont="1" applyFill="1" applyBorder="1" applyAlignment="1">
      <alignment vertical="center" wrapText="1"/>
    </xf>
    <xf numFmtId="164" fontId="29" fillId="12" borderId="32" xfId="0" applyNumberFormat="1" applyFont="1" applyFill="1" applyBorder="1" applyAlignment="1">
      <alignment vertical="center" wrapText="1"/>
    </xf>
    <xf numFmtId="10" fontId="29" fillId="0" borderId="6" xfId="2" applyNumberFormat="1" applyFont="1" applyBorder="1" applyAlignment="1">
      <alignment vertical="center"/>
    </xf>
    <xf numFmtId="0" fontId="30" fillId="0" borderId="0" xfId="0" applyFont="1" applyAlignment="1">
      <alignment vertical="center"/>
    </xf>
    <xf numFmtId="0" fontId="29" fillId="10" borderId="2" xfId="0" applyFont="1" applyFill="1" applyBorder="1" applyAlignment="1">
      <alignment horizontal="justify" vertical="center" wrapText="1"/>
    </xf>
    <xf numFmtId="4" fontId="27" fillId="7" borderId="32" xfId="0" applyNumberFormat="1" applyFont="1" applyFill="1" applyBorder="1" applyAlignment="1">
      <alignment horizontal="right" vertical="center" wrapText="1"/>
    </xf>
    <xf numFmtId="10" fontId="22" fillId="0" borderId="6" xfId="2" applyNumberFormat="1" applyFont="1" applyBorder="1" applyAlignment="1">
      <alignment vertical="center"/>
    </xf>
    <xf numFmtId="0" fontId="31" fillId="0" borderId="0" xfId="0" applyFont="1" applyAlignment="1">
      <alignment vertical="center"/>
    </xf>
    <xf numFmtId="0" fontId="29" fillId="10" borderId="2" xfId="0" applyFont="1" applyFill="1" applyBorder="1" applyAlignment="1">
      <alignment horizontal="right" vertical="center" wrapText="1"/>
    </xf>
    <xf numFmtId="43" fontId="29" fillId="10" borderId="2" xfId="1" applyFont="1" applyFill="1" applyBorder="1" applyAlignment="1">
      <alignment horizontal="justify" vertical="center" wrapText="1"/>
    </xf>
    <xf numFmtId="164" fontId="22" fillId="12" borderId="32" xfId="0" applyNumberFormat="1" applyFont="1" applyFill="1" applyBorder="1" applyAlignment="1">
      <alignment horizontal="right" vertical="center" wrapText="1"/>
    </xf>
    <xf numFmtId="4" fontId="22" fillId="11" borderId="2" xfId="0" applyNumberFormat="1" applyFont="1" applyFill="1" applyBorder="1" applyAlignment="1">
      <alignment vertical="center" wrapText="1"/>
    </xf>
    <xf numFmtId="43" fontId="22" fillId="12" borderId="32" xfId="1" applyFont="1" applyFill="1" applyBorder="1" applyAlignment="1">
      <alignment horizontal="right" vertical="center" wrapText="1"/>
    </xf>
    <xf numFmtId="43" fontId="22" fillId="0" borderId="6" xfId="1" applyFont="1" applyBorder="1" applyAlignment="1">
      <alignment vertical="center"/>
    </xf>
    <xf numFmtId="43" fontId="31" fillId="0" borderId="0" xfId="1" applyFont="1" applyAlignment="1">
      <alignment vertical="center"/>
    </xf>
    <xf numFmtId="43" fontId="22" fillId="11" borderId="2" xfId="1" applyFont="1" applyFill="1" applyBorder="1" applyAlignment="1">
      <alignment horizontal="right" vertical="center" wrapText="1"/>
    </xf>
    <xf numFmtId="0" fontId="22" fillId="8" borderId="2" xfId="0" applyFont="1" applyFill="1" applyBorder="1" applyAlignment="1">
      <alignment horizontal="left" vertical="center" wrapText="1"/>
    </xf>
    <xf numFmtId="0" fontId="22" fillId="9" borderId="2" xfId="0" applyFont="1" applyFill="1" applyBorder="1" applyAlignment="1">
      <alignment horizontal="center" vertical="center" wrapText="1"/>
    </xf>
    <xf numFmtId="0" fontId="22" fillId="10" borderId="2" xfId="0" applyFont="1" applyFill="1" applyBorder="1" applyAlignment="1">
      <alignment horizontal="justify" vertical="center" wrapText="1"/>
    </xf>
    <xf numFmtId="43" fontId="29" fillId="9" borderId="2" xfId="1" applyFont="1" applyFill="1" applyBorder="1" applyAlignment="1">
      <alignment horizontal="center" vertical="center" wrapText="1"/>
    </xf>
    <xf numFmtId="43" fontId="29" fillId="10" borderId="2" xfId="1" applyFont="1" applyFill="1" applyBorder="1" applyAlignment="1">
      <alignment horizontal="center" vertical="center" wrapText="1"/>
    </xf>
    <xf numFmtId="4" fontId="29" fillId="11" borderId="2" xfId="0" applyNumberFormat="1" applyFont="1" applyFill="1" applyBorder="1" applyAlignment="1">
      <alignment horizontal="right" vertical="center" wrapText="1"/>
    </xf>
    <xf numFmtId="43" fontId="29" fillId="9" borderId="2" xfId="1" applyFont="1" applyFill="1" applyBorder="1" applyAlignment="1">
      <alignment horizontal="center" vertical="center"/>
    </xf>
    <xf numFmtId="4" fontId="29" fillId="11" borderId="2" xfId="0" applyNumberFormat="1" applyFont="1" applyFill="1" applyBorder="1" applyAlignment="1">
      <alignment horizontal="right" vertical="center"/>
    </xf>
    <xf numFmtId="43" fontId="29" fillId="11" borderId="2" xfId="1" applyFont="1" applyFill="1" applyBorder="1" applyAlignment="1">
      <alignment horizontal="right" vertical="center"/>
    </xf>
    <xf numFmtId="43" fontId="22" fillId="11" borderId="2" xfId="1" applyFont="1" applyFill="1" applyBorder="1" applyAlignment="1">
      <alignment horizontal="right" vertical="center"/>
    </xf>
    <xf numFmtId="4" fontId="21" fillId="11" borderId="2" xfId="0" applyNumberFormat="1" applyFont="1" applyFill="1" applyBorder="1" applyAlignment="1">
      <alignment horizontal="right" vertical="center"/>
    </xf>
    <xf numFmtId="0" fontId="21" fillId="10" borderId="2" xfId="0" applyFont="1" applyFill="1" applyBorder="1" applyAlignment="1">
      <alignment horizontal="right" vertical="center" wrapText="1"/>
    </xf>
    <xf numFmtId="4" fontId="22" fillId="11" borderId="2" xfId="0" applyNumberFormat="1" applyFont="1" applyFill="1" applyBorder="1" applyAlignment="1">
      <alignment horizontal="left" vertical="center" wrapText="1"/>
    </xf>
    <xf numFmtId="43" fontId="22" fillId="11" borderId="2" xfId="1" applyFont="1" applyFill="1" applyBorder="1" applyAlignment="1">
      <alignment horizontal="left" vertical="center" wrapText="1"/>
    </xf>
    <xf numFmtId="43" fontId="22" fillId="12" borderId="32" xfId="1" applyFont="1" applyFill="1" applyBorder="1" applyAlignment="1">
      <alignment horizontal="left" vertical="center" wrapText="1"/>
    </xf>
    <xf numFmtId="43" fontId="22" fillId="0" borderId="6" xfId="1" applyFont="1" applyBorder="1" applyAlignment="1">
      <alignment horizontal="left" vertical="center"/>
    </xf>
    <xf numFmtId="43" fontId="22" fillId="9" borderId="2" xfId="1" applyFont="1" applyFill="1" applyBorder="1" applyAlignment="1">
      <alignment horizontal="left" vertical="center" wrapText="1"/>
    </xf>
    <xf numFmtId="0" fontId="19" fillId="6" borderId="3" xfId="0" applyFont="1" applyFill="1" applyBorder="1" applyAlignment="1">
      <alignment horizontal="left" vertical="center"/>
    </xf>
    <xf numFmtId="43" fontId="22" fillId="9" borderId="2" xfId="1" applyFont="1" applyFill="1" applyBorder="1" applyAlignment="1">
      <alignment horizontal="center" vertical="center" wrapText="1"/>
    </xf>
    <xf numFmtId="43" fontId="29" fillId="9" borderId="32" xfId="1"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2" xfId="0" applyFont="1" applyFill="1" applyBorder="1" applyAlignment="1">
      <alignment horizontal="left" vertical="center"/>
    </xf>
    <xf numFmtId="0" fontId="22" fillId="8" borderId="2" xfId="0" applyFont="1" applyFill="1" applyBorder="1" applyAlignment="1">
      <alignment horizontal="left" vertical="center"/>
    </xf>
    <xf numFmtId="0" fontId="22" fillId="9" borderId="2" xfId="0" applyFont="1" applyFill="1" applyBorder="1" applyAlignment="1">
      <alignment horizontal="center" vertical="center"/>
    </xf>
    <xf numFmtId="4" fontId="22" fillId="11" borderId="2" xfId="0" applyNumberFormat="1" applyFont="1" applyFill="1" applyBorder="1" applyAlignment="1">
      <alignment horizontal="right" vertical="center"/>
    </xf>
    <xf numFmtId="164" fontId="22" fillId="12" borderId="32" xfId="0" applyNumberFormat="1" applyFont="1" applyFill="1" applyBorder="1" applyAlignment="1">
      <alignment horizontal="right" vertical="center"/>
    </xf>
    <xf numFmtId="0" fontId="31" fillId="3" borderId="0" xfId="0" applyFont="1" applyFill="1" applyAlignment="1" applyProtection="1">
      <alignment vertical="center" wrapText="1"/>
      <protection locked="0"/>
    </xf>
    <xf numFmtId="0" fontId="31" fillId="3" borderId="0" xfId="0" applyFont="1" applyFill="1" applyAlignment="1" applyProtection="1">
      <alignment horizontal="center" vertical="center" wrapText="1"/>
      <protection locked="0"/>
    </xf>
    <xf numFmtId="0" fontId="31" fillId="3" borderId="1" xfId="0" applyFont="1" applyFill="1" applyBorder="1" applyAlignment="1" applyProtection="1">
      <alignment vertical="center" wrapText="1"/>
      <protection locked="0"/>
    </xf>
    <xf numFmtId="10" fontId="31" fillId="0" borderId="0" xfId="0" applyNumberFormat="1" applyFont="1" applyAlignment="1">
      <alignment vertical="center"/>
    </xf>
    <xf numFmtId="0" fontId="1" fillId="3" borderId="0" xfId="0" applyFont="1" applyFill="1" applyAlignment="1" applyProtection="1">
      <alignment horizontal="center" vertical="center" wrapText="1"/>
      <protection locked="0"/>
    </xf>
    <xf numFmtId="0" fontId="1" fillId="3" borderId="1" xfId="0" applyFont="1" applyFill="1" applyBorder="1" applyAlignment="1" applyProtection="1">
      <alignment vertical="center" wrapText="1"/>
      <protection locked="0"/>
    </xf>
    <xf numFmtId="0" fontId="1" fillId="0" borderId="0" xfId="0" applyFont="1"/>
    <xf numFmtId="0" fontId="1" fillId="40" borderId="0" xfId="0" applyFont="1" applyFill="1"/>
    <xf numFmtId="0" fontId="17" fillId="0" borderId="7" xfId="0" applyFont="1" applyBorder="1" applyAlignment="1">
      <alignment vertical="center"/>
    </xf>
    <xf numFmtId="0" fontId="1" fillId="0" borderId="29" xfId="0" applyFont="1" applyBorder="1"/>
    <xf numFmtId="10" fontId="17" fillId="0" borderId="22" xfId="2" applyNumberFormat="1" applyFont="1" applyBorder="1" applyAlignment="1">
      <alignment horizontal="center" vertical="center"/>
    </xf>
    <xf numFmtId="0" fontId="1" fillId="0" borderId="23" xfId="0" applyFont="1" applyBorder="1"/>
    <xf numFmtId="14" fontId="17" fillId="0" borderId="1" xfId="0" applyNumberFormat="1" applyFont="1" applyBorder="1" applyAlignment="1">
      <alignment horizontal="center" vertical="center"/>
    </xf>
    <xf numFmtId="0" fontId="18" fillId="0" borderId="1" xfId="0" applyFont="1" applyBorder="1" applyAlignment="1">
      <alignment vertical="center"/>
    </xf>
    <xf numFmtId="0" fontId="1" fillId="0" borderId="24" xfId="0" applyFont="1" applyBorder="1"/>
    <xf numFmtId="10" fontId="17" fillId="0" borderId="1" xfId="2" applyNumberFormat="1" applyFont="1" applyBorder="1" applyAlignment="1">
      <alignment horizontal="center" vertical="center"/>
    </xf>
    <xf numFmtId="0" fontId="1" fillId="0" borderId="27" xfId="0" applyFont="1" applyBorder="1"/>
    <xf numFmtId="10" fontId="17" fillId="0" borderId="26" xfId="2" applyNumberFormat="1" applyFont="1" applyBorder="1" applyAlignment="1">
      <alignment horizontal="center" vertical="center"/>
    </xf>
    <xf numFmtId="0" fontId="18" fillId="0" borderId="26" xfId="0" applyFont="1" applyBorder="1" applyAlignment="1">
      <alignment vertical="center"/>
    </xf>
    <xf numFmtId="0" fontId="21" fillId="18" borderId="2" xfId="0" applyFont="1" applyFill="1" applyBorder="1" applyAlignment="1">
      <alignment horizontal="center" vertical="center" wrapText="1"/>
    </xf>
    <xf numFmtId="0" fontId="22" fillId="44" borderId="2" xfId="0" applyFont="1" applyFill="1" applyBorder="1" applyAlignment="1">
      <alignment horizontal="center" vertical="center" wrapText="1"/>
    </xf>
    <xf numFmtId="10" fontId="21" fillId="0" borderId="3" xfId="2" applyNumberFormat="1" applyFont="1" applyFill="1" applyBorder="1" applyAlignment="1">
      <alignment horizontal="right" vertical="center" wrapText="1"/>
    </xf>
    <xf numFmtId="166" fontId="19" fillId="22" borderId="3" xfId="0" applyNumberFormat="1" applyFont="1" applyFill="1" applyBorder="1" applyAlignment="1">
      <alignment horizontal="right" vertical="center" wrapText="1"/>
    </xf>
    <xf numFmtId="4" fontId="19" fillId="24" borderId="2" xfId="0" applyNumberFormat="1" applyFont="1" applyFill="1" applyBorder="1" applyAlignment="1">
      <alignment horizontal="right" vertical="center" wrapText="1"/>
    </xf>
    <xf numFmtId="4" fontId="1" fillId="0" borderId="0" xfId="0" applyNumberFormat="1" applyFont="1"/>
    <xf numFmtId="9" fontId="21" fillId="0" borderId="3" xfId="2" applyFont="1" applyFill="1" applyBorder="1" applyAlignment="1">
      <alignment horizontal="right" vertical="center" wrapText="1"/>
    </xf>
    <xf numFmtId="0" fontId="1" fillId="43" borderId="0" xfId="0" applyFont="1" applyFill="1"/>
    <xf numFmtId="4" fontId="1" fillId="43" borderId="0" xfId="0" applyNumberFormat="1" applyFont="1" applyFill="1"/>
    <xf numFmtId="10" fontId="1" fillId="43" borderId="0" xfId="2" applyNumberFormat="1" applyFont="1" applyFill="1"/>
    <xf numFmtId="10" fontId="1" fillId="43" borderId="0" xfId="0" applyNumberFormat="1" applyFont="1" applyFill="1"/>
    <xf numFmtId="4" fontId="26" fillId="0" borderId="0" xfId="0" applyNumberFormat="1" applyFont="1"/>
    <xf numFmtId="0" fontId="1" fillId="0" borderId="1" xfId="0" applyFont="1" applyBorder="1" applyAlignment="1">
      <alignment vertical="center"/>
    </xf>
    <xf numFmtId="0" fontId="1" fillId="40" borderId="1" xfId="0" applyFont="1" applyFill="1" applyBorder="1" applyAlignment="1">
      <alignment horizontal="centerContinuous" vertical="center"/>
    </xf>
    <xf numFmtId="0" fontId="1" fillId="2" borderId="1" xfId="0" applyFont="1" applyFill="1" applyBorder="1" applyAlignment="1" applyProtection="1">
      <alignment vertical="center" wrapText="1"/>
      <protection locked="0"/>
    </xf>
    <xf numFmtId="0" fontId="1" fillId="0" borderId="28"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10" fontId="17" fillId="0" borderId="1" xfId="2" applyNumberFormat="1" applyFont="1" applyBorder="1" applyAlignment="1">
      <alignment vertical="center"/>
    </xf>
    <xf numFmtId="0" fontId="1" fillId="0" borderId="27" xfId="0" applyFont="1" applyBorder="1" applyAlignment="1">
      <alignment vertical="center"/>
    </xf>
    <xf numFmtId="0" fontId="33" fillId="2" borderId="1" xfId="0" applyFont="1" applyFill="1" applyBorder="1" applyAlignment="1" applyProtection="1">
      <alignment vertical="center" wrapText="1"/>
      <protection locked="0"/>
    </xf>
    <xf numFmtId="0" fontId="17" fillId="2" borderId="1" xfId="0" applyFont="1" applyFill="1" applyBorder="1" applyAlignment="1" applyProtection="1">
      <alignment vertical="center" wrapText="1"/>
      <protection locked="0"/>
    </xf>
    <xf numFmtId="0" fontId="19" fillId="4" borderId="1" xfId="0" applyFont="1" applyFill="1" applyBorder="1" applyAlignment="1">
      <alignment vertical="center" wrapText="1"/>
    </xf>
    <xf numFmtId="0" fontId="19" fillId="26" borderId="1"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27" borderId="6" xfId="0" applyFont="1" applyFill="1" applyBorder="1" applyAlignment="1">
      <alignment horizontal="center" vertical="center" wrapText="1"/>
    </xf>
    <xf numFmtId="0" fontId="19" fillId="28" borderId="6" xfId="0" applyFont="1" applyFill="1" applyBorder="1" applyAlignment="1">
      <alignment horizontal="center" vertical="center" wrapText="1"/>
    </xf>
    <xf numFmtId="0" fontId="19" fillId="28" borderId="1" xfId="0" applyFont="1" applyFill="1" applyBorder="1" applyAlignment="1">
      <alignment horizontal="center" vertical="center" wrapText="1"/>
    </xf>
    <xf numFmtId="0" fontId="19" fillId="28" borderId="1" xfId="0" applyFont="1" applyFill="1" applyBorder="1" applyAlignment="1">
      <alignment horizontal="left" vertical="center" wrapText="1"/>
    </xf>
    <xf numFmtId="0" fontId="21" fillId="29" borderId="6" xfId="0" applyFont="1" applyFill="1" applyBorder="1" applyAlignment="1">
      <alignment horizontal="center" vertical="center" wrapText="1"/>
    </xf>
    <xf numFmtId="10" fontId="21" fillId="31" borderId="6" xfId="2" applyNumberFormat="1" applyFont="1" applyFill="1" applyBorder="1" applyAlignment="1">
      <alignment horizontal="right" vertical="center" wrapText="1"/>
    </xf>
    <xf numFmtId="10" fontId="21" fillId="31" borderId="1" xfId="0" applyNumberFormat="1" applyFont="1" applyFill="1" applyBorder="1" applyAlignment="1">
      <alignment horizontal="right" vertical="center" wrapText="1"/>
    </xf>
    <xf numFmtId="10" fontId="21" fillId="31" borderId="7" xfId="2" applyNumberFormat="1" applyFont="1" applyFill="1" applyBorder="1" applyAlignment="1">
      <alignment horizontal="center" vertical="center" wrapText="1"/>
    </xf>
    <xf numFmtId="10" fontId="21" fillId="31" borderId="6" xfId="2" applyNumberFormat="1" applyFont="1" applyFill="1" applyBorder="1" applyAlignment="1">
      <alignment horizontal="center" vertical="center" wrapText="1"/>
    </xf>
    <xf numFmtId="0" fontId="21" fillId="30" borderId="1" xfId="0" applyFont="1" applyFill="1" applyBorder="1" applyAlignment="1">
      <alignment horizontal="left" vertical="center" wrapText="1"/>
    </xf>
    <xf numFmtId="10" fontId="19" fillId="33" borderId="6" xfId="2" applyNumberFormat="1" applyFont="1" applyFill="1" applyBorder="1" applyAlignment="1">
      <alignment horizontal="right" vertical="center" wrapText="1"/>
    </xf>
    <xf numFmtId="10" fontId="19" fillId="33" borderId="1" xfId="0" applyNumberFormat="1" applyFont="1" applyFill="1" applyBorder="1" applyAlignment="1">
      <alignment horizontal="right" vertical="center" wrapText="1"/>
    </xf>
    <xf numFmtId="10" fontId="21" fillId="31" borderId="1" xfId="0" applyNumberFormat="1" applyFont="1" applyFill="1" applyBorder="1" applyAlignment="1">
      <alignment horizontal="center" vertical="center" wrapText="1"/>
    </xf>
    <xf numFmtId="0" fontId="19" fillId="32" borderId="1" xfId="0" applyFont="1" applyFill="1" applyBorder="1" applyAlignment="1">
      <alignment horizontal="right" vertical="center" wrapText="1"/>
    </xf>
    <xf numFmtId="9" fontId="19" fillId="4" borderId="1" xfId="2" applyFont="1" applyFill="1" applyBorder="1" applyAlignment="1">
      <alignment vertical="center" wrapText="1"/>
    </xf>
    <xf numFmtId="4" fontId="21" fillId="31" borderId="1" xfId="0" applyNumberFormat="1" applyFont="1" applyFill="1" applyBorder="1" applyAlignment="1">
      <alignment horizontal="center" vertical="center" wrapText="1"/>
    </xf>
    <xf numFmtId="9" fontId="17" fillId="3" borderId="6" xfId="2" applyFont="1" applyFill="1" applyBorder="1" applyAlignment="1" applyProtection="1">
      <alignment vertical="center" wrapText="1"/>
      <protection locked="0"/>
    </xf>
    <xf numFmtId="10" fontId="19" fillId="32" borderId="1" xfId="0" applyNumberFormat="1" applyFont="1" applyFill="1" applyBorder="1" applyAlignment="1">
      <alignment horizontal="right" vertical="center" wrapText="1"/>
    </xf>
    <xf numFmtId="10" fontId="1" fillId="0" borderId="1" xfId="0" applyNumberFormat="1" applyFont="1" applyBorder="1" applyAlignment="1">
      <alignment vertical="center"/>
    </xf>
    <xf numFmtId="0" fontId="19" fillId="34" borderId="1" xfId="0" applyFont="1" applyFill="1" applyBorder="1" applyAlignment="1">
      <alignment horizontal="left" vertical="center" wrapText="1"/>
    </xf>
    <xf numFmtId="10" fontId="34" fillId="2" borderId="31" xfId="2" applyNumberFormat="1" applyFont="1" applyFill="1" applyBorder="1" applyAlignment="1" applyProtection="1">
      <alignment horizontal="center" vertical="center" wrapText="1"/>
      <protection locked="0"/>
    </xf>
    <xf numFmtId="10" fontId="34" fillId="2" borderId="1" xfId="2"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vertical="center"/>
      <protection locked="0"/>
    </xf>
    <xf numFmtId="0" fontId="19" fillId="26" borderId="2" xfId="0" applyFont="1" applyFill="1" applyBorder="1" applyAlignment="1">
      <alignment horizontal="center" vertical="center" wrapText="1"/>
    </xf>
    <xf numFmtId="0" fontId="19" fillId="26" borderId="32" xfId="0" applyFont="1" applyFill="1" applyBorder="1" applyAlignment="1">
      <alignment horizontal="center" vertical="center" wrapText="1"/>
    </xf>
    <xf numFmtId="0" fontId="17" fillId="3" borderId="0" xfId="0" applyFont="1" applyFill="1" applyAlignment="1" applyProtection="1">
      <alignment wrapText="1"/>
      <protection locked="0"/>
    </xf>
    <xf numFmtId="0" fontId="17" fillId="0" borderId="1" xfId="0" applyFont="1" applyBorder="1"/>
    <xf numFmtId="0" fontId="17" fillId="3" borderId="1" xfId="0" applyFont="1" applyFill="1" applyBorder="1" applyAlignment="1" applyProtection="1">
      <alignment wrapText="1"/>
      <protection locked="0"/>
    </xf>
    <xf numFmtId="0" fontId="19" fillId="27" borderId="32" xfId="0" applyFont="1" applyFill="1" applyBorder="1" applyAlignment="1">
      <alignment horizontal="center" vertical="top" wrapText="1"/>
    </xf>
    <xf numFmtId="0" fontId="21" fillId="29" borderId="2" xfId="0" applyFont="1" applyFill="1" applyBorder="1" applyAlignment="1">
      <alignment horizontal="center" vertical="top" wrapText="1"/>
    </xf>
    <xf numFmtId="0" fontId="21" fillId="30" borderId="4" xfId="0" applyFont="1" applyFill="1" applyBorder="1" applyAlignment="1">
      <alignment horizontal="left" vertical="top" wrapText="1"/>
    </xf>
    <xf numFmtId="0" fontId="21" fillId="30" borderId="32" xfId="0" applyFont="1" applyFill="1" applyBorder="1" applyAlignment="1">
      <alignment horizontal="left" vertical="top" wrapText="1"/>
    </xf>
    <xf numFmtId="0" fontId="21" fillId="29" borderId="3" xfId="0" applyFont="1" applyFill="1" applyBorder="1" applyAlignment="1">
      <alignment horizontal="center" vertical="top" wrapText="1"/>
    </xf>
    <xf numFmtId="0" fontId="17" fillId="3" borderId="6" xfId="0" applyFont="1" applyFill="1" applyBorder="1" applyAlignment="1" applyProtection="1">
      <alignment wrapText="1"/>
      <protection locked="0"/>
    </xf>
    <xf numFmtId="0" fontId="19" fillId="32" borderId="33" xfId="0" applyFont="1" applyFill="1" applyBorder="1" applyAlignment="1">
      <alignment horizontal="right" vertical="center" wrapText="1"/>
    </xf>
    <xf numFmtId="0" fontId="19" fillId="40" borderId="2" xfId="0" applyFont="1" applyFill="1" applyBorder="1" applyAlignment="1">
      <alignment horizontal="center" vertical="center" wrapText="1"/>
    </xf>
    <xf numFmtId="10" fontId="19" fillId="40" borderId="3" xfId="0" applyNumberFormat="1" applyFont="1" applyFill="1" applyBorder="1" applyAlignment="1">
      <alignment horizontal="center" vertical="center" wrapText="1"/>
    </xf>
    <xf numFmtId="0" fontId="17" fillId="40" borderId="7" xfId="0" applyFont="1" applyFill="1" applyBorder="1" applyAlignment="1" applyProtection="1">
      <alignment vertical="center" wrapText="1"/>
      <protection locked="0"/>
    </xf>
    <xf numFmtId="0" fontId="17" fillId="40" borderId="28" xfId="0" applyFont="1" applyFill="1" applyBorder="1" applyAlignment="1" applyProtection="1">
      <alignment vertical="center" wrapText="1"/>
      <protection locked="0"/>
    </xf>
    <xf numFmtId="0" fontId="23" fillId="40" borderId="28" xfId="0" applyFont="1" applyFill="1" applyBorder="1" applyAlignment="1" applyProtection="1">
      <alignment vertical="center" wrapText="1"/>
      <protection locked="0"/>
    </xf>
    <xf numFmtId="0" fontId="24" fillId="40" borderId="28" xfId="0" applyFont="1" applyFill="1" applyBorder="1" applyAlignment="1">
      <alignment horizontal="right" vertical="center" wrapText="1"/>
    </xf>
    <xf numFmtId="10" fontId="17" fillId="40" borderId="6" xfId="2" applyNumberFormat="1" applyFont="1" applyFill="1" applyBorder="1" applyAlignment="1">
      <alignment vertical="center"/>
    </xf>
    <xf numFmtId="0" fontId="24" fillId="40" borderId="29" xfId="0" applyFont="1" applyFill="1" applyBorder="1" applyAlignment="1">
      <alignment horizontal="right" vertical="center" wrapText="1"/>
    </xf>
    <xf numFmtId="44" fontId="24" fillId="40" borderId="6" xfId="0" applyNumberFormat="1" applyFont="1" applyFill="1" applyBorder="1" applyAlignment="1">
      <alignment horizontal="right" vertical="center" wrapText="1"/>
    </xf>
    <xf numFmtId="44" fontId="27" fillId="38" borderId="34" xfId="4" applyNumberFormat="1" applyFont="1" applyFill="1" applyBorder="1" applyAlignment="1" applyProtection="1">
      <alignment horizontal="center" vertical="center" wrapText="1"/>
    </xf>
    <xf numFmtId="44" fontId="27" fillId="38" borderId="1" xfId="3" applyNumberFormat="1" applyFont="1" applyAlignment="1">
      <alignment vertical="center" wrapText="1"/>
    </xf>
    <xf numFmtId="0" fontId="22" fillId="38" borderId="1" xfId="4" applyFont="1" applyFill="1" applyBorder="1" applyAlignment="1" applyProtection="1">
      <alignment vertical="center" wrapText="1"/>
    </xf>
    <xf numFmtId="44" fontId="27" fillId="42" borderId="35" xfId="4" applyNumberFormat="1" applyFont="1" applyFill="1" applyBorder="1" applyAlignment="1" applyProtection="1">
      <alignment horizontal="center" vertical="center" wrapText="1"/>
    </xf>
    <xf numFmtId="174" fontId="22" fillId="38" borderId="44" xfId="3" applyNumberFormat="1" applyFont="1" applyBorder="1" applyAlignment="1">
      <alignment horizontal="center" vertical="center" wrapText="1"/>
    </xf>
    <xf numFmtId="44" fontId="19" fillId="0" borderId="28" xfId="0" applyNumberFormat="1" applyFont="1" applyBorder="1" applyAlignment="1">
      <alignment horizontal="right" vertical="center" wrapText="1"/>
    </xf>
    <xf numFmtId="0" fontId="19" fillId="45" borderId="7" xfId="0" applyFont="1" applyFill="1" applyBorder="1" applyAlignment="1">
      <alignment horizontal="left" vertical="center" wrapText="1"/>
    </xf>
    <xf numFmtId="0" fontId="19" fillId="45" borderId="28" xfId="0" applyFont="1" applyFill="1" applyBorder="1" applyAlignment="1">
      <alignment horizontal="left" vertical="center" wrapText="1"/>
    </xf>
    <xf numFmtId="0" fontId="17" fillId="45" borderId="28" xfId="0" applyFont="1" applyFill="1" applyBorder="1"/>
    <xf numFmtId="10" fontId="19" fillId="45" borderId="29" xfId="2" applyNumberFormat="1" applyFont="1" applyFill="1" applyBorder="1" applyAlignment="1">
      <alignment horizontal="right" vertical="center" wrapText="1"/>
    </xf>
    <xf numFmtId="4" fontId="21" fillId="0" borderId="2" xfId="0" applyNumberFormat="1" applyFont="1" applyBorder="1" applyAlignment="1">
      <alignment horizontal="right" vertical="top"/>
    </xf>
    <xf numFmtId="172" fontId="21" fillId="38" borderId="2" xfId="0" applyNumberFormat="1" applyFont="1" applyFill="1" applyBorder="1" applyAlignment="1">
      <alignment horizontal="right" vertical="top"/>
    </xf>
    <xf numFmtId="175" fontId="25" fillId="38" borderId="2" xfId="0" applyNumberFormat="1" applyFont="1" applyFill="1" applyBorder="1" applyAlignment="1">
      <alignment horizontal="right" vertical="top"/>
    </xf>
    <xf numFmtId="4" fontId="22" fillId="38" borderId="1" xfId="10" applyNumberFormat="1" applyFont="1" applyAlignment="1">
      <alignment horizontal="right" vertical="center" wrapText="1"/>
    </xf>
    <xf numFmtId="4" fontId="19" fillId="45" borderId="2" xfId="0" applyNumberFormat="1" applyFont="1" applyFill="1" applyBorder="1" applyAlignment="1">
      <alignment horizontal="right" vertical="center" wrapText="1"/>
    </xf>
    <xf numFmtId="4" fontId="21" fillId="42" borderId="3" xfId="0" applyNumberFormat="1" applyFont="1" applyFill="1" applyBorder="1" applyAlignment="1">
      <alignment horizontal="right" vertical="center" wrapText="1"/>
    </xf>
    <xf numFmtId="10" fontId="21" fillId="42" borderId="3" xfId="0" applyNumberFormat="1" applyFont="1" applyFill="1" applyBorder="1" applyAlignment="1">
      <alignment horizontal="right" vertical="center" wrapText="1"/>
    </xf>
    <xf numFmtId="4" fontId="19" fillId="25" borderId="2" xfId="0" applyNumberFormat="1" applyFont="1" applyFill="1" applyBorder="1" applyAlignment="1">
      <alignment horizontal="center" vertical="center" wrapText="1"/>
    </xf>
    <xf numFmtId="44" fontId="19" fillId="47" borderId="2" xfId="0" applyNumberFormat="1" applyFont="1" applyFill="1" applyBorder="1" applyAlignment="1">
      <alignment vertical="center" wrapText="1"/>
    </xf>
    <xf numFmtId="4" fontId="19" fillId="25" borderId="48" xfId="0" applyNumberFormat="1" applyFont="1" applyFill="1" applyBorder="1" applyAlignment="1">
      <alignment horizontal="center" vertical="center" wrapText="1"/>
    </xf>
    <xf numFmtId="10" fontId="21" fillId="45" borderId="48" xfId="0" applyNumberFormat="1" applyFont="1" applyFill="1" applyBorder="1" applyAlignment="1">
      <alignment horizontal="right" vertical="center" wrapText="1"/>
    </xf>
    <xf numFmtId="4" fontId="19" fillId="47" borderId="49" xfId="0" applyNumberFormat="1" applyFont="1" applyFill="1" applyBorder="1" applyAlignment="1">
      <alignment horizontal="right" vertical="center" wrapText="1"/>
    </xf>
    <xf numFmtId="0" fontId="21" fillId="47" borderId="52" xfId="0" applyFont="1" applyFill="1" applyBorder="1" applyAlignment="1">
      <alignment horizontal="left" vertical="center" wrapText="1"/>
    </xf>
    <xf numFmtId="0" fontId="19" fillId="47" borderId="46" xfId="0" applyFont="1" applyFill="1" applyBorder="1" applyAlignment="1">
      <alignment horizontal="right" vertical="center" wrapText="1"/>
    </xf>
    <xf numFmtId="0" fontId="21" fillId="6" borderId="2" xfId="0" applyFont="1" applyFill="1" applyBorder="1" applyAlignment="1">
      <alignment horizontal="center" vertical="center"/>
    </xf>
    <xf numFmtId="43" fontId="29" fillId="38" borderId="2" xfId="11" applyFont="1" applyFill="1" applyBorder="1" applyAlignment="1">
      <alignment horizontal="right" vertical="center" wrapText="1"/>
    </xf>
    <xf numFmtId="43" fontId="29" fillId="38" borderId="2" xfId="11" applyFont="1" applyFill="1" applyBorder="1" applyAlignment="1">
      <alignment horizontal="center" vertical="center" wrapText="1"/>
    </xf>
    <xf numFmtId="0" fontId="22" fillId="10" borderId="2" xfId="0" applyFont="1" applyFill="1" applyBorder="1" applyAlignment="1">
      <alignment vertical="center" wrapText="1"/>
    </xf>
    <xf numFmtId="43" fontId="29" fillId="38" borderId="2" xfId="11" applyFont="1" applyFill="1" applyBorder="1" applyAlignment="1">
      <alignment horizontal="left" vertical="center"/>
    </xf>
    <xf numFmtId="0" fontId="22" fillId="0" borderId="1" xfId="0" applyFont="1" applyBorder="1" applyAlignment="1">
      <alignment horizontal="left" vertical="center" wrapText="1"/>
    </xf>
    <xf numFmtId="0" fontId="18" fillId="0" borderId="7" xfId="0" applyFont="1" applyBorder="1" applyAlignment="1">
      <alignment horizontal="right" vertical="center"/>
    </xf>
    <xf numFmtId="0" fontId="18" fillId="0" borderId="21" xfId="0" applyFont="1" applyBorder="1" applyAlignment="1">
      <alignment horizontal="right" vertical="center"/>
    </xf>
    <xf numFmtId="0" fontId="18" fillId="0" borderId="14" xfId="0" applyFont="1" applyBorder="1" applyAlignment="1">
      <alignment horizontal="right" vertical="center"/>
    </xf>
    <xf numFmtId="0" fontId="18" fillId="0" borderId="25" xfId="0" applyFont="1" applyBorder="1" applyAlignment="1">
      <alignment horizontal="right" vertical="center"/>
    </xf>
    <xf numFmtId="0" fontId="34" fillId="48" borderId="55" xfId="0" applyFont="1" applyFill="1" applyBorder="1" applyAlignment="1">
      <alignment horizontal="center" vertical="center"/>
    </xf>
    <xf numFmtId="0" fontId="34" fillId="48" borderId="56" xfId="0" applyFont="1" applyFill="1" applyBorder="1" applyAlignment="1">
      <alignment vertical="center"/>
    </xf>
    <xf numFmtId="0" fontId="34" fillId="48" borderId="56" xfId="0" applyFont="1" applyFill="1" applyBorder="1" applyAlignment="1">
      <alignment horizontal="center" vertical="center" wrapText="1"/>
    </xf>
    <xf numFmtId="0" fontId="34" fillId="48" borderId="57" xfId="0" applyFont="1" applyFill="1" applyBorder="1" applyAlignment="1">
      <alignment horizontal="center" vertical="center" wrapText="1"/>
    </xf>
    <xf numFmtId="10" fontId="36" fillId="45" borderId="11" xfId="0" applyNumberFormat="1" applyFont="1" applyFill="1" applyBorder="1" applyAlignment="1">
      <alignment horizontal="center" vertical="center"/>
    </xf>
    <xf numFmtId="44" fontId="36" fillId="45" borderId="11" xfId="0" applyNumberFormat="1" applyFont="1" applyFill="1" applyBorder="1" applyAlignment="1">
      <alignment horizontal="center" vertical="center"/>
    </xf>
    <xf numFmtId="49" fontId="36" fillId="45" borderId="6" xfId="0" applyNumberFormat="1" applyFont="1" applyFill="1" applyBorder="1" applyAlignment="1">
      <alignment horizontal="center" vertical="center"/>
    </xf>
    <xf numFmtId="10" fontId="36" fillId="45" borderId="6" xfId="0" applyNumberFormat="1" applyFont="1" applyFill="1" applyBorder="1" applyAlignment="1">
      <alignment horizontal="center" vertical="center"/>
    </xf>
    <xf numFmtId="44" fontId="36" fillId="45" borderId="6" xfId="0" applyNumberFormat="1" applyFont="1" applyFill="1" applyBorder="1" applyAlignment="1">
      <alignment horizontal="center" vertical="center"/>
    </xf>
    <xf numFmtId="49" fontId="36" fillId="45" borderId="18" xfId="0" applyNumberFormat="1" applyFont="1" applyFill="1" applyBorder="1" applyAlignment="1">
      <alignment horizontal="center" vertical="center"/>
    </xf>
    <xf numFmtId="10" fontId="36" fillId="45" borderId="18" xfId="0" applyNumberFormat="1" applyFont="1" applyFill="1" applyBorder="1" applyAlignment="1">
      <alignment horizontal="center" vertical="center"/>
    </xf>
    <xf numFmtId="44" fontId="36" fillId="45" borderId="18" xfId="0" applyNumberFormat="1" applyFont="1" applyFill="1" applyBorder="1" applyAlignment="1">
      <alignment horizontal="center" vertical="center"/>
    </xf>
    <xf numFmtId="49" fontId="36" fillId="49" borderId="11" xfId="0" applyNumberFormat="1" applyFont="1" applyFill="1" applyBorder="1" applyAlignment="1">
      <alignment horizontal="center" vertical="center"/>
    </xf>
    <xf numFmtId="10" fontId="36" fillId="49" borderId="11" xfId="0" applyNumberFormat="1" applyFont="1" applyFill="1" applyBorder="1" applyAlignment="1">
      <alignment horizontal="center" vertical="center"/>
    </xf>
    <xf numFmtId="44" fontId="36" fillId="49" borderId="6" xfId="0" applyNumberFormat="1" applyFont="1" applyFill="1" applyBorder="1" applyAlignment="1">
      <alignment horizontal="center" vertical="center"/>
    </xf>
    <xf numFmtId="49" fontId="36" fillId="49" borderId="18" xfId="0" applyNumberFormat="1" applyFont="1" applyFill="1" applyBorder="1" applyAlignment="1">
      <alignment horizontal="center" vertical="center"/>
    </xf>
    <xf numFmtId="10" fontId="36" fillId="49" borderId="18" xfId="0" applyNumberFormat="1" applyFont="1" applyFill="1" applyBorder="1" applyAlignment="1">
      <alignment horizontal="center" vertical="center"/>
    </xf>
    <xf numFmtId="44" fontId="36" fillId="49" borderId="18" xfId="0" applyNumberFormat="1" applyFont="1" applyFill="1" applyBorder="1" applyAlignment="1">
      <alignment horizontal="center" vertical="center"/>
    </xf>
    <xf numFmtId="49" fontId="36" fillId="45" borderId="11" xfId="0" applyNumberFormat="1" applyFont="1" applyFill="1" applyBorder="1" applyAlignment="1">
      <alignment horizontal="center" vertical="center"/>
    </xf>
    <xf numFmtId="0" fontId="36" fillId="45" borderId="64" xfId="0" applyFont="1" applyFill="1" applyBorder="1" applyAlignment="1">
      <alignment vertical="center" wrapText="1"/>
    </xf>
    <xf numFmtId="49" fontId="36" fillId="45" borderId="64" xfId="0" applyNumberFormat="1" applyFont="1" applyFill="1" applyBorder="1" applyAlignment="1">
      <alignment horizontal="center" vertical="center"/>
    </xf>
    <xf numFmtId="10" fontId="36" fillId="45" borderId="64" xfId="0" applyNumberFormat="1" applyFont="1" applyFill="1" applyBorder="1" applyAlignment="1">
      <alignment horizontal="center" vertical="center"/>
    </xf>
    <xf numFmtId="44" fontId="36" fillId="45" borderId="64" xfId="0" applyNumberFormat="1" applyFont="1" applyFill="1" applyBorder="1" applyAlignment="1">
      <alignment horizontal="center" vertical="center"/>
    </xf>
    <xf numFmtId="44" fontId="36" fillId="49" borderId="11" xfId="0" applyNumberFormat="1" applyFont="1" applyFill="1" applyBorder="1" applyAlignment="1">
      <alignment horizontal="center" vertical="center"/>
    </xf>
    <xf numFmtId="49" fontId="36" fillId="49" borderId="6" xfId="0" applyNumberFormat="1" applyFont="1" applyFill="1" applyBorder="1" applyAlignment="1">
      <alignment horizontal="center" vertical="center"/>
    </xf>
    <xf numFmtId="10" fontId="36" fillId="49" borderId="6" xfId="0" applyNumberFormat="1" applyFont="1" applyFill="1" applyBorder="1" applyAlignment="1">
      <alignment horizontal="center" vertical="center"/>
    </xf>
    <xf numFmtId="49" fontId="36" fillId="49" borderId="64" xfId="0" applyNumberFormat="1" applyFont="1" applyFill="1" applyBorder="1" applyAlignment="1">
      <alignment horizontal="center" vertical="center"/>
    </xf>
    <xf numFmtId="10" fontId="36" fillId="49" borderId="64" xfId="0" applyNumberFormat="1" applyFont="1" applyFill="1" applyBorder="1" applyAlignment="1">
      <alignment horizontal="center" vertical="center"/>
    </xf>
    <xf numFmtId="0" fontId="36" fillId="49" borderId="64" xfId="0" applyFont="1" applyFill="1" applyBorder="1" applyAlignment="1">
      <alignment vertical="center" wrapText="1"/>
    </xf>
    <xf numFmtId="49" fontId="36" fillId="49" borderId="30" xfId="0" applyNumberFormat="1" applyFont="1" applyFill="1" applyBorder="1" applyAlignment="1">
      <alignment horizontal="center" vertical="center"/>
    </xf>
    <xf numFmtId="10" fontId="36" fillId="49" borderId="30" xfId="0" applyNumberFormat="1" applyFont="1" applyFill="1" applyBorder="1" applyAlignment="1">
      <alignment horizontal="center" vertical="center"/>
    </xf>
    <xf numFmtId="0" fontId="19" fillId="38" borderId="2" xfId="0" quotePrefix="1" applyFont="1" applyFill="1" applyBorder="1" applyAlignment="1">
      <alignment horizontal="left" vertical="center"/>
    </xf>
    <xf numFmtId="176" fontId="21" fillId="38" borderId="2" xfId="0" applyNumberFormat="1" applyFont="1" applyFill="1" applyBorder="1" applyAlignment="1">
      <alignment horizontal="right" vertical="top" wrapText="1"/>
    </xf>
    <xf numFmtId="0" fontId="21" fillId="38" borderId="2" xfId="0" quotePrefix="1" applyFont="1" applyFill="1" applyBorder="1" applyAlignment="1">
      <alignment horizontal="center" vertical="top"/>
    </xf>
    <xf numFmtId="0" fontId="22" fillId="9" borderId="2" xfId="0" quotePrefix="1" applyFont="1" applyFill="1" applyBorder="1" applyAlignment="1">
      <alignment horizontal="center" vertical="center" wrapText="1"/>
    </xf>
    <xf numFmtId="0" fontId="22" fillId="0" borderId="1" xfId="0" applyFont="1" applyBorder="1" applyAlignment="1">
      <alignment horizontal="center" vertical="center" wrapText="1"/>
    </xf>
    <xf numFmtId="10" fontId="22" fillId="0" borderId="1" xfId="2" applyNumberFormat="1" applyFont="1" applyFill="1" applyBorder="1" applyAlignment="1">
      <alignment horizontal="center" vertical="center" wrapText="1"/>
    </xf>
    <xf numFmtId="0" fontId="21" fillId="10" borderId="2" xfId="0" applyFont="1" applyFill="1" applyBorder="1" applyAlignment="1">
      <alignment horizontal="justify" vertical="center"/>
    </xf>
    <xf numFmtId="0" fontId="22" fillId="0" borderId="1" xfId="0" quotePrefix="1" applyFont="1" applyBorder="1" applyAlignment="1">
      <alignment horizontal="center" vertical="center" wrapText="1"/>
    </xf>
    <xf numFmtId="4" fontId="21" fillId="0" borderId="3" xfId="0" applyNumberFormat="1" applyFont="1" applyBorder="1" applyAlignment="1">
      <alignment horizontal="right" vertical="center" wrapText="1"/>
    </xf>
    <xf numFmtId="0" fontId="36" fillId="45" borderId="6" xfId="0" applyFont="1" applyFill="1" applyBorder="1" applyAlignment="1">
      <alignment vertical="center" wrapText="1"/>
    </xf>
    <xf numFmtId="0" fontId="36" fillId="45" borderId="18" xfId="0" applyFont="1" applyFill="1" applyBorder="1" applyAlignment="1">
      <alignment vertical="center" wrapText="1"/>
    </xf>
    <xf numFmtId="0" fontId="36" fillId="49" borderId="6" xfId="0" applyFont="1" applyFill="1" applyBorder="1" applyAlignment="1">
      <alignment vertical="center" wrapText="1"/>
    </xf>
    <xf numFmtId="0" fontId="36" fillId="49" borderId="18" xfId="0" applyFont="1" applyFill="1" applyBorder="1" applyAlignment="1">
      <alignment vertical="center" wrapText="1"/>
    </xf>
    <xf numFmtId="0" fontId="36" fillId="45" borderId="11" xfId="0" applyFont="1" applyFill="1" applyBorder="1" applyAlignment="1">
      <alignment vertical="center"/>
    </xf>
    <xf numFmtId="0" fontId="36" fillId="49" borderId="11" xfId="0" applyFont="1" applyFill="1" applyBorder="1" applyAlignment="1">
      <alignment vertical="center" wrapText="1"/>
    </xf>
    <xf numFmtId="0" fontId="36" fillId="45" borderId="11" xfId="0" applyFont="1" applyFill="1" applyBorder="1" applyAlignment="1">
      <alignment vertical="center" wrapText="1"/>
    </xf>
    <xf numFmtId="0" fontId="36" fillId="45" borderId="16" xfId="0" applyFont="1" applyFill="1" applyBorder="1" applyAlignment="1">
      <alignment vertical="center" wrapText="1"/>
    </xf>
    <xf numFmtId="0" fontId="36" fillId="49" borderId="16" xfId="0" applyFont="1" applyFill="1" applyBorder="1" applyAlignment="1">
      <alignment vertical="center" wrapText="1"/>
    </xf>
    <xf numFmtId="0" fontId="36" fillId="45" borderId="13" xfId="0" applyFont="1" applyFill="1" applyBorder="1" applyAlignment="1">
      <alignment vertical="center" wrapText="1"/>
    </xf>
    <xf numFmtId="0" fontId="36" fillId="49" borderId="30" xfId="0" applyFont="1" applyFill="1" applyBorder="1" applyAlignment="1">
      <alignment vertical="center" wrapText="1"/>
    </xf>
    <xf numFmtId="0" fontId="19" fillId="0" borderId="7" xfId="0" applyFont="1" applyBorder="1" applyAlignment="1">
      <alignment horizontal="right" vertical="center" wrapText="1"/>
    </xf>
    <xf numFmtId="0" fontId="19" fillId="0" borderId="28" xfId="0" applyFont="1" applyBorder="1" applyAlignment="1">
      <alignment horizontal="right" vertical="center" wrapText="1"/>
    </xf>
    <xf numFmtId="44" fontId="19" fillId="45" borderId="28" xfId="1" applyNumberFormat="1" applyFont="1" applyFill="1" applyBorder="1" applyAlignment="1">
      <alignment horizontal="center" vertical="center" wrapText="1"/>
    </xf>
    <xf numFmtId="0" fontId="35" fillId="38" borderId="44" xfId="4" applyFont="1" applyFill="1" applyBorder="1" applyAlignment="1" applyProtection="1">
      <alignment horizontal="center" vertical="center" wrapText="1"/>
    </xf>
    <xf numFmtId="44" fontId="19" fillId="23" borderId="49" xfId="0" applyNumberFormat="1" applyFont="1" applyFill="1" applyBorder="1" applyAlignment="1">
      <alignment horizontal="center" vertical="center" wrapText="1"/>
    </xf>
    <xf numFmtId="44" fontId="19" fillId="23" borderId="50" xfId="0" applyNumberFormat="1" applyFont="1" applyFill="1" applyBorder="1" applyAlignment="1">
      <alignment horizontal="center" vertical="center" wrapText="1"/>
    </xf>
    <xf numFmtId="44" fontId="19" fillId="23" borderId="51" xfId="0" applyNumberFormat="1" applyFont="1" applyFill="1" applyBorder="1" applyAlignment="1">
      <alignment horizontal="center" vertical="center" wrapText="1"/>
    </xf>
    <xf numFmtId="4" fontId="21" fillId="47" borderId="32" xfId="0" applyNumberFormat="1" applyFont="1" applyFill="1" applyBorder="1" applyAlignment="1">
      <alignment horizontal="center" vertical="center" wrapText="1"/>
    </xf>
    <xf numFmtId="4" fontId="21" fillId="47" borderId="33" xfId="0" applyNumberFormat="1" applyFont="1" applyFill="1" applyBorder="1" applyAlignment="1">
      <alignment horizontal="center" vertical="center" wrapText="1"/>
    </xf>
    <xf numFmtId="4" fontId="21" fillId="47" borderId="5" xfId="0" applyNumberFormat="1" applyFont="1" applyFill="1" applyBorder="1" applyAlignment="1">
      <alignment horizontal="center" vertical="center" wrapText="1"/>
    </xf>
    <xf numFmtId="4" fontId="19" fillId="25" borderId="52" xfId="0" applyNumberFormat="1" applyFont="1" applyFill="1" applyBorder="1" applyAlignment="1">
      <alignment horizontal="right" vertical="center" wrapText="1"/>
    </xf>
    <xf numFmtId="4" fontId="19" fillId="25" borderId="46" xfId="0" applyNumberFormat="1" applyFont="1" applyFill="1" applyBorder="1" applyAlignment="1">
      <alignment horizontal="right" vertical="center" wrapText="1"/>
    </xf>
    <xf numFmtId="4" fontId="19" fillId="25" borderId="53" xfId="0" applyNumberFormat="1" applyFont="1" applyFill="1" applyBorder="1" applyAlignment="1">
      <alignment horizontal="right" vertical="center" wrapText="1"/>
    </xf>
    <xf numFmtId="4" fontId="19" fillId="25" borderId="45" xfId="0" applyNumberFormat="1" applyFont="1" applyFill="1" applyBorder="1" applyAlignment="1">
      <alignment horizontal="right" vertical="center" wrapText="1"/>
    </xf>
    <xf numFmtId="4" fontId="19" fillId="25" borderId="54" xfId="0" applyNumberFormat="1" applyFont="1" applyFill="1" applyBorder="1" applyAlignment="1">
      <alignment horizontal="right" vertical="center" wrapText="1"/>
    </xf>
    <xf numFmtId="4" fontId="19" fillId="25" borderId="47" xfId="0" applyNumberFormat="1" applyFont="1" applyFill="1" applyBorder="1" applyAlignment="1">
      <alignment horizontal="right" vertical="center" wrapText="1"/>
    </xf>
    <xf numFmtId="0" fontId="21" fillId="19" borderId="2" xfId="0" applyFont="1" applyFill="1" applyBorder="1" applyAlignment="1">
      <alignment horizontal="left" vertical="center" wrapText="1"/>
    </xf>
    <xf numFmtId="0" fontId="21" fillId="20" borderId="2" xfId="0" applyFont="1" applyFill="1" applyBorder="1" applyAlignment="1">
      <alignment horizontal="left" vertical="center" wrapText="1"/>
    </xf>
    <xf numFmtId="4" fontId="21" fillId="21" borderId="2" xfId="0" applyNumberFormat="1" applyFont="1" applyFill="1" applyBorder="1" applyAlignment="1">
      <alignment horizontal="right" vertical="center" wrapText="1"/>
    </xf>
    <xf numFmtId="4" fontId="32" fillId="21" borderId="2" xfId="0" applyNumberFormat="1" applyFont="1" applyFill="1" applyBorder="1" applyAlignment="1">
      <alignment horizontal="right" vertical="center" wrapText="1"/>
    </xf>
    <xf numFmtId="0" fontId="34" fillId="49" borderId="8" xfId="0" applyFont="1" applyFill="1" applyBorder="1" applyAlignment="1">
      <alignment horizontal="center" vertical="center"/>
    </xf>
    <xf numFmtId="0" fontId="34" fillId="49" borderId="12" xfId="0" applyFont="1" applyFill="1" applyBorder="1" applyAlignment="1">
      <alignment horizontal="center" vertical="center"/>
    </xf>
    <xf numFmtId="0" fontId="34" fillId="49" borderId="15" xfId="0" applyFont="1" applyFill="1" applyBorder="1" applyAlignment="1">
      <alignment horizontal="center" vertical="center"/>
    </xf>
    <xf numFmtId="44" fontId="34" fillId="49" borderId="9" xfId="0" applyNumberFormat="1" applyFont="1" applyFill="1" applyBorder="1" applyAlignment="1">
      <alignment horizontal="center" vertical="center"/>
    </xf>
    <xf numFmtId="44" fontId="34" fillId="49" borderId="13" xfId="0" applyNumberFormat="1" applyFont="1" applyFill="1" applyBorder="1" applyAlignment="1">
      <alignment horizontal="center" vertical="center"/>
    </xf>
    <xf numFmtId="44" fontId="34" fillId="49" borderId="16" xfId="0" applyNumberFormat="1" applyFont="1" applyFill="1" applyBorder="1" applyAlignment="1">
      <alignment horizontal="center" vertical="center"/>
    </xf>
    <xf numFmtId="10" fontId="36" fillId="49" borderId="61" xfId="0" applyNumberFormat="1" applyFont="1" applyFill="1" applyBorder="1" applyAlignment="1">
      <alignment horizontal="center" vertical="center"/>
    </xf>
    <xf numFmtId="10" fontId="36" fillId="49" borderId="63" xfId="0" applyNumberFormat="1" applyFont="1" applyFill="1" applyBorder="1" applyAlignment="1">
      <alignment horizontal="center" vertical="center"/>
    </xf>
    <xf numFmtId="10" fontId="36" fillId="49" borderId="62" xfId="0" applyNumberFormat="1" applyFont="1" applyFill="1" applyBorder="1" applyAlignment="1">
      <alignment horizontal="center" vertical="center"/>
    </xf>
    <xf numFmtId="0" fontId="16" fillId="40" borderId="0" xfId="0" applyFont="1" applyFill="1" applyAlignment="1">
      <alignment horizontal="center" vertical="center"/>
    </xf>
    <xf numFmtId="0" fontId="34" fillId="45" borderId="8" xfId="0" applyFont="1" applyFill="1" applyBorder="1" applyAlignment="1">
      <alignment horizontal="center" vertical="center"/>
    </xf>
    <xf numFmtId="0" fontId="34" fillId="45" borderId="12" xfId="0" applyFont="1" applyFill="1" applyBorder="1" applyAlignment="1">
      <alignment horizontal="center" vertical="center"/>
    </xf>
    <xf numFmtId="0" fontId="34" fillId="45" borderId="15" xfId="0" applyFont="1" applyFill="1" applyBorder="1" applyAlignment="1">
      <alignment horizontal="center" vertical="center"/>
    </xf>
    <xf numFmtId="44" fontId="34" fillId="45" borderId="9" xfId="0" applyNumberFormat="1" applyFont="1" applyFill="1" applyBorder="1" applyAlignment="1">
      <alignment horizontal="center" vertical="center"/>
    </xf>
    <xf numFmtId="44" fontId="34" fillId="45" borderId="13" xfId="0" applyNumberFormat="1" applyFont="1" applyFill="1" applyBorder="1" applyAlignment="1">
      <alignment horizontal="center" vertical="center"/>
    </xf>
    <xf numFmtId="44" fontId="34" fillId="45" borderId="16" xfId="0" applyNumberFormat="1" applyFont="1" applyFill="1" applyBorder="1" applyAlignment="1">
      <alignment horizontal="center" vertical="center"/>
    </xf>
    <xf numFmtId="10" fontId="36" fillId="45" borderId="61" xfId="0" applyNumberFormat="1" applyFont="1" applyFill="1" applyBorder="1" applyAlignment="1">
      <alignment horizontal="center" vertical="center"/>
    </xf>
    <xf numFmtId="10" fontId="36" fillId="45" borderId="63" xfId="0" applyNumberFormat="1" applyFont="1" applyFill="1" applyBorder="1" applyAlignment="1">
      <alignment horizontal="center" vertical="center"/>
    </xf>
    <xf numFmtId="10" fontId="36" fillId="45" borderId="62" xfId="0" applyNumberFormat="1" applyFont="1" applyFill="1" applyBorder="1" applyAlignment="1">
      <alignment horizontal="center" vertical="center"/>
    </xf>
    <xf numFmtId="0" fontId="34" fillId="45" borderId="58" xfId="0" applyFont="1" applyFill="1" applyBorder="1" applyAlignment="1">
      <alignment horizontal="center" vertical="center"/>
    </xf>
    <xf numFmtId="0" fontId="34" fillId="45" borderId="59" xfId="0" applyFont="1" applyFill="1" applyBorder="1" applyAlignment="1">
      <alignment horizontal="center" vertical="center"/>
    </xf>
    <xf numFmtId="0" fontId="34" fillId="45" borderId="60" xfId="0" applyFont="1" applyFill="1" applyBorder="1" applyAlignment="1">
      <alignment horizontal="center" vertical="center"/>
    </xf>
    <xf numFmtId="4" fontId="19" fillId="25" borderId="65" xfId="0" applyNumberFormat="1" applyFont="1" applyFill="1" applyBorder="1" applyAlignment="1">
      <alignment horizontal="right" vertical="center" wrapText="1"/>
    </xf>
    <xf numFmtId="4" fontId="19" fillId="25" borderId="66" xfId="0" applyNumberFormat="1" applyFont="1" applyFill="1" applyBorder="1" applyAlignment="1">
      <alignment horizontal="right" vertical="center" wrapText="1"/>
    </xf>
    <xf numFmtId="0" fontId="34" fillId="49" borderId="58" xfId="0" applyFont="1" applyFill="1" applyBorder="1" applyAlignment="1">
      <alignment horizontal="center" vertical="center"/>
    </xf>
    <xf numFmtId="0" fontId="34" fillId="49" borderId="60" xfId="0" applyFont="1" applyFill="1" applyBorder="1" applyAlignment="1">
      <alignment horizontal="center" vertical="center"/>
    </xf>
    <xf numFmtId="0" fontId="21" fillId="19" borderId="3" xfId="0" applyFont="1" applyFill="1" applyBorder="1" applyAlignment="1">
      <alignment horizontal="left" vertical="center" wrapText="1"/>
    </xf>
    <xf numFmtId="0" fontId="21" fillId="19" borderId="67" xfId="0" applyFont="1" applyFill="1" applyBorder="1" applyAlignment="1">
      <alignment horizontal="left" vertical="center" wrapText="1"/>
    </xf>
    <xf numFmtId="0" fontId="21" fillId="20" borderId="3" xfId="0" applyFont="1" applyFill="1" applyBorder="1" applyAlignment="1">
      <alignment horizontal="left" vertical="center" wrapText="1"/>
    </xf>
    <xf numFmtId="0" fontId="21" fillId="20" borderId="67" xfId="0" applyFont="1" applyFill="1" applyBorder="1" applyAlignment="1">
      <alignment horizontal="left" vertical="center" wrapText="1"/>
    </xf>
    <xf numFmtId="4" fontId="21" fillId="21" borderId="3" xfId="0" applyNumberFormat="1" applyFont="1" applyFill="1" applyBorder="1" applyAlignment="1">
      <alignment horizontal="right" vertical="center" wrapText="1"/>
    </xf>
    <xf numFmtId="4" fontId="21" fillId="21" borderId="67" xfId="0" applyNumberFormat="1" applyFont="1" applyFill="1" applyBorder="1" applyAlignment="1">
      <alignment horizontal="right" vertical="center" wrapText="1"/>
    </xf>
    <xf numFmtId="4" fontId="32" fillId="21" borderId="3" xfId="0" applyNumberFormat="1" applyFont="1" applyFill="1" applyBorder="1" applyAlignment="1">
      <alignment horizontal="right" vertical="center" wrapText="1"/>
    </xf>
    <xf numFmtId="4" fontId="32" fillId="21" borderId="67" xfId="0" applyNumberFormat="1" applyFont="1" applyFill="1" applyBorder="1" applyAlignment="1">
      <alignment horizontal="right" vertical="center" wrapText="1"/>
    </xf>
    <xf numFmtId="0" fontId="19" fillId="32" borderId="7" xfId="0" applyFont="1" applyFill="1" applyBorder="1" applyAlignment="1">
      <alignment horizontal="right" vertical="center" wrapText="1"/>
    </xf>
    <xf numFmtId="0" fontId="19" fillId="32" borderId="28" xfId="0" applyFont="1" applyFill="1" applyBorder="1" applyAlignment="1">
      <alignment horizontal="right" vertical="center" wrapText="1"/>
    </xf>
    <xf numFmtId="0" fontId="19" fillId="32" borderId="29" xfId="0" applyFont="1" applyFill="1" applyBorder="1" applyAlignment="1">
      <alignment horizontal="right" vertical="center" wrapText="1"/>
    </xf>
    <xf numFmtId="0" fontId="21" fillId="30" borderId="7" xfId="0" applyFont="1" applyFill="1" applyBorder="1" applyAlignment="1">
      <alignment horizontal="left" vertical="center" wrapText="1"/>
    </xf>
    <xf numFmtId="0" fontId="21" fillId="30" borderId="29" xfId="0" applyFont="1" applyFill="1" applyBorder="1" applyAlignment="1">
      <alignment horizontal="left" vertical="center" wrapText="1"/>
    </xf>
    <xf numFmtId="0" fontId="19" fillId="28" borderId="7" xfId="0" applyFont="1" applyFill="1" applyBorder="1" applyAlignment="1">
      <alignment horizontal="center" vertical="center" wrapText="1"/>
    </xf>
    <xf numFmtId="0" fontId="19" fillId="28" borderId="29" xfId="0" applyFont="1" applyFill="1" applyBorder="1" applyAlignment="1">
      <alignment horizontal="center" vertical="center" wrapText="1"/>
    </xf>
    <xf numFmtId="0" fontId="19" fillId="26" borderId="6" xfId="0" applyFont="1" applyFill="1" applyBorder="1" applyAlignment="1">
      <alignment horizontal="center" vertical="center" wrapText="1"/>
    </xf>
    <xf numFmtId="0" fontId="21" fillId="28" borderId="7" xfId="0" applyFont="1" applyFill="1" applyBorder="1" applyAlignment="1">
      <alignment horizontal="center" vertical="center" wrapText="1"/>
    </xf>
    <xf numFmtId="0" fontId="21" fillId="28" borderId="28" xfId="0" applyFont="1" applyFill="1" applyBorder="1" applyAlignment="1">
      <alignment horizontal="center" vertical="center" wrapText="1"/>
    </xf>
    <xf numFmtId="0" fontId="21" fillId="28" borderId="29" xfId="0" applyFont="1" applyFill="1" applyBorder="1" applyAlignment="1">
      <alignment horizontal="center" vertical="center" wrapText="1"/>
    </xf>
    <xf numFmtId="4" fontId="21" fillId="31" borderId="7" xfId="0" applyNumberFormat="1" applyFont="1" applyFill="1" applyBorder="1" applyAlignment="1">
      <alignment horizontal="center" vertical="center" wrapText="1"/>
    </xf>
    <xf numFmtId="4" fontId="21" fillId="31" borderId="28" xfId="0" applyNumberFormat="1" applyFont="1" applyFill="1" applyBorder="1" applyAlignment="1">
      <alignment horizontal="center" vertical="center" wrapText="1"/>
    </xf>
    <xf numFmtId="4" fontId="21" fillId="31" borderId="29" xfId="0" applyNumberFormat="1" applyFont="1" applyFill="1" applyBorder="1" applyAlignment="1">
      <alignment horizontal="center" vertical="center" wrapText="1"/>
    </xf>
    <xf numFmtId="0" fontId="19" fillId="35" borderId="6" xfId="0" applyFont="1" applyFill="1" applyBorder="1" applyAlignment="1">
      <alignment horizontal="center" vertical="center" wrapText="1"/>
    </xf>
    <xf numFmtId="164" fontId="21" fillId="36" borderId="30" xfId="0" applyNumberFormat="1" applyFont="1" applyFill="1" applyBorder="1" applyAlignment="1">
      <alignment horizontal="center" vertical="center" wrapText="1"/>
    </xf>
    <xf numFmtId="4" fontId="21" fillId="31" borderId="30" xfId="0" applyNumberFormat="1" applyFont="1" applyFill="1" applyBorder="1" applyAlignment="1">
      <alignment horizontal="center" vertical="center" wrapText="1"/>
    </xf>
    <xf numFmtId="164" fontId="21" fillId="36" borderId="6" xfId="0" applyNumberFormat="1" applyFont="1" applyFill="1" applyBorder="1" applyAlignment="1">
      <alignment horizontal="center" vertical="center" wrapText="1"/>
    </xf>
    <xf numFmtId="4" fontId="21" fillId="31" borderId="6" xfId="0" applyNumberFormat="1" applyFont="1" applyFill="1" applyBorder="1" applyAlignment="1">
      <alignment horizontal="center" vertical="center" wrapText="1"/>
    </xf>
    <xf numFmtId="0" fontId="19" fillId="28" borderId="7" xfId="0" applyFont="1" applyFill="1" applyBorder="1" applyAlignment="1">
      <alignment horizontal="left" vertical="top" wrapText="1"/>
    </xf>
    <xf numFmtId="0" fontId="19" fillId="28" borderId="28" xfId="0" applyFont="1" applyFill="1" applyBorder="1" applyAlignment="1">
      <alignment horizontal="left" vertical="top" wrapText="1"/>
    </xf>
    <xf numFmtId="0" fontId="19" fillId="28" borderId="29" xfId="0" applyFont="1" applyFill="1" applyBorder="1" applyAlignment="1">
      <alignment horizontal="left" vertical="top" wrapText="1"/>
    </xf>
    <xf numFmtId="4" fontId="19" fillId="33" borderId="6" xfId="0" applyNumberFormat="1" applyFont="1" applyFill="1" applyBorder="1" applyAlignment="1">
      <alignment horizontal="center" vertical="center" wrapText="1"/>
    </xf>
    <xf numFmtId="0" fontId="19" fillId="28" borderId="28" xfId="0" applyFont="1" applyFill="1" applyBorder="1" applyAlignment="1">
      <alignment horizontal="left" vertical="center" wrapText="1"/>
    </xf>
    <xf numFmtId="0" fontId="19" fillId="28" borderId="29" xfId="0" applyFont="1" applyFill="1" applyBorder="1" applyAlignment="1">
      <alignment horizontal="left" vertical="center" wrapText="1"/>
    </xf>
    <xf numFmtId="4" fontId="19" fillId="38" borderId="6" xfId="0" applyNumberFormat="1" applyFont="1" applyFill="1" applyBorder="1" applyAlignment="1">
      <alignment horizontal="center" vertical="center" wrapText="1"/>
    </xf>
    <xf numFmtId="0" fontId="19" fillId="37" borderId="6" xfId="0" applyFont="1" applyFill="1" applyBorder="1" applyAlignment="1">
      <alignment horizontal="right" vertical="center" wrapText="1"/>
    </xf>
    <xf numFmtId="4" fontId="19" fillId="33" borderId="6" xfId="0" applyNumberFormat="1" applyFont="1" applyFill="1" applyBorder="1" applyAlignment="1">
      <alignment horizontal="center" vertical="top" wrapText="1"/>
    </xf>
    <xf numFmtId="44" fontId="36" fillId="45" borderId="9" xfId="0" applyNumberFormat="1" applyFont="1" applyFill="1" applyBorder="1" applyAlignment="1">
      <alignment horizontal="center" vertical="center"/>
    </xf>
  </cellXfs>
  <cellStyles count="13">
    <cellStyle name="Hiperlink 2" xfId="5" xr:uid="{00000000-0005-0000-0000-000000000000}"/>
    <cellStyle name="Moeda" xfId="8" builtinId="4"/>
    <cellStyle name="Normal" xfId="0" builtinId="0"/>
    <cellStyle name="Normal 10 2 2" xfId="7" xr:uid="{00000000-0005-0000-0000-000003000000}"/>
    <cellStyle name="Normal 2" xfId="6" xr:uid="{00000000-0005-0000-0000-000004000000}"/>
    <cellStyle name="Normal 3" xfId="9" xr:uid="{00000000-0005-0000-0000-000005000000}"/>
    <cellStyle name="Normal 4" xfId="10" xr:uid="{6CEF0E9D-4AF4-4530-91EC-4F36858FE1FF}"/>
    <cellStyle name="Normal 61" xfId="3" xr:uid="{00000000-0005-0000-0000-000006000000}"/>
    <cellStyle name="Porcentagem" xfId="2" builtinId="5"/>
    <cellStyle name="Porcentagem 2" xfId="12" xr:uid="{B0ABD536-0E0B-4CF3-A641-6294752097F5}"/>
    <cellStyle name="TableStyleLight1" xfId="4" xr:uid="{00000000-0005-0000-0000-000009000000}"/>
    <cellStyle name="Vírgula" xfId="1" builtinId="3"/>
    <cellStyle name="Vírgula 2" xfId="11" xr:uid="{DD79F61E-D876-4B8D-8133-177C5343BEA0}"/>
  </cellStyles>
  <dxfs count="59">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dxf>
    <dxf>
      <font>
        <color theme="0"/>
      </font>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font>
    </dxf>
    <dxf>
      <font>
        <color theme="0"/>
      </font>
      <fill>
        <patternFill patternType="none">
          <bgColor auto="1"/>
        </patternFill>
      </fill>
    </dxf>
    <dxf>
      <fill>
        <patternFill>
          <bgColor theme="0" tint="-0.24994659260841701"/>
        </patternFill>
      </fill>
    </dxf>
    <dxf>
      <font>
        <color theme="0"/>
      </font>
    </dxf>
    <dxf>
      <font>
        <color theme="0"/>
      </font>
      <fill>
        <patternFill patternType="none">
          <bgColor auto="1"/>
        </patternFill>
      </fill>
    </dxf>
    <dxf>
      <font>
        <color theme="0"/>
      </font>
    </dxf>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
      <font>
        <color theme="0"/>
      </font>
    </dxf>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fill>
        <patternFill patternType="none">
          <bgColor auto="1"/>
        </patternFill>
      </fill>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29308</xdr:colOff>
      <xdr:row>0</xdr:row>
      <xdr:rowOff>73090</xdr:rowOff>
    </xdr:from>
    <xdr:to>
      <xdr:col>1</xdr:col>
      <xdr:colOff>1037145</xdr:colOff>
      <xdr:row>0</xdr:row>
      <xdr:rowOff>577090</xdr:rowOff>
    </xdr:to>
    <xdr:pic>
      <xdr:nvPicPr>
        <xdr:cNvPr id="3" name="Imagem 2">
          <a:extLst>
            <a:ext uri="{FF2B5EF4-FFF2-40B4-BE49-F238E27FC236}">
              <a16:creationId xmlns:a16="http://schemas.microsoft.com/office/drawing/2014/main" id="{92A6071B-1FAA-840E-8667-A0063288CD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08" y="73090"/>
          <a:ext cx="1630625" cy="504000"/>
        </a:xfrm>
        <a:prstGeom prst="rect">
          <a:avLst/>
        </a:prstGeom>
      </xdr:spPr>
    </xdr:pic>
    <xdr:clientData/>
  </xdr:twoCellAnchor>
  <xdr:twoCellAnchor editAs="oneCell">
    <xdr:from>
      <xdr:col>2</xdr:col>
      <xdr:colOff>914399</xdr:colOff>
      <xdr:row>0</xdr:row>
      <xdr:rowOff>36635</xdr:rowOff>
    </xdr:from>
    <xdr:to>
      <xdr:col>5</xdr:col>
      <xdr:colOff>468260</xdr:colOff>
      <xdr:row>0</xdr:row>
      <xdr:rowOff>612635</xdr:rowOff>
    </xdr:to>
    <xdr:pic>
      <xdr:nvPicPr>
        <xdr:cNvPr id="4" name="Imagem 3">
          <a:extLst>
            <a:ext uri="{FF2B5EF4-FFF2-40B4-BE49-F238E27FC236}">
              <a16:creationId xmlns:a16="http://schemas.microsoft.com/office/drawing/2014/main" id="{4CB1EFBB-7E8D-4F93-BB34-42A785DECA02}"/>
            </a:ext>
          </a:extLst>
        </xdr:cNvPr>
        <xdr:cNvPicPr>
          <a:picLocks noChangeAspect="1"/>
        </xdr:cNvPicPr>
      </xdr:nvPicPr>
      <xdr:blipFill>
        <a:blip xmlns:r="http://schemas.openxmlformats.org/officeDocument/2006/relationships" r:embed="rId2" cstate="print"/>
        <a:stretch>
          <a:fillRect/>
        </a:stretch>
      </xdr:blipFill>
      <xdr:spPr>
        <a:xfrm>
          <a:off x="6159499" y="36635"/>
          <a:ext cx="1979561" cy="576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23812</xdr:colOff>
      <xdr:row>0</xdr:row>
      <xdr:rowOff>65483</xdr:rowOff>
    </xdr:from>
    <xdr:to>
      <xdr:col>1</xdr:col>
      <xdr:colOff>453349</xdr:colOff>
      <xdr:row>0</xdr:row>
      <xdr:rowOff>569483</xdr:rowOff>
    </xdr:to>
    <xdr:pic>
      <xdr:nvPicPr>
        <xdr:cNvPr id="2" name="Imagem 1">
          <a:extLst>
            <a:ext uri="{FF2B5EF4-FFF2-40B4-BE49-F238E27FC236}">
              <a16:creationId xmlns:a16="http://schemas.microsoft.com/office/drawing/2014/main" id="{1376F626-71B3-42BA-BCE1-FD89008685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65483"/>
          <a:ext cx="1727823" cy="504000"/>
        </a:xfrm>
        <a:prstGeom prst="rect">
          <a:avLst/>
        </a:prstGeom>
      </xdr:spPr>
    </xdr:pic>
    <xdr:clientData/>
  </xdr:twoCellAnchor>
  <xdr:twoCellAnchor editAs="oneCell">
    <xdr:from>
      <xdr:col>4</xdr:col>
      <xdr:colOff>770082</xdr:colOff>
      <xdr:row>0</xdr:row>
      <xdr:rowOff>23090</xdr:rowOff>
    </xdr:from>
    <xdr:to>
      <xdr:col>6</xdr:col>
      <xdr:colOff>539866</xdr:colOff>
      <xdr:row>0</xdr:row>
      <xdr:rowOff>599090</xdr:rowOff>
    </xdr:to>
    <xdr:pic>
      <xdr:nvPicPr>
        <xdr:cNvPr id="4" name="Imagem 3">
          <a:extLst>
            <a:ext uri="{FF2B5EF4-FFF2-40B4-BE49-F238E27FC236}">
              <a16:creationId xmlns:a16="http://schemas.microsoft.com/office/drawing/2014/main" id="{2106B608-68F1-4163-8BFE-550008EC42C9}"/>
            </a:ext>
          </a:extLst>
        </xdr:cNvPr>
        <xdr:cNvPicPr>
          <a:picLocks noChangeAspect="1"/>
        </xdr:cNvPicPr>
      </xdr:nvPicPr>
      <xdr:blipFill>
        <a:blip xmlns:r="http://schemas.openxmlformats.org/officeDocument/2006/relationships" r:embed="rId2" cstate="print"/>
        <a:stretch>
          <a:fillRect/>
        </a:stretch>
      </xdr:blipFill>
      <xdr:spPr>
        <a:xfrm>
          <a:off x="9048173" y="23090"/>
          <a:ext cx="2059632" cy="576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21980</xdr:colOff>
      <xdr:row>33</xdr:row>
      <xdr:rowOff>128116</xdr:rowOff>
    </xdr:from>
    <xdr:to>
      <xdr:col>2</xdr:col>
      <xdr:colOff>1223596</xdr:colOff>
      <xdr:row>33</xdr:row>
      <xdr:rowOff>494463</xdr:rowOff>
    </xdr:to>
    <xdr:pic>
      <xdr:nvPicPr>
        <xdr:cNvPr id="2075331417" name="Picture">
          <a:extLst>
            <a:ext uri="{FF2B5EF4-FFF2-40B4-BE49-F238E27FC236}">
              <a16:creationId xmlns:a16="http://schemas.microsoft.com/office/drawing/2014/main" id="{00000000-0008-0000-0600-0000590BB37B}"/>
            </a:ext>
          </a:extLst>
        </xdr:cNvPr>
        <xdr:cNvPicPr/>
      </xdr:nvPicPr>
      <xdr:blipFill>
        <a:blip xmlns:r="http://schemas.openxmlformats.org/officeDocument/2006/relationships" r:embed="rId1" cstate="print"/>
        <a:srcRect/>
        <a:stretch>
          <a:fillRect r="6666"/>
        </a:stretch>
      </xdr:blipFill>
      <xdr:spPr>
        <a:xfrm>
          <a:off x="21980" y="6066273"/>
          <a:ext cx="2622202" cy="366347"/>
        </a:xfrm>
        <a:prstGeom prst="rect">
          <a:avLst/>
        </a:prstGeom>
      </xdr:spPr>
    </xdr:pic>
    <xdr:clientData/>
  </xdr:twoCellAnchor>
  <xdr:oneCellAnchor>
    <xdr:from>
      <xdr:col>0</xdr:col>
      <xdr:colOff>21980</xdr:colOff>
      <xdr:row>57</xdr:row>
      <xdr:rowOff>128116</xdr:rowOff>
    </xdr:from>
    <xdr:ext cx="2617942" cy="366347"/>
    <xdr:pic>
      <xdr:nvPicPr>
        <xdr:cNvPr id="2" name="Picture">
          <a:extLst>
            <a:ext uri="{FF2B5EF4-FFF2-40B4-BE49-F238E27FC236}">
              <a16:creationId xmlns:a16="http://schemas.microsoft.com/office/drawing/2014/main" id="{1BDBFD6B-B731-4715-83C9-6E6EB50E413F}"/>
            </a:ext>
          </a:extLst>
        </xdr:cNvPr>
        <xdr:cNvPicPr/>
      </xdr:nvPicPr>
      <xdr:blipFill>
        <a:blip xmlns:r="http://schemas.openxmlformats.org/officeDocument/2006/relationships" r:embed="rId1" cstate="print"/>
        <a:srcRect/>
        <a:stretch>
          <a:fillRect r="6666"/>
        </a:stretch>
      </xdr:blipFill>
      <xdr:spPr>
        <a:xfrm>
          <a:off x="21980" y="5834833"/>
          <a:ext cx="2617942" cy="366347"/>
        </a:xfrm>
        <a:prstGeom prst="rect">
          <a:avLst/>
        </a:prstGeom>
      </xdr:spPr>
    </xdr:pic>
    <xdr:clientData/>
  </xdr:oneCellAnchor>
  <xdr:twoCellAnchor editAs="oneCell">
    <xdr:from>
      <xdr:col>0</xdr:col>
      <xdr:colOff>49698</xdr:colOff>
      <xdr:row>0</xdr:row>
      <xdr:rowOff>66264</xdr:rowOff>
    </xdr:from>
    <xdr:to>
      <xdr:col>2</xdr:col>
      <xdr:colOff>263997</xdr:colOff>
      <xdr:row>0</xdr:row>
      <xdr:rowOff>570264</xdr:rowOff>
    </xdr:to>
    <xdr:pic>
      <xdr:nvPicPr>
        <xdr:cNvPr id="3" name="Imagem 2">
          <a:extLst>
            <a:ext uri="{FF2B5EF4-FFF2-40B4-BE49-F238E27FC236}">
              <a16:creationId xmlns:a16="http://schemas.microsoft.com/office/drawing/2014/main" id="{E53CE2E6-4818-46FF-98E7-8F86B7F3AC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698" y="66264"/>
          <a:ext cx="1630625" cy="504000"/>
        </a:xfrm>
        <a:prstGeom prst="rect">
          <a:avLst/>
        </a:prstGeom>
      </xdr:spPr>
    </xdr:pic>
    <xdr:clientData/>
  </xdr:twoCellAnchor>
  <xdr:twoCellAnchor editAs="oneCell">
    <xdr:from>
      <xdr:col>5</xdr:col>
      <xdr:colOff>152400</xdr:colOff>
      <xdr:row>0</xdr:row>
      <xdr:rowOff>33131</xdr:rowOff>
    </xdr:from>
    <xdr:to>
      <xdr:col>7</xdr:col>
      <xdr:colOff>685210</xdr:colOff>
      <xdr:row>0</xdr:row>
      <xdr:rowOff>609131</xdr:rowOff>
    </xdr:to>
    <xdr:pic>
      <xdr:nvPicPr>
        <xdr:cNvPr id="4" name="Imagem 3">
          <a:extLst>
            <a:ext uri="{FF2B5EF4-FFF2-40B4-BE49-F238E27FC236}">
              <a16:creationId xmlns:a16="http://schemas.microsoft.com/office/drawing/2014/main" id="{26828B8D-6221-40B6-9ED9-B3E54E2EAAB7}"/>
            </a:ext>
          </a:extLst>
        </xdr:cNvPr>
        <xdr:cNvPicPr>
          <a:picLocks noChangeAspect="1"/>
        </xdr:cNvPicPr>
      </xdr:nvPicPr>
      <xdr:blipFill>
        <a:blip xmlns:r="http://schemas.openxmlformats.org/officeDocument/2006/relationships" r:embed="rId3" cstate="print"/>
        <a:stretch>
          <a:fillRect/>
        </a:stretch>
      </xdr:blipFill>
      <xdr:spPr>
        <a:xfrm>
          <a:off x="5543550" y="33131"/>
          <a:ext cx="2171110" cy="576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66431</xdr:colOff>
      <xdr:row>0</xdr:row>
      <xdr:rowOff>27843</xdr:rowOff>
    </xdr:from>
    <xdr:to>
      <xdr:col>1</xdr:col>
      <xdr:colOff>876300</xdr:colOff>
      <xdr:row>2</xdr:row>
      <xdr:rowOff>117986</xdr:rowOff>
    </xdr:to>
    <xdr:pic>
      <xdr:nvPicPr>
        <xdr:cNvPr id="2" name="Imagem 1">
          <a:extLst>
            <a:ext uri="{FF2B5EF4-FFF2-40B4-BE49-F238E27FC236}">
              <a16:creationId xmlns:a16="http://schemas.microsoft.com/office/drawing/2014/main" id="{36AB7516-3FD3-4A8D-A380-B52A42CBF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431" y="27843"/>
          <a:ext cx="1514719" cy="445743"/>
        </a:xfrm>
        <a:prstGeom prst="rect">
          <a:avLst/>
        </a:prstGeom>
      </xdr:spPr>
    </xdr:pic>
    <xdr:clientData/>
  </xdr:twoCellAnchor>
  <xdr:twoCellAnchor editAs="oneCell">
    <xdr:from>
      <xdr:col>2</xdr:col>
      <xdr:colOff>273050</xdr:colOff>
      <xdr:row>0</xdr:row>
      <xdr:rowOff>37612</xdr:rowOff>
    </xdr:from>
    <xdr:to>
      <xdr:col>5</xdr:col>
      <xdr:colOff>556672</xdr:colOff>
      <xdr:row>2</xdr:row>
      <xdr:rowOff>159805</xdr:rowOff>
    </xdr:to>
    <xdr:pic>
      <xdr:nvPicPr>
        <xdr:cNvPr id="3" name="Imagem 2">
          <a:extLst>
            <a:ext uri="{FF2B5EF4-FFF2-40B4-BE49-F238E27FC236}">
              <a16:creationId xmlns:a16="http://schemas.microsoft.com/office/drawing/2014/main" id="{CFE5C7F7-743D-42D2-AA62-9C057655FB4D}"/>
            </a:ext>
          </a:extLst>
        </xdr:cNvPr>
        <xdr:cNvPicPr>
          <a:picLocks noChangeAspect="1"/>
        </xdr:cNvPicPr>
      </xdr:nvPicPr>
      <xdr:blipFill>
        <a:blip xmlns:r="http://schemas.openxmlformats.org/officeDocument/2006/relationships" r:embed="rId2" cstate="print"/>
        <a:stretch>
          <a:fillRect/>
        </a:stretch>
      </xdr:blipFill>
      <xdr:spPr>
        <a:xfrm>
          <a:off x="5492750" y="37612"/>
          <a:ext cx="1718722" cy="477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xdr:colOff>
      <xdr:row>0</xdr:row>
      <xdr:rowOff>65483</xdr:rowOff>
    </xdr:from>
    <xdr:to>
      <xdr:col>2</xdr:col>
      <xdr:colOff>350703</xdr:colOff>
      <xdr:row>0</xdr:row>
      <xdr:rowOff>569483</xdr:rowOff>
    </xdr:to>
    <xdr:pic>
      <xdr:nvPicPr>
        <xdr:cNvPr id="3" name="Imagem 2">
          <a:extLst>
            <a:ext uri="{FF2B5EF4-FFF2-40B4-BE49-F238E27FC236}">
              <a16:creationId xmlns:a16="http://schemas.microsoft.com/office/drawing/2014/main" id="{856EE8CD-3AB9-4B60-BFCD-9E29B978DA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65483"/>
          <a:ext cx="1630625" cy="504000"/>
        </a:xfrm>
        <a:prstGeom prst="rect">
          <a:avLst/>
        </a:prstGeom>
      </xdr:spPr>
    </xdr:pic>
    <xdr:clientData/>
  </xdr:twoCellAnchor>
  <xdr:twoCellAnchor editAs="oneCell">
    <xdr:from>
      <xdr:col>8</xdr:col>
      <xdr:colOff>380999</xdr:colOff>
      <xdr:row>0</xdr:row>
      <xdr:rowOff>29765</xdr:rowOff>
    </xdr:from>
    <xdr:to>
      <xdr:col>10</xdr:col>
      <xdr:colOff>576245</xdr:colOff>
      <xdr:row>0</xdr:row>
      <xdr:rowOff>605765</xdr:rowOff>
    </xdr:to>
    <xdr:pic>
      <xdr:nvPicPr>
        <xdr:cNvPr id="4" name="Imagem 3">
          <a:extLst>
            <a:ext uri="{FF2B5EF4-FFF2-40B4-BE49-F238E27FC236}">
              <a16:creationId xmlns:a16="http://schemas.microsoft.com/office/drawing/2014/main" id="{91A06206-EE2A-415A-863C-92EBF01F14B3}"/>
            </a:ext>
          </a:extLst>
        </xdr:cNvPr>
        <xdr:cNvPicPr>
          <a:picLocks noChangeAspect="1"/>
        </xdr:cNvPicPr>
      </xdr:nvPicPr>
      <xdr:blipFill>
        <a:blip xmlns:r="http://schemas.openxmlformats.org/officeDocument/2006/relationships" r:embed="rId2" cstate="print"/>
        <a:stretch>
          <a:fillRect/>
        </a:stretch>
      </xdr:blipFill>
      <xdr:spPr>
        <a:xfrm>
          <a:off x="8889999" y="29765"/>
          <a:ext cx="2018603"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xdr:colOff>
      <xdr:row>0</xdr:row>
      <xdr:rowOff>53577</xdr:rowOff>
    </xdr:from>
    <xdr:to>
      <xdr:col>1</xdr:col>
      <xdr:colOff>956050</xdr:colOff>
      <xdr:row>0</xdr:row>
      <xdr:rowOff>557577</xdr:rowOff>
    </xdr:to>
    <xdr:pic>
      <xdr:nvPicPr>
        <xdr:cNvPr id="2" name="Imagem 1">
          <a:extLst>
            <a:ext uri="{FF2B5EF4-FFF2-40B4-BE49-F238E27FC236}">
              <a16:creationId xmlns:a16="http://schemas.microsoft.com/office/drawing/2014/main" id="{E3D57C5A-7E7A-4088-8EC9-0C71F65882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53577"/>
          <a:ext cx="1630625" cy="504000"/>
        </a:xfrm>
        <a:prstGeom prst="rect">
          <a:avLst/>
        </a:prstGeom>
      </xdr:spPr>
    </xdr:pic>
    <xdr:clientData/>
  </xdr:twoCellAnchor>
  <xdr:twoCellAnchor editAs="oneCell">
    <xdr:from>
      <xdr:col>4</xdr:col>
      <xdr:colOff>323850</xdr:colOff>
      <xdr:row>0</xdr:row>
      <xdr:rowOff>35718</xdr:rowOff>
    </xdr:from>
    <xdr:to>
      <xdr:col>6</xdr:col>
      <xdr:colOff>768899</xdr:colOff>
      <xdr:row>0</xdr:row>
      <xdr:rowOff>611718</xdr:rowOff>
    </xdr:to>
    <xdr:pic>
      <xdr:nvPicPr>
        <xdr:cNvPr id="3" name="Imagem 2">
          <a:extLst>
            <a:ext uri="{FF2B5EF4-FFF2-40B4-BE49-F238E27FC236}">
              <a16:creationId xmlns:a16="http://schemas.microsoft.com/office/drawing/2014/main" id="{80EA6D09-7764-4302-8935-997F7B0804FB}"/>
            </a:ext>
          </a:extLst>
        </xdr:cNvPr>
        <xdr:cNvPicPr>
          <a:picLocks noChangeAspect="1"/>
        </xdr:cNvPicPr>
      </xdr:nvPicPr>
      <xdr:blipFill>
        <a:blip xmlns:r="http://schemas.openxmlformats.org/officeDocument/2006/relationships" r:embed="rId2" cstate="print"/>
        <a:stretch>
          <a:fillRect/>
        </a:stretch>
      </xdr:blipFill>
      <xdr:spPr>
        <a:xfrm>
          <a:off x="5918200" y="35718"/>
          <a:ext cx="2076999"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29765</xdr:colOff>
      <xdr:row>0</xdr:row>
      <xdr:rowOff>53577</xdr:rowOff>
    </xdr:from>
    <xdr:to>
      <xdr:col>1</xdr:col>
      <xdr:colOff>1106749</xdr:colOff>
      <xdr:row>0</xdr:row>
      <xdr:rowOff>557577</xdr:rowOff>
    </xdr:to>
    <xdr:pic>
      <xdr:nvPicPr>
        <xdr:cNvPr id="3" name="Imagem 2">
          <a:extLst>
            <a:ext uri="{FF2B5EF4-FFF2-40B4-BE49-F238E27FC236}">
              <a16:creationId xmlns:a16="http://schemas.microsoft.com/office/drawing/2014/main" id="{8A062F8C-A436-4805-BA25-283BC61B24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65" y="53577"/>
          <a:ext cx="1630625" cy="504000"/>
        </a:xfrm>
        <a:prstGeom prst="rect">
          <a:avLst/>
        </a:prstGeom>
      </xdr:spPr>
    </xdr:pic>
    <xdr:clientData/>
  </xdr:twoCellAnchor>
  <xdr:twoCellAnchor editAs="oneCell">
    <xdr:from>
      <xdr:col>4</xdr:col>
      <xdr:colOff>63500</xdr:colOff>
      <xdr:row>0</xdr:row>
      <xdr:rowOff>35717</xdr:rowOff>
    </xdr:from>
    <xdr:to>
      <xdr:col>6</xdr:col>
      <xdr:colOff>609226</xdr:colOff>
      <xdr:row>0</xdr:row>
      <xdr:rowOff>611717</xdr:rowOff>
    </xdr:to>
    <xdr:pic>
      <xdr:nvPicPr>
        <xdr:cNvPr id="4" name="Imagem 3">
          <a:extLst>
            <a:ext uri="{FF2B5EF4-FFF2-40B4-BE49-F238E27FC236}">
              <a16:creationId xmlns:a16="http://schemas.microsoft.com/office/drawing/2014/main" id="{C9E1E0A8-A2B8-48C8-AFF4-DE9640421C81}"/>
            </a:ext>
          </a:extLst>
        </xdr:cNvPr>
        <xdr:cNvPicPr>
          <a:picLocks noChangeAspect="1"/>
        </xdr:cNvPicPr>
      </xdr:nvPicPr>
      <xdr:blipFill>
        <a:blip xmlns:r="http://schemas.openxmlformats.org/officeDocument/2006/relationships" r:embed="rId2" cstate="print"/>
        <a:stretch>
          <a:fillRect/>
        </a:stretch>
      </xdr:blipFill>
      <xdr:spPr>
        <a:xfrm>
          <a:off x="5505450" y="35717"/>
          <a:ext cx="2050676" cy="57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32845</xdr:colOff>
      <xdr:row>0</xdr:row>
      <xdr:rowOff>65690</xdr:rowOff>
    </xdr:from>
    <xdr:to>
      <xdr:col>1</xdr:col>
      <xdr:colOff>1045987</xdr:colOff>
      <xdr:row>0</xdr:row>
      <xdr:rowOff>569690</xdr:rowOff>
    </xdr:to>
    <xdr:pic>
      <xdr:nvPicPr>
        <xdr:cNvPr id="2" name="Imagem 1">
          <a:extLst>
            <a:ext uri="{FF2B5EF4-FFF2-40B4-BE49-F238E27FC236}">
              <a16:creationId xmlns:a16="http://schemas.microsoft.com/office/drawing/2014/main" id="{08213FA0-DBC1-4EAA-9D98-489942892F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45" y="65690"/>
          <a:ext cx="1630625" cy="504000"/>
        </a:xfrm>
        <a:prstGeom prst="rect">
          <a:avLst/>
        </a:prstGeom>
      </xdr:spPr>
    </xdr:pic>
    <xdr:clientData/>
  </xdr:twoCellAnchor>
  <xdr:twoCellAnchor editAs="oneCell">
    <xdr:from>
      <xdr:col>8</xdr:col>
      <xdr:colOff>436084</xdr:colOff>
      <xdr:row>0</xdr:row>
      <xdr:rowOff>38782</xdr:rowOff>
    </xdr:from>
    <xdr:to>
      <xdr:col>11</xdr:col>
      <xdr:colOff>549468</xdr:colOff>
      <xdr:row>0</xdr:row>
      <xdr:rowOff>614782</xdr:rowOff>
    </xdr:to>
    <xdr:pic>
      <xdr:nvPicPr>
        <xdr:cNvPr id="3" name="Imagem 2">
          <a:extLst>
            <a:ext uri="{FF2B5EF4-FFF2-40B4-BE49-F238E27FC236}">
              <a16:creationId xmlns:a16="http://schemas.microsoft.com/office/drawing/2014/main" id="{9239A4D8-2CE9-486E-B4CB-39F7E3B1FBCB}"/>
            </a:ext>
          </a:extLst>
        </xdr:cNvPr>
        <xdr:cNvPicPr>
          <a:picLocks noChangeAspect="1"/>
        </xdr:cNvPicPr>
      </xdr:nvPicPr>
      <xdr:blipFill>
        <a:blip xmlns:r="http://schemas.openxmlformats.org/officeDocument/2006/relationships" r:embed="rId2" cstate="print"/>
        <a:stretch>
          <a:fillRect/>
        </a:stretch>
      </xdr:blipFill>
      <xdr:spPr>
        <a:xfrm>
          <a:off x="10733795" y="38782"/>
          <a:ext cx="1994340" cy="57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32845</xdr:colOff>
      <xdr:row>0</xdr:row>
      <xdr:rowOff>52552</xdr:rowOff>
    </xdr:from>
    <xdr:to>
      <xdr:col>1</xdr:col>
      <xdr:colOff>896575</xdr:colOff>
      <xdr:row>0</xdr:row>
      <xdr:rowOff>556552</xdr:rowOff>
    </xdr:to>
    <xdr:pic>
      <xdr:nvPicPr>
        <xdr:cNvPr id="2" name="Imagem 1">
          <a:extLst>
            <a:ext uri="{FF2B5EF4-FFF2-40B4-BE49-F238E27FC236}">
              <a16:creationId xmlns:a16="http://schemas.microsoft.com/office/drawing/2014/main" id="{01C9C9B6-3200-40B7-BCB2-9219A02456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45" y="52552"/>
          <a:ext cx="1717992" cy="504000"/>
        </a:xfrm>
        <a:prstGeom prst="rect">
          <a:avLst/>
        </a:prstGeom>
      </xdr:spPr>
    </xdr:pic>
    <xdr:clientData/>
  </xdr:twoCellAnchor>
  <xdr:twoCellAnchor editAs="oneCell">
    <xdr:from>
      <xdr:col>3</xdr:col>
      <xdr:colOff>79791</xdr:colOff>
      <xdr:row>0</xdr:row>
      <xdr:rowOff>29884</xdr:rowOff>
    </xdr:from>
    <xdr:to>
      <xdr:col>5</xdr:col>
      <xdr:colOff>633284</xdr:colOff>
      <xdr:row>0</xdr:row>
      <xdr:rowOff>605884</xdr:rowOff>
    </xdr:to>
    <xdr:pic>
      <xdr:nvPicPr>
        <xdr:cNvPr id="3" name="Imagem 2">
          <a:extLst>
            <a:ext uri="{FF2B5EF4-FFF2-40B4-BE49-F238E27FC236}">
              <a16:creationId xmlns:a16="http://schemas.microsoft.com/office/drawing/2014/main" id="{82B9FC45-F4D6-4A52-BEBE-B678DA89ACDA}"/>
            </a:ext>
          </a:extLst>
        </xdr:cNvPr>
        <xdr:cNvPicPr>
          <a:picLocks noChangeAspect="1"/>
        </xdr:cNvPicPr>
      </xdr:nvPicPr>
      <xdr:blipFill>
        <a:blip xmlns:r="http://schemas.openxmlformats.org/officeDocument/2006/relationships" r:embed="rId2" cstate="print"/>
        <a:stretch>
          <a:fillRect/>
        </a:stretch>
      </xdr:blipFill>
      <xdr:spPr>
        <a:xfrm>
          <a:off x="5966615" y="29884"/>
          <a:ext cx="2114845" cy="576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24849</xdr:colOff>
      <xdr:row>0</xdr:row>
      <xdr:rowOff>66264</xdr:rowOff>
    </xdr:from>
    <xdr:to>
      <xdr:col>2</xdr:col>
      <xdr:colOff>330257</xdr:colOff>
      <xdr:row>0</xdr:row>
      <xdr:rowOff>570264</xdr:rowOff>
    </xdr:to>
    <xdr:pic>
      <xdr:nvPicPr>
        <xdr:cNvPr id="2" name="Imagem 1">
          <a:extLst>
            <a:ext uri="{FF2B5EF4-FFF2-40B4-BE49-F238E27FC236}">
              <a16:creationId xmlns:a16="http://schemas.microsoft.com/office/drawing/2014/main" id="{56C5CBFC-BA74-481B-B58E-E05DA7B680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66264"/>
          <a:ext cx="1630625" cy="504000"/>
        </a:xfrm>
        <a:prstGeom prst="rect">
          <a:avLst/>
        </a:prstGeom>
      </xdr:spPr>
    </xdr:pic>
    <xdr:clientData/>
  </xdr:twoCellAnchor>
  <xdr:twoCellAnchor editAs="oneCell">
    <xdr:from>
      <xdr:col>7</xdr:col>
      <xdr:colOff>979715</xdr:colOff>
      <xdr:row>0</xdr:row>
      <xdr:rowOff>33130</xdr:rowOff>
    </xdr:from>
    <xdr:to>
      <xdr:col>8</xdr:col>
      <xdr:colOff>801162</xdr:colOff>
      <xdr:row>0</xdr:row>
      <xdr:rowOff>609130</xdr:rowOff>
    </xdr:to>
    <xdr:pic>
      <xdr:nvPicPr>
        <xdr:cNvPr id="3" name="Imagem 2">
          <a:extLst>
            <a:ext uri="{FF2B5EF4-FFF2-40B4-BE49-F238E27FC236}">
              <a16:creationId xmlns:a16="http://schemas.microsoft.com/office/drawing/2014/main" id="{8D98410A-FABC-4892-9FEC-6A138EB4C456}"/>
            </a:ext>
          </a:extLst>
        </xdr:cNvPr>
        <xdr:cNvPicPr>
          <a:picLocks noChangeAspect="1"/>
        </xdr:cNvPicPr>
      </xdr:nvPicPr>
      <xdr:blipFill>
        <a:blip xmlns:r="http://schemas.openxmlformats.org/officeDocument/2006/relationships" r:embed="rId2" cstate="print"/>
        <a:stretch>
          <a:fillRect/>
        </a:stretch>
      </xdr:blipFill>
      <xdr:spPr>
        <a:xfrm>
          <a:off x="11847286" y="33130"/>
          <a:ext cx="2016733" cy="57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xdr:colOff>
      <xdr:row>0</xdr:row>
      <xdr:rowOff>65483</xdr:rowOff>
    </xdr:from>
    <xdr:to>
      <xdr:col>2</xdr:col>
      <xdr:colOff>350703</xdr:colOff>
      <xdr:row>0</xdr:row>
      <xdr:rowOff>569483</xdr:rowOff>
    </xdr:to>
    <xdr:pic>
      <xdr:nvPicPr>
        <xdr:cNvPr id="2" name="Imagem 1">
          <a:extLst>
            <a:ext uri="{FF2B5EF4-FFF2-40B4-BE49-F238E27FC236}">
              <a16:creationId xmlns:a16="http://schemas.microsoft.com/office/drawing/2014/main" id="{8B2D7FFD-B54F-45E8-AF81-A1678F88F4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65483"/>
          <a:ext cx="1631816" cy="504000"/>
        </a:xfrm>
        <a:prstGeom prst="rect">
          <a:avLst/>
        </a:prstGeom>
      </xdr:spPr>
    </xdr:pic>
    <xdr:clientData/>
  </xdr:twoCellAnchor>
  <xdr:twoCellAnchor editAs="oneCell">
    <xdr:from>
      <xdr:col>7</xdr:col>
      <xdr:colOff>605118</xdr:colOff>
      <xdr:row>0</xdr:row>
      <xdr:rowOff>23812</xdr:rowOff>
    </xdr:from>
    <xdr:to>
      <xdr:col>10</xdr:col>
      <xdr:colOff>686389</xdr:colOff>
      <xdr:row>0</xdr:row>
      <xdr:rowOff>599812</xdr:rowOff>
    </xdr:to>
    <xdr:pic>
      <xdr:nvPicPr>
        <xdr:cNvPr id="3" name="Imagem 2">
          <a:extLst>
            <a:ext uri="{FF2B5EF4-FFF2-40B4-BE49-F238E27FC236}">
              <a16:creationId xmlns:a16="http://schemas.microsoft.com/office/drawing/2014/main" id="{D7A1B543-6042-4101-AF89-073E8FEB00AE}"/>
            </a:ext>
          </a:extLst>
        </xdr:cNvPr>
        <xdr:cNvPicPr>
          <a:picLocks noChangeAspect="1"/>
        </xdr:cNvPicPr>
      </xdr:nvPicPr>
      <xdr:blipFill>
        <a:blip xmlns:r="http://schemas.openxmlformats.org/officeDocument/2006/relationships" r:embed="rId2" cstate="print"/>
        <a:stretch>
          <a:fillRect/>
        </a:stretch>
      </xdr:blipFill>
      <xdr:spPr>
        <a:xfrm>
          <a:off x="8329706" y="23812"/>
          <a:ext cx="2001212" cy="57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23812</xdr:colOff>
      <xdr:row>0</xdr:row>
      <xdr:rowOff>65483</xdr:rowOff>
    </xdr:from>
    <xdr:to>
      <xdr:col>1</xdr:col>
      <xdr:colOff>1122985</xdr:colOff>
      <xdr:row>0</xdr:row>
      <xdr:rowOff>569483</xdr:rowOff>
    </xdr:to>
    <xdr:pic>
      <xdr:nvPicPr>
        <xdr:cNvPr id="2" name="Imagem 1">
          <a:extLst>
            <a:ext uri="{FF2B5EF4-FFF2-40B4-BE49-F238E27FC236}">
              <a16:creationId xmlns:a16="http://schemas.microsoft.com/office/drawing/2014/main" id="{BCFA94DD-8E27-4F26-95D9-A821FF5244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65483"/>
          <a:ext cx="1630625" cy="504000"/>
        </a:xfrm>
        <a:prstGeom prst="rect">
          <a:avLst/>
        </a:prstGeom>
      </xdr:spPr>
    </xdr:pic>
    <xdr:clientData/>
  </xdr:twoCellAnchor>
  <xdr:twoCellAnchor editAs="oneCell">
    <xdr:from>
      <xdr:col>17</xdr:col>
      <xdr:colOff>658090</xdr:colOff>
      <xdr:row>0</xdr:row>
      <xdr:rowOff>34635</xdr:rowOff>
    </xdr:from>
    <xdr:to>
      <xdr:col>19</xdr:col>
      <xdr:colOff>916631</xdr:colOff>
      <xdr:row>0</xdr:row>
      <xdr:rowOff>610635</xdr:rowOff>
    </xdr:to>
    <xdr:pic>
      <xdr:nvPicPr>
        <xdr:cNvPr id="3" name="Imagem 2">
          <a:extLst>
            <a:ext uri="{FF2B5EF4-FFF2-40B4-BE49-F238E27FC236}">
              <a16:creationId xmlns:a16="http://schemas.microsoft.com/office/drawing/2014/main" id="{20B11627-3C1A-4384-98C3-594AF7E47F2F}"/>
            </a:ext>
          </a:extLst>
        </xdr:cNvPr>
        <xdr:cNvPicPr>
          <a:picLocks noChangeAspect="1"/>
        </xdr:cNvPicPr>
      </xdr:nvPicPr>
      <xdr:blipFill>
        <a:blip xmlns:r="http://schemas.openxmlformats.org/officeDocument/2006/relationships" r:embed="rId2" cstate="print"/>
        <a:stretch>
          <a:fillRect/>
        </a:stretch>
      </xdr:blipFill>
      <xdr:spPr>
        <a:xfrm>
          <a:off x="17271999" y="34635"/>
          <a:ext cx="2059632" cy="576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FPB_PLS_EV_Geral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LANILHA ORCAMENTARIA"/>
      <sheetName val="COMP_GERAL"/>
      <sheetName val="COMP_AUX"/>
      <sheetName val="ABC_SERV"/>
      <sheetName val="ABC_INSU"/>
      <sheetName val="COT_INSU"/>
      <sheetName val="QUANT"/>
      <sheetName val="CRONOGRAMA"/>
      <sheetName val="BDI"/>
      <sheetName val="ENCARGOS SOCIAIS"/>
    </sheetNames>
    <sheetDataSet>
      <sheetData sheetId="0">
        <row r="6">
          <cell r="C6" t="str">
            <v>SINAPI</v>
          </cell>
        </row>
        <row r="7">
          <cell r="C7" t="str">
            <v>SICRO</v>
          </cell>
        </row>
        <row r="8">
          <cell r="C8" t="str">
            <v>-</v>
          </cell>
        </row>
      </sheetData>
      <sheetData sheetId="1" refreshError="1"/>
      <sheetData sheetId="2"/>
      <sheetData sheetId="3" refreshError="1"/>
      <sheetData sheetId="4"/>
      <sheetData sheetId="5"/>
      <sheetData sheetId="6"/>
      <sheetData sheetId="7" refreshError="1"/>
      <sheetData sheetId="8"/>
      <sheetData sheetId="9" refreshError="1"/>
      <sheetData sheetId="1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outlinePr summaryBelow="0"/>
    <pageSetUpPr fitToPage="1"/>
  </sheetPr>
  <dimension ref="A1:F28"/>
  <sheetViews>
    <sheetView view="pageBreakPreview" topLeftCell="A3" zoomScaleNormal="130" zoomScaleSheetLayoutView="100" workbookViewId="0">
      <selection activeCell="D8" sqref="D8"/>
    </sheetView>
  </sheetViews>
  <sheetFormatPr defaultRowHeight="14"/>
  <cols>
    <col min="1" max="1" width="9.25" style="75" customWidth="1"/>
    <col min="2" max="2" width="59.58203125" style="75" customWidth="1"/>
    <col min="3" max="3" width="12.33203125" style="75" customWidth="1"/>
    <col min="4" max="4" width="8.25" style="75" customWidth="1"/>
    <col min="5" max="5" width="11.25" style="75" bestFit="1" customWidth="1"/>
    <col min="6" max="16384" width="8.6640625" style="75"/>
  </cols>
  <sheetData>
    <row r="1" spans="1:6" ht="50.15" customHeight="1"/>
    <row r="2" spans="1:6" ht="25" customHeight="1">
      <c r="A2" s="14" t="s">
        <v>456</v>
      </c>
      <c r="B2" s="14"/>
      <c r="C2" s="14"/>
      <c r="D2" s="14"/>
      <c r="E2" s="15"/>
      <c r="F2" s="15"/>
    </row>
    <row r="3" spans="1:6" ht="5.15" customHeight="1">
      <c r="A3" s="17"/>
      <c r="B3" s="17"/>
      <c r="C3" s="17"/>
      <c r="D3" s="17"/>
      <c r="E3" s="12"/>
      <c r="F3" s="12"/>
    </row>
    <row r="4" spans="1:6">
      <c r="A4" s="18" t="s">
        <v>321</v>
      </c>
      <c r="B4" s="144" t="s">
        <v>760</v>
      </c>
      <c r="C4" s="144"/>
      <c r="D4" s="144"/>
      <c r="E4" s="144"/>
      <c r="F4" s="145"/>
    </row>
    <row r="5" spans="1:6">
      <c r="A5" s="26" t="s">
        <v>325</v>
      </c>
      <c r="B5" s="146" t="s">
        <v>768</v>
      </c>
      <c r="C5" s="21" t="s">
        <v>334</v>
      </c>
      <c r="D5" s="24"/>
      <c r="E5" s="21" t="s">
        <v>329</v>
      </c>
      <c r="F5" s="147">
        <v>45762</v>
      </c>
    </row>
    <row r="6" spans="1:6">
      <c r="A6" s="26" t="s">
        <v>322</v>
      </c>
      <c r="B6" s="146" t="s">
        <v>326</v>
      </c>
      <c r="C6" s="148" t="s">
        <v>24</v>
      </c>
      <c r="D6" s="149" t="s">
        <v>762</v>
      </c>
      <c r="E6" s="26" t="s">
        <v>443</v>
      </c>
      <c r="F6" s="150">
        <f>BDI!D34</f>
        <v>0.23530000000000001</v>
      </c>
    </row>
    <row r="7" spans="1:6">
      <c r="A7" s="26" t="s">
        <v>323</v>
      </c>
      <c r="B7" s="146" t="s">
        <v>327</v>
      </c>
      <c r="C7" s="148" t="s">
        <v>335</v>
      </c>
      <c r="D7" s="149" t="s">
        <v>763</v>
      </c>
      <c r="E7" s="26" t="s">
        <v>330</v>
      </c>
      <c r="F7" s="150">
        <f>BDI!D58</f>
        <v>0.1527</v>
      </c>
    </row>
    <row r="8" spans="1:6">
      <c r="A8" s="26" t="s">
        <v>328</v>
      </c>
      <c r="B8" s="146" t="s">
        <v>758</v>
      </c>
      <c r="C8" s="151" t="s">
        <v>855</v>
      </c>
      <c r="D8" s="149" t="s">
        <v>762</v>
      </c>
      <c r="E8" s="26" t="s">
        <v>331</v>
      </c>
      <c r="F8" s="150">
        <f>'ENCARGOS SOCIAIS'!C53/100</f>
        <v>1.1359999999999999</v>
      </c>
    </row>
    <row r="9" spans="1:6">
      <c r="A9" s="31" t="s">
        <v>324</v>
      </c>
      <c r="B9" s="152" t="s">
        <v>759</v>
      </c>
      <c r="C9" s="31" t="s">
        <v>325</v>
      </c>
      <c r="D9" s="153" t="s">
        <v>761</v>
      </c>
      <c r="E9" s="31" t="s">
        <v>332</v>
      </c>
      <c r="F9" s="154">
        <f>'ENCARGOS SOCIAIS'!E53/100</f>
        <v>0.6984999999999999</v>
      </c>
    </row>
    <row r="10" spans="1:6" ht="5.15" customHeight="1">
      <c r="A10" s="155"/>
      <c r="B10" s="155"/>
      <c r="C10" s="155"/>
      <c r="D10" s="155"/>
      <c r="E10" s="86"/>
      <c r="F10" s="86"/>
    </row>
    <row r="11" spans="1:6" ht="20.149999999999999" customHeight="1">
      <c r="A11" s="492" t="s">
        <v>8</v>
      </c>
      <c r="B11" s="493" t="str">
        <f>'PLANILHA ORCAMENTARIA'!C12</f>
        <v>ADMINISTRAÇÃO DA OBRA</v>
      </c>
      <c r="C11" s="494"/>
      <c r="D11" s="573">
        <f>'PLANILHA ORCAMENTARIA'!J12</f>
        <v>192090.39</v>
      </c>
      <c r="E11" s="573"/>
      <c r="F11" s="495">
        <f t="shared" ref="F11:F17" si="0">D11/$E$19</f>
        <v>0.12463484737060325</v>
      </c>
    </row>
    <row r="12" spans="1:6" ht="20.149999999999999" customHeight="1">
      <c r="A12" s="492">
        <v>2</v>
      </c>
      <c r="B12" s="493" t="str">
        <f>'PLANILHA ORCAMENTARIA'!C14</f>
        <v>SERVIÇOS INICIAIS</v>
      </c>
      <c r="C12" s="494"/>
      <c r="D12" s="573">
        <f>'PLANILHA ORCAMENTARIA'!J14</f>
        <v>30614.61</v>
      </c>
      <c r="E12" s="573"/>
      <c r="F12" s="495">
        <f t="shared" si="0"/>
        <v>1.9863811222729798E-2</v>
      </c>
    </row>
    <row r="13" spans="1:6" ht="20.149999999999999" customHeight="1">
      <c r="A13" s="492">
        <v>3</v>
      </c>
      <c r="B13" s="493" t="str">
        <f>'PLANILHA ORCAMENTARIA'!C23</f>
        <v>DEMOLIÇÕES E RETIRADAS</v>
      </c>
      <c r="C13" s="494"/>
      <c r="D13" s="573">
        <f>'PLANILHA ORCAMENTARIA'!J23</f>
        <v>40037.65</v>
      </c>
      <c r="E13" s="573"/>
      <c r="F13" s="495">
        <f t="shared" si="0"/>
        <v>2.5977803454028246E-2</v>
      </c>
    </row>
    <row r="14" spans="1:6" ht="20.149999999999999" customHeight="1">
      <c r="A14" s="492">
        <v>4</v>
      </c>
      <c r="B14" s="493" t="str">
        <f>'PLANILHA ORCAMENTARIA'!C34</f>
        <v>OBRAS CIVIS</v>
      </c>
      <c r="C14" s="494"/>
      <c r="D14" s="573">
        <f>'PLANILHA ORCAMENTARIA'!J34</f>
        <v>65898.34</v>
      </c>
      <c r="E14" s="573"/>
      <c r="F14" s="495">
        <f t="shared" si="0"/>
        <v>4.2757107983778457E-2</v>
      </c>
    </row>
    <row r="15" spans="1:6" ht="20.149999999999999" customHeight="1">
      <c r="A15" s="492">
        <v>5</v>
      </c>
      <c r="B15" s="493" t="str">
        <f>'PLANILHA ORCAMENTARIA'!C49</f>
        <v>FORNECIMENTO DE EQUIPAMENTOS</v>
      </c>
      <c r="C15" s="494"/>
      <c r="D15" s="573">
        <f>'PLANILHA ORCAMENTARIA'!J49</f>
        <v>967570.05</v>
      </c>
      <c r="E15" s="573"/>
      <c r="F15" s="495">
        <f t="shared" si="0"/>
        <v>0.62779270478922422</v>
      </c>
    </row>
    <row r="16" spans="1:6" ht="20.149999999999999" customHeight="1">
      <c r="A16" s="492">
        <v>6</v>
      </c>
      <c r="B16" s="493" t="str">
        <f>'PLANILHA ORCAMENTARIA'!C52</f>
        <v>SERVIÇOS DE INSTALAÇÃO DE EQUIPAMENTOS</v>
      </c>
      <c r="C16" s="494"/>
      <c r="D16" s="573">
        <f>'PLANILHA ORCAMENTARIA'!J52</f>
        <v>235722.23999999999</v>
      </c>
      <c r="E16" s="573"/>
      <c r="F16" s="495">
        <f t="shared" si="0"/>
        <v>0.1529446913208761</v>
      </c>
    </row>
    <row r="17" spans="1:6" ht="20.149999999999999" customHeight="1">
      <c r="A17" s="492">
        <v>7</v>
      </c>
      <c r="B17" s="493" t="str">
        <f>'PLANILHA ORCAMENTARIA'!C55</f>
        <v>OUTROS SERVIÇOS</v>
      </c>
      <c r="C17" s="494"/>
      <c r="D17" s="573">
        <f>'PLANILHA ORCAMENTARIA'!J55</f>
        <v>9292.1</v>
      </c>
      <c r="E17" s="573"/>
      <c r="F17" s="495">
        <f t="shared" si="0"/>
        <v>6.0290338587598389E-3</v>
      </c>
    </row>
    <row r="18" spans="1:6" ht="5.15" customHeight="1">
      <c r="A18" s="156"/>
      <c r="B18" s="156"/>
      <c r="C18" s="86"/>
      <c r="D18" s="157"/>
      <c r="E18" s="157"/>
      <c r="F18" s="158"/>
    </row>
    <row r="19" spans="1:6" ht="20.149999999999999" customHeight="1">
      <c r="A19" s="571" t="s">
        <v>69</v>
      </c>
      <c r="B19" s="572"/>
      <c r="C19" s="572"/>
      <c r="D19" s="572"/>
      <c r="E19" s="491">
        <f>SUM(D11:E17)</f>
        <v>1541225.3800000001</v>
      </c>
      <c r="F19" s="159">
        <f>SUM(F11:F18)</f>
        <v>0.99999999999999989</v>
      </c>
    </row>
    <row r="20" spans="1:6" ht="15" customHeight="1">
      <c r="A20" s="160"/>
      <c r="B20" s="160"/>
      <c r="C20" s="158"/>
      <c r="D20" s="158"/>
      <c r="E20" s="161"/>
      <c r="F20" s="86"/>
    </row>
    <row r="21" spans="1:6" ht="15" customHeight="1">
      <c r="A21" s="160"/>
      <c r="B21" s="160"/>
      <c r="C21" s="158"/>
      <c r="D21" s="160"/>
      <c r="E21" s="86"/>
      <c r="F21" s="86"/>
    </row>
    <row r="22" spans="1:6" ht="15" customHeight="1">
      <c r="A22" s="160"/>
      <c r="B22" s="160"/>
      <c r="C22" s="158"/>
      <c r="D22" s="160"/>
      <c r="E22" s="86"/>
      <c r="F22" s="86"/>
    </row>
    <row r="23" spans="1:6" ht="15" customHeight="1">
      <c r="A23" s="160"/>
      <c r="B23" s="160"/>
      <c r="C23" s="158"/>
      <c r="D23" s="160"/>
      <c r="E23" s="86"/>
      <c r="F23" s="86"/>
    </row>
    <row r="24" spans="1:6" ht="15" customHeight="1">
      <c r="A24" s="160"/>
      <c r="B24" s="160"/>
      <c r="C24" s="158"/>
      <c r="D24" s="160"/>
      <c r="E24" s="86"/>
      <c r="F24" s="86"/>
    </row>
    <row r="25" spans="1:6">
      <c r="A25" s="86"/>
      <c r="B25" s="86"/>
      <c r="C25" s="86"/>
      <c r="D25" s="86"/>
      <c r="E25" s="86"/>
      <c r="F25" s="86"/>
    </row>
    <row r="26" spans="1:6">
      <c r="A26" s="86"/>
      <c r="B26" s="86"/>
      <c r="C26" s="86"/>
      <c r="D26" s="86"/>
      <c r="E26" s="86"/>
      <c r="F26" s="86"/>
    </row>
    <row r="27" spans="1:6">
      <c r="A27" s="86"/>
      <c r="B27" s="86"/>
      <c r="C27" s="86"/>
      <c r="D27" s="86"/>
      <c r="E27" s="86"/>
      <c r="F27" s="86"/>
    </row>
    <row r="28" spans="1:6">
      <c r="A28" s="86"/>
      <c r="B28" s="86"/>
      <c r="C28" s="86"/>
      <c r="D28" s="86"/>
      <c r="E28" s="86"/>
      <c r="F28" s="86"/>
    </row>
  </sheetData>
  <mergeCells count="8">
    <mergeCell ref="A19:D19"/>
    <mergeCell ref="D14:E14"/>
    <mergeCell ref="D13:E13"/>
    <mergeCell ref="D12:E12"/>
    <mergeCell ref="D11:E11"/>
    <mergeCell ref="D16:E16"/>
    <mergeCell ref="D15:E15"/>
    <mergeCell ref="D17:E17"/>
  </mergeCells>
  <printOptions horizontalCentered="1"/>
  <pageMargins left="0.51181102362204722" right="0.51181102362204722" top="0.51181102362204722" bottom="0.70866141732283472" header="0" footer="0.19685039370078741"/>
  <pageSetup paperSize="77" fitToHeight="0" orientation="landscape" r:id="rId1"/>
  <headerFooter>
    <oddFooter>&amp;L&amp;9&amp;A&amp;R&amp;9Página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CDAC6-DF65-4367-B57E-031EDB39D721}">
  <sheetPr>
    <tabColor theme="9" tint="0.79998168889431442"/>
    <outlinePr summaryBelow="0"/>
  </sheetPr>
  <dimension ref="A1:I191"/>
  <sheetViews>
    <sheetView tabSelected="1" view="pageBreakPreview" zoomScale="74" zoomScaleNormal="55" zoomScaleSheetLayoutView="10" zoomScalePageLayoutView="59" workbookViewId="0">
      <selection activeCell="E12" sqref="E12"/>
    </sheetView>
  </sheetViews>
  <sheetFormatPr defaultRowHeight="14"/>
  <cols>
    <col min="1" max="1" width="16.9140625" style="404" customWidth="1"/>
    <col min="2" max="2" width="67.83203125" style="404" bestFit="1" customWidth="1"/>
    <col min="3" max="3" width="14.33203125" style="404" bestFit="1" customWidth="1"/>
    <col min="4" max="4" width="15.5" style="404" bestFit="1" customWidth="1"/>
    <col min="5" max="5" width="14.33203125" style="404" bestFit="1" customWidth="1"/>
    <col min="6" max="6" width="15.6640625" style="404" bestFit="1" customWidth="1"/>
    <col min="7" max="7" width="11.75" style="404" customWidth="1"/>
    <col min="8" max="8" width="10.08203125" style="404" bestFit="1" customWidth="1"/>
    <col min="9" max="9" width="14.33203125" style="404" customWidth="1"/>
    <col min="10" max="16384" width="8.6640625" style="404"/>
  </cols>
  <sheetData>
    <row r="1" spans="1:7" ht="50.15" customHeight="1"/>
    <row r="2" spans="1:7" ht="25" customHeight="1">
      <c r="A2" s="600" t="s">
        <v>832</v>
      </c>
      <c r="B2" s="600"/>
      <c r="C2" s="600"/>
      <c r="D2" s="600"/>
      <c r="E2" s="600"/>
      <c r="F2" s="600"/>
      <c r="G2" s="600"/>
    </row>
    <row r="3" spans="1:7" ht="5.15" customHeight="1">
      <c r="A3" s="17"/>
      <c r="B3" s="17"/>
      <c r="C3" s="17"/>
      <c r="D3" s="17"/>
      <c r="E3" s="17"/>
      <c r="F3" s="320"/>
      <c r="G3" s="320"/>
    </row>
    <row r="4" spans="1:7">
      <c r="A4" s="516" t="s">
        <v>321</v>
      </c>
      <c r="B4" s="19" t="str">
        <f>RESUMO!B4</f>
        <v>SUBSTITUIÇÃO DE ELEVADORES NA SEDE DA JUSTIÇA FEDERAL NA PARAÍBA - R2</v>
      </c>
      <c r="C4" s="19"/>
      <c r="D4" s="19"/>
      <c r="E4" s="19"/>
      <c r="F4" s="406"/>
      <c r="G4" s="407"/>
    </row>
    <row r="5" spans="1:7">
      <c r="A5" s="517" t="s">
        <v>325</v>
      </c>
      <c r="B5" s="22" t="str">
        <f>RESUMO!B5</f>
        <v>R2 - 15/04/2025</v>
      </c>
      <c r="C5" s="22"/>
      <c r="D5" s="21" t="s">
        <v>334</v>
      </c>
      <c r="E5" s="327"/>
      <c r="F5" s="21" t="s">
        <v>329</v>
      </c>
      <c r="G5" s="25">
        <f>RESUMO!$F$5</f>
        <v>45762</v>
      </c>
    </row>
    <row r="6" spans="1:7">
      <c r="A6" s="518" t="s">
        <v>322</v>
      </c>
      <c r="B6" s="27" t="str">
        <f>RESUMO!B6</f>
        <v>RUA JOÃO TEIXEIRA DE CARVALHO, 480, PEDRO GONDIM, JOÃO PESSOA/PB</v>
      </c>
      <c r="C6" s="27"/>
      <c r="D6" s="29" t="str">
        <f>RESUMO!$C$6</f>
        <v>SINAPI</v>
      </c>
      <c r="E6" s="413" t="str">
        <f>RESUMO!$D$6</f>
        <v>2025/02</v>
      </c>
      <c r="F6" s="26" t="s">
        <v>443</v>
      </c>
      <c r="G6" s="30">
        <f>RESUMO!$F$6</f>
        <v>0.23530000000000001</v>
      </c>
    </row>
    <row r="7" spans="1:7">
      <c r="A7" s="518" t="s">
        <v>323</v>
      </c>
      <c r="B7" s="27" t="str">
        <f>RESUMO!B7</f>
        <v>JUSTIÇA FEDERAL NA PARAÍBA</v>
      </c>
      <c r="C7" s="27"/>
      <c r="D7" s="29" t="str">
        <f>RESUMO!$C$7</f>
        <v>SICRO</v>
      </c>
      <c r="E7" s="413" t="str">
        <f>RESUMO!$D$7</f>
        <v>2025/01</v>
      </c>
      <c r="F7" s="26" t="s">
        <v>330</v>
      </c>
      <c r="G7" s="30">
        <f>RESUMO!$F$7</f>
        <v>0.1527</v>
      </c>
    </row>
    <row r="8" spans="1:7">
      <c r="A8" s="518" t="s">
        <v>328</v>
      </c>
      <c r="B8" s="27" t="str">
        <f>RESUMO!B8</f>
        <v>JOSÉ MENDONÇA FILHO SEGUNDO</v>
      </c>
      <c r="C8" s="27"/>
      <c r="D8" s="29" t="str">
        <f>RESUMO!$C$8</f>
        <v>SBC</v>
      </c>
      <c r="E8" s="413" t="str">
        <f>RESUMO!$D$8</f>
        <v>2025/02</v>
      </c>
      <c r="F8" s="26" t="s">
        <v>331</v>
      </c>
      <c r="G8" s="30">
        <f>RESUMO!$F$8</f>
        <v>1.1359999999999999</v>
      </c>
    </row>
    <row r="9" spans="1:7">
      <c r="A9" s="519" t="s">
        <v>324</v>
      </c>
      <c r="B9" s="32" t="str">
        <f>RESUMO!B9</f>
        <v>ENGENHEIRO MECÂNICO - CREA 060136183-0</v>
      </c>
      <c r="C9" s="32"/>
      <c r="D9" s="31" t="s">
        <v>325</v>
      </c>
      <c r="E9" s="415" t="str">
        <f>RESUMO!$D$9</f>
        <v>R2</v>
      </c>
      <c r="F9" s="31" t="s">
        <v>332</v>
      </c>
      <c r="G9" s="34">
        <f>RESUMO!$F$9</f>
        <v>0.6984999999999999</v>
      </c>
    </row>
    <row r="10" spans="1:7" ht="5.15" customHeight="1" thickBot="1"/>
    <row r="11" spans="1:7" s="86" customFormat="1" ht="26.5" thickBot="1">
      <c r="A11" s="520" t="s">
        <v>782</v>
      </c>
      <c r="B11" s="521" t="s">
        <v>3</v>
      </c>
      <c r="C11" s="522" t="s">
        <v>791</v>
      </c>
      <c r="D11" s="522" t="s">
        <v>792</v>
      </c>
      <c r="E11" s="522" t="s">
        <v>793</v>
      </c>
      <c r="F11" s="522" t="s">
        <v>794</v>
      </c>
      <c r="G11" s="523" t="s">
        <v>124</v>
      </c>
    </row>
    <row r="12" spans="1:7" ht="18" customHeight="1">
      <c r="A12" s="610" t="s">
        <v>783</v>
      </c>
      <c r="B12" s="564" t="s">
        <v>811</v>
      </c>
      <c r="C12" s="538" t="s">
        <v>13</v>
      </c>
      <c r="D12" s="524">
        <v>0.01</v>
      </c>
      <c r="E12" s="653">
        <f>TRUNC(D12*CRONOGRAMA!C14,2)</f>
        <v>306.14</v>
      </c>
      <c r="F12" s="604">
        <f>TRUNC(SUM(E12:E14),2)</f>
        <v>106738.84</v>
      </c>
      <c r="G12" s="607">
        <f>F12/SUM($F$12:$F$78)</f>
        <v>6.9255834852898185E-2</v>
      </c>
    </row>
    <row r="13" spans="1:7" s="320" customFormat="1" ht="30" customHeight="1">
      <c r="A13" s="611"/>
      <c r="B13" s="560" t="s">
        <v>795</v>
      </c>
      <c r="C13" s="526" t="s">
        <v>52</v>
      </c>
      <c r="D13" s="527">
        <v>0.11</v>
      </c>
      <c r="E13" s="528">
        <f>TRUNC(D13*CRONOGRAMA!C70,2)</f>
        <v>76023.360000000001</v>
      </c>
      <c r="F13" s="605"/>
      <c r="G13" s="608"/>
    </row>
    <row r="14" spans="1:7" s="320" customFormat="1" ht="30" customHeight="1" thickBot="1">
      <c r="A14" s="612"/>
      <c r="B14" s="561" t="s">
        <v>796</v>
      </c>
      <c r="C14" s="529" t="s">
        <v>53</v>
      </c>
      <c r="D14" s="530">
        <v>0.11</v>
      </c>
      <c r="E14" s="531">
        <f>TRUNC(D14*CRONOGRAMA!C72,2)</f>
        <v>30409.34</v>
      </c>
      <c r="F14" s="606"/>
      <c r="G14" s="609"/>
    </row>
    <row r="15" spans="1:7" s="320" customFormat="1" ht="30" customHeight="1">
      <c r="A15" s="615" t="s">
        <v>784</v>
      </c>
      <c r="B15" s="562" t="s">
        <v>797</v>
      </c>
      <c r="C15" s="532" t="s">
        <v>52</v>
      </c>
      <c r="D15" s="533">
        <v>0.11</v>
      </c>
      <c r="E15" s="534">
        <f>TRUNC(D15*CRONOGRAMA!C70,2)</f>
        <v>76023.360000000001</v>
      </c>
      <c r="F15" s="594">
        <f>TRUNC(SUM(E15:E16),2)</f>
        <v>106432.7</v>
      </c>
      <c r="G15" s="597">
        <f>F15/SUM($F$12:$F$78)</f>
        <v>6.905720067922845E-2</v>
      </c>
    </row>
    <row r="16" spans="1:7" s="320" customFormat="1" ht="30" customHeight="1" thickBot="1">
      <c r="A16" s="616"/>
      <c r="B16" s="563" t="s">
        <v>798</v>
      </c>
      <c r="C16" s="535" t="s">
        <v>53</v>
      </c>
      <c r="D16" s="536">
        <v>0.11</v>
      </c>
      <c r="E16" s="537">
        <f>TRUNC(D16*CRONOGRAMA!C72,2)</f>
        <v>30409.34</v>
      </c>
      <c r="F16" s="596"/>
      <c r="G16" s="599"/>
    </row>
    <row r="17" spans="1:7" s="320" customFormat="1" ht="30" customHeight="1">
      <c r="A17" s="610" t="s">
        <v>785</v>
      </c>
      <c r="B17" s="560" t="s">
        <v>799</v>
      </c>
      <c r="C17" s="538" t="s">
        <v>52</v>
      </c>
      <c r="D17" s="524">
        <v>0.11</v>
      </c>
      <c r="E17" s="528">
        <f>TRUNC(D17*CRONOGRAMA!C70,2)</f>
        <v>76023.360000000001</v>
      </c>
      <c r="F17" s="604">
        <f>TRUNC(SUM(E17:E18),2)</f>
        <v>106432.7</v>
      </c>
      <c r="G17" s="607">
        <f>F17/SUM($F$12:$F$78)</f>
        <v>6.905720067922845E-2</v>
      </c>
    </row>
    <row r="18" spans="1:7" s="320" customFormat="1" ht="30" customHeight="1" thickBot="1">
      <c r="A18" s="612"/>
      <c r="B18" s="561" t="s">
        <v>800</v>
      </c>
      <c r="C18" s="529" t="s">
        <v>53</v>
      </c>
      <c r="D18" s="530">
        <v>0.11</v>
      </c>
      <c r="E18" s="531">
        <f>TRUNC(D18*CRONOGRAMA!C72,2)</f>
        <v>30409.34</v>
      </c>
      <c r="F18" s="606"/>
      <c r="G18" s="609"/>
    </row>
    <row r="19" spans="1:7" s="320" customFormat="1" ht="30" customHeight="1">
      <c r="A19" s="615" t="s">
        <v>786</v>
      </c>
      <c r="B19" s="562" t="s">
        <v>801</v>
      </c>
      <c r="C19" s="532" t="s">
        <v>52</v>
      </c>
      <c r="D19" s="533">
        <v>0.11</v>
      </c>
      <c r="E19" s="534">
        <f>TRUNC(D19*CRONOGRAMA!C70,2)</f>
        <v>76023.360000000001</v>
      </c>
      <c r="F19" s="594">
        <f>TRUNC(SUM(E19:E20),2)</f>
        <v>106432.7</v>
      </c>
      <c r="G19" s="597">
        <f>F19/SUM($F$12:$F$78)</f>
        <v>6.905720067922845E-2</v>
      </c>
    </row>
    <row r="20" spans="1:7" s="320" customFormat="1" ht="30" customHeight="1" thickBot="1">
      <c r="A20" s="616"/>
      <c r="B20" s="563" t="s">
        <v>802</v>
      </c>
      <c r="C20" s="535" t="s">
        <v>53</v>
      </c>
      <c r="D20" s="536">
        <v>0.11</v>
      </c>
      <c r="E20" s="537">
        <f>TRUNC(D20*CRONOGRAMA!C72,2)</f>
        <v>30409.34</v>
      </c>
      <c r="F20" s="596"/>
      <c r="G20" s="599"/>
    </row>
    <row r="21" spans="1:7" s="320" customFormat="1" ht="30" customHeight="1">
      <c r="A21" s="610" t="s">
        <v>787</v>
      </c>
      <c r="B21" s="560" t="s">
        <v>803</v>
      </c>
      <c r="C21" s="538" t="s">
        <v>52</v>
      </c>
      <c r="D21" s="524">
        <v>0.11</v>
      </c>
      <c r="E21" s="528">
        <f>TRUNC(D21*CRONOGRAMA!C70,2)</f>
        <v>76023.360000000001</v>
      </c>
      <c r="F21" s="604">
        <f>TRUNC(SUM(E21:E22),2)</f>
        <v>106432.7</v>
      </c>
      <c r="G21" s="607">
        <f>F21/SUM($F$12:$F$78)</f>
        <v>6.905720067922845E-2</v>
      </c>
    </row>
    <row r="22" spans="1:7" s="320" customFormat="1" ht="30" customHeight="1" thickBot="1">
      <c r="A22" s="612"/>
      <c r="B22" s="561" t="s">
        <v>804</v>
      </c>
      <c r="C22" s="529" t="s">
        <v>53</v>
      </c>
      <c r="D22" s="530">
        <v>0.11</v>
      </c>
      <c r="E22" s="531">
        <f>TRUNC(D22*CRONOGRAMA!C72,2)</f>
        <v>30409.34</v>
      </c>
      <c r="F22" s="606"/>
      <c r="G22" s="609"/>
    </row>
    <row r="23" spans="1:7" s="320" customFormat="1" ht="30" customHeight="1">
      <c r="A23" s="615" t="s">
        <v>788</v>
      </c>
      <c r="B23" s="562" t="s">
        <v>805</v>
      </c>
      <c r="C23" s="532" t="s">
        <v>52</v>
      </c>
      <c r="D23" s="533">
        <v>0.11</v>
      </c>
      <c r="E23" s="534">
        <f>TRUNC(D23*CRONOGRAMA!C70,2)</f>
        <v>76023.360000000001</v>
      </c>
      <c r="F23" s="594">
        <f>TRUNC(SUM(E23:E24),2)</f>
        <v>106432.7</v>
      </c>
      <c r="G23" s="597">
        <f>F23/SUM($F$12:$F$78)</f>
        <v>6.905720067922845E-2</v>
      </c>
    </row>
    <row r="24" spans="1:7" s="320" customFormat="1" ht="30" customHeight="1" thickBot="1">
      <c r="A24" s="616"/>
      <c r="B24" s="563" t="s">
        <v>806</v>
      </c>
      <c r="C24" s="535" t="s">
        <v>53</v>
      </c>
      <c r="D24" s="536">
        <v>0.11</v>
      </c>
      <c r="E24" s="537">
        <f>TRUNC(D24*CRONOGRAMA!C72,2)</f>
        <v>30409.34</v>
      </c>
      <c r="F24" s="596"/>
      <c r="G24" s="599"/>
    </row>
    <row r="25" spans="1:7" s="320" customFormat="1" ht="30" customHeight="1">
      <c r="A25" s="610" t="s">
        <v>789</v>
      </c>
      <c r="B25" s="560" t="s">
        <v>807</v>
      </c>
      <c r="C25" s="538" t="s">
        <v>52</v>
      </c>
      <c r="D25" s="524">
        <v>0.11</v>
      </c>
      <c r="E25" s="528">
        <f>TRUNC(D25*CRONOGRAMA!C70,2)</f>
        <v>76023.360000000001</v>
      </c>
      <c r="F25" s="604">
        <f>TRUNC(SUM(E25:E26),2)</f>
        <v>106432.7</v>
      </c>
      <c r="G25" s="607">
        <f>F25/SUM($F$12:$F$78)</f>
        <v>6.905720067922845E-2</v>
      </c>
    </row>
    <row r="26" spans="1:7" s="320" customFormat="1" ht="30" customHeight="1" thickBot="1">
      <c r="A26" s="612"/>
      <c r="B26" s="561" t="s">
        <v>808</v>
      </c>
      <c r="C26" s="529" t="s">
        <v>53</v>
      </c>
      <c r="D26" s="530">
        <v>0.11</v>
      </c>
      <c r="E26" s="531">
        <f>TRUNC(D26*CRONOGRAMA!C72,2)</f>
        <v>30409.34</v>
      </c>
      <c r="F26" s="606"/>
      <c r="G26" s="609"/>
    </row>
    <row r="27" spans="1:7">
      <c r="A27" s="591" t="s">
        <v>790</v>
      </c>
      <c r="B27" s="565" t="s">
        <v>809</v>
      </c>
      <c r="C27" s="532" t="s">
        <v>8</v>
      </c>
      <c r="D27" s="533">
        <v>0.22714542172053609</v>
      </c>
      <c r="E27" s="543">
        <f>TRUNC(D27*CRONOGRAMA!C12,2)</f>
        <v>43632.45</v>
      </c>
      <c r="F27" s="594">
        <f>TRUNC(SUM(E27:E30),2)</f>
        <v>180373.61</v>
      </c>
      <c r="G27" s="597">
        <f>F27/SUM($F$12:$F$78)</f>
        <v>0.11703260917938646</v>
      </c>
    </row>
    <row r="28" spans="1:7">
      <c r="A28" s="592"/>
      <c r="B28" s="562" t="s">
        <v>810</v>
      </c>
      <c r="C28" s="544" t="s">
        <v>13</v>
      </c>
      <c r="D28" s="545">
        <v>0.99</v>
      </c>
      <c r="E28" s="534">
        <f>TRUNC(D28*CRONOGRAMA!C14,2)</f>
        <v>30308.46</v>
      </c>
      <c r="F28" s="595"/>
      <c r="G28" s="598"/>
    </row>
    <row r="29" spans="1:7" s="320" customFormat="1" ht="30" customHeight="1">
      <c r="A29" s="592"/>
      <c r="B29" s="562" t="s">
        <v>813</v>
      </c>
      <c r="C29" s="544" t="s">
        <v>52</v>
      </c>
      <c r="D29" s="545">
        <v>0.11</v>
      </c>
      <c r="E29" s="534">
        <f>TRUNC(D29*CRONOGRAMA!C70,2)</f>
        <v>76023.360000000001</v>
      </c>
      <c r="F29" s="595"/>
      <c r="G29" s="598"/>
    </row>
    <row r="30" spans="1:7" s="320" customFormat="1" ht="30" customHeight="1" thickBot="1">
      <c r="A30" s="593"/>
      <c r="B30" s="563" t="s">
        <v>814</v>
      </c>
      <c r="C30" s="535" t="s">
        <v>53</v>
      </c>
      <c r="D30" s="536">
        <v>0.11</v>
      </c>
      <c r="E30" s="537">
        <f>TRUNC(D30*CRONOGRAMA!C72,2)</f>
        <v>30409.34</v>
      </c>
      <c r="F30" s="596"/>
      <c r="G30" s="599"/>
    </row>
    <row r="31" spans="1:7" ht="18" customHeight="1">
      <c r="A31" s="601" t="s">
        <v>812</v>
      </c>
      <c r="B31" s="566" t="s">
        <v>9</v>
      </c>
      <c r="C31" s="538" t="s">
        <v>8</v>
      </c>
      <c r="D31" s="524">
        <v>4.2798160014768147E-2</v>
      </c>
      <c r="E31" s="525">
        <f>TRUNC(D31*CRONOGRAMA!C12,2)</f>
        <v>8221.11</v>
      </c>
      <c r="F31" s="604">
        <f>TRUNC(SUM(E31:E38),2)</f>
        <v>34886.29</v>
      </c>
      <c r="G31" s="607">
        <f>F31/SUM($F$12:$F$78)</f>
        <v>2.2635426231635208E-2</v>
      </c>
    </row>
    <row r="32" spans="1:7" s="320" customFormat="1" ht="30" customHeight="1">
      <c r="A32" s="602"/>
      <c r="B32" s="560" t="s">
        <v>815</v>
      </c>
      <c r="C32" s="526" t="s">
        <v>37</v>
      </c>
      <c r="D32" s="527">
        <v>1</v>
      </c>
      <c r="E32" s="528">
        <f>TRUNC(D32*CRONOGRAMA!C18,2)</f>
        <v>8704.5</v>
      </c>
      <c r="F32" s="605"/>
      <c r="G32" s="608"/>
    </row>
    <row r="33" spans="1:7" s="320" customFormat="1" ht="30" customHeight="1">
      <c r="A33" s="602"/>
      <c r="B33" s="560" t="s">
        <v>816</v>
      </c>
      <c r="C33" s="526" t="s">
        <v>38</v>
      </c>
      <c r="D33" s="527">
        <v>1</v>
      </c>
      <c r="E33" s="528">
        <f>TRUNC(D33*CRONOGRAMA!C20,2)</f>
        <v>8704.5</v>
      </c>
      <c r="F33" s="605"/>
      <c r="G33" s="608"/>
    </row>
    <row r="34" spans="1:7" s="320" customFormat="1" ht="30" customHeight="1">
      <c r="A34" s="602"/>
      <c r="B34" s="560" t="s">
        <v>817</v>
      </c>
      <c r="C34" s="526" t="s">
        <v>42</v>
      </c>
      <c r="D34" s="527">
        <v>1</v>
      </c>
      <c r="E34" s="528">
        <f>TRUNC(D34*CRONOGRAMA!C26,2)</f>
        <v>421.78</v>
      </c>
      <c r="F34" s="605"/>
      <c r="G34" s="608"/>
    </row>
    <row r="35" spans="1:7" s="320" customFormat="1" ht="30" customHeight="1">
      <c r="A35" s="602"/>
      <c r="B35" s="560" t="s">
        <v>818</v>
      </c>
      <c r="C35" s="526" t="s">
        <v>43</v>
      </c>
      <c r="D35" s="527">
        <v>1</v>
      </c>
      <c r="E35" s="528">
        <f>TRUNC(D35*CRONOGRAMA!C28,2)</f>
        <v>421.78</v>
      </c>
      <c r="F35" s="605"/>
      <c r="G35" s="608"/>
    </row>
    <row r="36" spans="1:7" ht="18" customHeight="1">
      <c r="A36" s="602"/>
      <c r="B36" s="539" t="s">
        <v>854</v>
      </c>
      <c r="C36" s="540" t="s">
        <v>776</v>
      </c>
      <c r="D36" s="541">
        <v>0.5</v>
      </c>
      <c r="E36" s="542">
        <f>TRUNC(D36*CRONOGRAMA!C34,2)</f>
        <v>367.89</v>
      </c>
      <c r="F36" s="605"/>
      <c r="G36" s="608"/>
    </row>
    <row r="37" spans="1:7" ht="18" customHeight="1">
      <c r="A37" s="602"/>
      <c r="B37" s="539" t="s">
        <v>862</v>
      </c>
      <c r="C37" s="540" t="s">
        <v>777</v>
      </c>
      <c r="D37" s="541">
        <v>0.5</v>
      </c>
      <c r="E37" s="542">
        <f>TRUNC(D37*CRONOGRAMA!C36,2)</f>
        <v>532.87</v>
      </c>
      <c r="F37" s="605"/>
      <c r="G37" s="608"/>
    </row>
    <row r="38" spans="1:7" ht="50" customHeight="1" thickBot="1">
      <c r="A38" s="603"/>
      <c r="B38" s="561" t="s">
        <v>819</v>
      </c>
      <c r="C38" s="529" t="s">
        <v>47</v>
      </c>
      <c r="D38" s="530">
        <v>1</v>
      </c>
      <c r="E38" s="531">
        <f>TRUNC(D38*CRONOGRAMA!C40,2)</f>
        <v>7511.86</v>
      </c>
      <c r="F38" s="606"/>
      <c r="G38" s="609"/>
    </row>
    <row r="39" spans="1:7" ht="18" customHeight="1">
      <c r="A39" s="591" t="s">
        <v>820</v>
      </c>
      <c r="B39" s="565" t="s">
        <v>9</v>
      </c>
      <c r="C39" s="532" t="s">
        <v>8</v>
      </c>
      <c r="D39" s="533">
        <v>7.155520087755729E-2</v>
      </c>
      <c r="E39" s="543">
        <f>TRUNC(D39*CRONOGRAMA!C12,2)</f>
        <v>13745.06</v>
      </c>
      <c r="F39" s="594">
        <f>TRUNC(SUM(E39:E42),2)</f>
        <v>56821.17</v>
      </c>
      <c r="G39" s="597">
        <f>F39/SUM($F$12:$F$78)</f>
        <v>3.686753168451571E-2</v>
      </c>
    </row>
    <row r="40" spans="1:7" s="320" customFormat="1" ht="30" customHeight="1">
      <c r="A40" s="592"/>
      <c r="B40" s="562" t="s">
        <v>821</v>
      </c>
      <c r="C40" s="544" t="s">
        <v>494</v>
      </c>
      <c r="D40" s="545">
        <v>1</v>
      </c>
      <c r="E40" s="534">
        <f>TRUNC(D40*CRONOGRAMA!C44,2)</f>
        <v>2175.16</v>
      </c>
      <c r="F40" s="595"/>
      <c r="G40" s="598"/>
    </row>
    <row r="41" spans="1:7" s="320" customFormat="1" ht="30" customHeight="1">
      <c r="A41" s="592"/>
      <c r="B41" s="562" t="s">
        <v>822</v>
      </c>
      <c r="C41" s="544" t="s">
        <v>495</v>
      </c>
      <c r="D41" s="545">
        <v>1</v>
      </c>
      <c r="E41" s="534">
        <f>TRUNC(D41*CRONOGRAMA!C46,2)</f>
        <v>2175.16</v>
      </c>
      <c r="F41" s="595"/>
      <c r="G41" s="598"/>
    </row>
    <row r="42" spans="1:7" s="320" customFormat="1" ht="30" customHeight="1" thickBot="1">
      <c r="A42" s="593"/>
      <c r="B42" s="563" t="s">
        <v>823</v>
      </c>
      <c r="C42" s="535" t="s">
        <v>733</v>
      </c>
      <c r="D42" s="536">
        <v>0.23</v>
      </c>
      <c r="E42" s="537">
        <f>TRUNC(D42*CRONOGRAMA!C76,2)</f>
        <v>38725.79</v>
      </c>
      <c r="F42" s="596"/>
      <c r="G42" s="599"/>
    </row>
    <row r="43" spans="1:7" ht="18" customHeight="1">
      <c r="A43" s="601" t="s">
        <v>824</v>
      </c>
      <c r="B43" s="566" t="s">
        <v>9</v>
      </c>
      <c r="C43" s="538" t="s">
        <v>8</v>
      </c>
      <c r="D43" s="524">
        <v>6.9249529952999378E-2</v>
      </c>
      <c r="E43" s="525">
        <f>TRUNC(D43*CRONOGRAMA!C12,2)</f>
        <v>13302.16</v>
      </c>
      <c r="F43" s="604">
        <f>TRUNC(SUM(E43:E45),2)</f>
        <v>54990.27</v>
      </c>
      <c r="G43" s="607">
        <f>F43/SUM($F$12:$F$78)</f>
        <v>3.5679580719036118E-2</v>
      </c>
    </row>
    <row r="44" spans="1:7" s="320" customFormat="1" ht="29.5" customHeight="1">
      <c r="A44" s="602"/>
      <c r="B44" s="560" t="s">
        <v>839</v>
      </c>
      <c r="C44" s="526" t="s">
        <v>733</v>
      </c>
      <c r="D44" s="527">
        <v>0.22</v>
      </c>
      <c r="E44" s="528">
        <f>TRUNC(D44*CRONOGRAMA!C76,2)</f>
        <v>37042.06</v>
      </c>
      <c r="F44" s="605"/>
      <c r="G44" s="608"/>
    </row>
    <row r="45" spans="1:7" ht="18" customHeight="1" thickBot="1">
      <c r="A45" s="603"/>
      <c r="B45" s="567" t="s">
        <v>867</v>
      </c>
      <c r="C45" s="529" t="s">
        <v>58</v>
      </c>
      <c r="D45" s="530">
        <v>0.5</v>
      </c>
      <c r="E45" s="531">
        <f>TRUNC(D45*SUM(CRONOGRAMA!C82:C115),2)</f>
        <v>4646.05</v>
      </c>
      <c r="F45" s="606"/>
      <c r="G45" s="609"/>
    </row>
    <row r="46" spans="1:7" ht="18" customHeight="1">
      <c r="A46" s="591" t="s">
        <v>825</v>
      </c>
      <c r="B46" s="565" t="s">
        <v>9</v>
      </c>
      <c r="C46" s="532" t="s">
        <v>8</v>
      </c>
      <c r="D46" s="533">
        <v>0.186347815494698</v>
      </c>
      <c r="E46" s="543">
        <f>TRUNC(D46*CRONOGRAMA!C12,2)</f>
        <v>35795.620000000003</v>
      </c>
      <c r="F46" s="594">
        <f>TRUNC(SUM(E46:E52),2)</f>
        <v>147976.69</v>
      </c>
      <c r="G46" s="597">
        <f>F46/SUM($F$12:$F$78)</f>
        <v>9.6012371923083581E-2</v>
      </c>
    </row>
    <row r="47" spans="1:7" s="320" customFormat="1" ht="30" customHeight="1">
      <c r="A47" s="592"/>
      <c r="B47" s="562" t="s">
        <v>826</v>
      </c>
      <c r="C47" s="544" t="s">
        <v>498</v>
      </c>
      <c r="D47" s="545">
        <v>1</v>
      </c>
      <c r="E47" s="534">
        <f>TRUNC(D47*CRONOGRAMA!C52,2)</f>
        <v>9134.5300000000007</v>
      </c>
      <c r="F47" s="595"/>
      <c r="G47" s="598"/>
    </row>
    <row r="48" spans="1:7" s="320" customFormat="1" ht="30" customHeight="1">
      <c r="A48" s="592"/>
      <c r="B48" s="562" t="s">
        <v>827</v>
      </c>
      <c r="C48" s="544" t="s">
        <v>499</v>
      </c>
      <c r="D48" s="545">
        <v>1</v>
      </c>
      <c r="E48" s="534">
        <f>TRUNC(D48*CRONOGRAMA!C54,2)</f>
        <v>9134.5300000000007</v>
      </c>
      <c r="F48" s="595"/>
      <c r="G48" s="598"/>
    </row>
    <row r="49" spans="1:7" s="320" customFormat="1" ht="30" customHeight="1">
      <c r="A49" s="592"/>
      <c r="B49" s="548" t="s">
        <v>828</v>
      </c>
      <c r="C49" s="546" t="s">
        <v>502</v>
      </c>
      <c r="D49" s="547">
        <v>1</v>
      </c>
      <c r="E49" s="534">
        <f>TRUNC(D49*CRONOGRAMA!C60,2)</f>
        <v>790.12</v>
      </c>
      <c r="F49" s="595"/>
      <c r="G49" s="598"/>
    </row>
    <row r="50" spans="1:7" s="320" customFormat="1" ht="30" customHeight="1">
      <c r="A50" s="592"/>
      <c r="B50" s="548" t="s">
        <v>829</v>
      </c>
      <c r="C50" s="546" t="s">
        <v>503</v>
      </c>
      <c r="D50" s="547">
        <v>1</v>
      </c>
      <c r="E50" s="534">
        <f>TRUNC(D50*CRONOGRAMA!C62,2)</f>
        <v>790.12</v>
      </c>
      <c r="F50" s="595"/>
      <c r="G50" s="598"/>
    </row>
    <row r="51" spans="1:7" s="320" customFormat="1" ht="30" customHeight="1">
      <c r="A51" s="592"/>
      <c r="B51" s="548" t="s">
        <v>830</v>
      </c>
      <c r="C51" s="546" t="s">
        <v>52</v>
      </c>
      <c r="D51" s="547">
        <v>0.08</v>
      </c>
      <c r="E51" s="534">
        <f>TRUNC(D51*CRONOGRAMA!C70,2)</f>
        <v>55289.71</v>
      </c>
      <c r="F51" s="595"/>
      <c r="G51" s="598"/>
    </row>
    <row r="52" spans="1:7" s="320" customFormat="1" ht="30" customHeight="1" thickBot="1">
      <c r="A52" s="593"/>
      <c r="B52" s="563" t="s">
        <v>840</v>
      </c>
      <c r="C52" s="535" t="s">
        <v>733</v>
      </c>
      <c r="D52" s="536">
        <v>0.22</v>
      </c>
      <c r="E52" s="537">
        <f>TRUNC(D52*CRONOGRAMA!C76,2)</f>
        <v>37042.06</v>
      </c>
      <c r="F52" s="596"/>
      <c r="G52" s="599"/>
    </row>
    <row r="53" spans="1:7" ht="18" customHeight="1">
      <c r="A53" s="601" t="s">
        <v>831</v>
      </c>
      <c r="B53" s="566" t="s">
        <v>9</v>
      </c>
      <c r="C53" s="538" t="s">
        <v>8</v>
      </c>
      <c r="D53" s="524">
        <v>4.567359998070427E-2</v>
      </c>
      <c r="E53" s="525">
        <f>TRUNC(D53*CRONOGRAMA!C12,2)</f>
        <v>8773.4500000000007</v>
      </c>
      <c r="F53" s="604">
        <f>TRUNC(SUM(E53:E60),2)</f>
        <v>37169.64</v>
      </c>
      <c r="G53" s="607">
        <f>F53/SUM($F$12:$F$78)</f>
        <v>2.4116942336844568E-2</v>
      </c>
    </row>
    <row r="54" spans="1:7" ht="30" customHeight="1">
      <c r="A54" s="602"/>
      <c r="B54" s="560" t="s">
        <v>833</v>
      </c>
      <c r="C54" s="526" t="s">
        <v>39</v>
      </c>
      <c r="D54" s="527">
        <v>1</v>
      </c>
      <c r="E54" s="528">
        <f>TRUNC(D54*CRONOGRAMA!C22,2)</f>
        <v>8704.5</v>
      </c>
      <c r="F54" s="605"/>
      <c r="G54" s="608"/>
    </row>
    <row r="55" spans="1:7" ht="30" customHeight="1">
      <c r="A55" s="602"/>
      <c r="B55" s="560" t="s">
        <v>834</v>
      </c>
      <c r="C55" s="526" t="s">
        <v>41</v>
      </c>
      <c r="D55" s="527">
        <v>1</v>
      </c>
      <c r="E55" s="528">
        <f>TRUNC(D55*CRONOGRAMA!C24,2)</f>
        <v>10340.94</v>
      </c>
      <c r="F55" s="605"/>
      <c r="G55" s="608"/>
    </row>
    <row r="56" spans="1:7" ht="30" customHeight="1">
      <c r="A56" s="602"/>
      <c r="B56" s="539" t="s">
        <v>835</v>
      </c>
      <c r="C56" s="540" t="s">
        <v>44</v>
      </c>
      <c r="D56" s="541">
        <v>1</v>
      </c>
      <c r="E56" s="528">
        <f>TRUNC(D56*CRONOGRAMA!C30,2)</f>
        <v>421.78</v>
      </c>
      <c r="F56" s="605"/>
      <c r="G56" s="608"/>
    </row>
    <row r="57" spans="1:7" ht="18" customHeight="1">
      <c r="A57" s="602"/>
      <c r="B57" s="539" t="s">
        <v>836</v>
      </c>
      <c r="C57" s="540" t="s">
        <v>45</v>
      </c>
      <c r="D57" s="541">
        <v>1</v>
      </c>
      <c r="E57" s="528">
        <f>TRUNC(D57*CRONOGRAMA!C32,2)</f>
        <v>516.35</v>
      </c>
      <c r="F57" s="605"/>
      <c r="G57" s="608"/>
    </row>
    <row r="58" spans="1:7" ht="18" customHeight="1">
      <c r="A58" s="602"/>
      <c r="B58" s="539" t="s">
        <v>854</v>
      </c>
      <c r="C58" s="540" t="s">
        <v>776</v>
      </c>
      <c r="D58" s="541">
        <v>0.5</v>
      </c>
      <c r="E58" s="542">
        <f>TRUNC(D58*CRONOGRAMA!C34,2)</f>
        <v>367.89</v>
      </c>
      <c r="F58" s="605"/>
      <c r="G58" s="608"/>
    </row>
    <row r="59" spans="1:7" ht="18" customHeight="1">
      <c r="A59" s="602"/>
      <c r="B59" s="539" t="s">
        <v>862</v>
      </c>
      <c r="C59" s="540" t="s">
        <v>777</v>
      </c>
      <c r="D59" s="541">
        <v>0.5</v>
      </c>
      <c r="E59" s="542">
        <f>TRUNC(D59*CRONOGRAMA!C36,2)</f>
        <v>532.87</v>
      </c>
      <c r="F59" s="605"/>
      <c r="G59" s="608"/>
    </row>
    <row r="60" spans="1:7" ht="50" customHeight="1" thickBot="1">
      <c r="A60" s="603"/>
      <c r="B60" s="561" t="s">
        <v>837</v>
      </c>
      <c r="C60" s="529" t="s">
        <v>48</v>
      </c>
      <c r="D60" s="530">
        <v>1</v>
      </c>
      <c r="E60" s="531">
        <f>TRUNC(D60*CRONOGRAMA!C42,2)</f>
        <v>7511.86</v>
      </c>
      <c r="F60" s="606"/>
      <c r="G60" s="609"/>
    </row>
    <row r="61" spans="1:7" ht="18" customHeight="1">
      <c r="A61" s="591" t="s">
        <v>838</v>
      </c>
      <c r="B61" s="565" t="s">
        <v>9</v>
      </c>
      <c r="C61" s="532" t="s">
        <v>8</v>
      </c>
      <c r="D61" s="533">
        <v>7.5726192653265093E-2</v>
      </c>
      <c r="E61" s="543">
        <f>TRUNC(D61*CRONOGRAMA!C12,2)</f>
        <v>14546.27</v>
      </c>
      <c r="F61" s="594">
        <f>TRUNC(SUM(E61:E65),2)</f>
        <v>60133.31</v>
      </c>
      <c r="G61" s="597">
        <f>F61/SUM($F$12:$F$78)</f>
        <v>3.9016562167231074E-2</v>
      </c>
    </row>
    <row r="62" spans="1:7" ht="30" customHeight="1">
      <c r="A62" s="592"/>
      <c r="B62" s="562" t="s">
        <v>482</v>
      </c>
      <c r="C62" s="544" t="s">
        <v>496</v>
      </c>
      <c r="D62" s="545">
        <v>1</v>
      </c>
      <c r="E62" s="534">
        <f>TRUNC(D62*CRONOGRAMA!C48,2)</f>
        <v>2175.16</v>
      </c>
      <c r="F62" s="595"/>
      <c r="G62" s="598"/>
    </row>
    <row r="63" spans="1:7" ht="30" customHeight="1">
      <c r="A63" s="592"/>
      <c r="B63" s="562" t="s">
        <v>483</v>
      </c>
      <c r="C63" s="544" t="s">
        <v>497</v>
      </c>
      <c r="D63" s="545">
        <v>1</v>
      </c>
      <c r="E63" s="534">
        <f>TRUNC(D63*CRONOGRAMA!C50,2)</f>
        <v>2665.61</v>
      </c>
      <c r="F63" s="595"/>
      <c r="G63" s="598"/>
    </row>
    <row r="64" spans="1:7" ht="30" customHeight="1">
      <c r="A64" s="592"/>
      <c r="B64" s="562" t="s">
        <v>840</v>
      </c>
      <c r="C64" s="546" t="s">
        <v>733</v>
      </c>
      <c r="D64" s="547">
        <v>0.11</v>
      </c>
      <c r="E64" s="534">
        <f>TRUNC(D64*CRONOGRAMA!C76,2)</f>
        <v>18521.03</v>
      </c>
      <c r="F64" s="595"/>
      <c r="G64" s="598"/>
    </row>
    <row r="65" spans="1:7" ht="30" customHeight="1" thickBot="1">
      <c r="A65" s="593"/>
      <c r="B65" s="568" t="s">
        <v>514</v>
      </c>
      <c r="C65" s="535" t="s">
        <v>734</v>
      </c>
      <c r="D65" s="536">
        <v>0.33</v>
      </c>
      <c r="E65" s="537">
        <f>TRUNC(D65*CRONOGRAMA!C78,2)</f>
        <v>22225.24</v>
      </c>
      <c r="F65" s="596"/>
      <c r="G65" s="599"/>
    </row>
    <row r="66" spans="1:7" ht="18" customHeight="1">
      <c r="A66" s="601" t="s">
        <v>841</v>
      </c>
      <c r="B66" s="566" t="s">
        <v>9</v>
      </c>
      <c r="C66" s="538" t="s">
        <v>8</v>
      </c>
      <c r="D66" s="524">
        <v>7.5402719984380029E-2</v>
      </c>
      <c r="E66" s="525">
        <f>TRUNC(D66*CRONOGRAMA!C12,2)</f>
        <v>14484.13</v>
      </c>
      <c r="F66" s="604">
        <f>TRUNC(SUM(E66:E69),2)</f>
        <v>59876.45</v>
      </c>
      <c r="G66" s="607">
        <f>F66/SUM($F$12:$F$78)</f>
        <v>3.8849902554476096E-2</v>
      </c>
    </row>
    <row r="67" spans="1:7" ht="30" customHeight="1">
      <c r="A67" s="602"/>
      <c r="B67" s="560" t="s">
        <v>843</v>
      </c>
      <c r="C67" s="540" t="s">
        <v>733</v>
      </c>
      <c r="D67" s="541">
        <v>0.11</v>
      </c>
      <c r="E67" s="528">
        <f>TRUNC(D67*CRONOGRAMA!C76,2)</f>
        <v>18521.03</v>
      </c>
      <c r="F67" s="605"/>
      <c r="G67" s="608"/>
    </row>
    <row r="68" spans="1:7" ht="30" customHeight="1">
      <c r="A68" s="602"/>
      <c r="B68" s="569" t="s">
        <v>842</v>
      </c>
      <c r="C68" s="540" t="s">
        <v>734</v>
      </c>
      <c r="D68" s="541">
        <v>0.33</v>
      </c>
      <c r="E68" s="542">
        <f>TRUNC(D68*CRONOGRAMA!C78,2)</f>
        <v>22225.24</v>
      </c>
      <c r="F68" s="605"/>
      <c r="G68" s="608"/>
    </row>
    <row r="69" spans="1:7" ht="18" customHeight="1" thickBot="1">
      <c r="A69" s="603"/>
      <c r="B69" s="561" t="s">
        <v>868</v>
      </c>
      <c r="C69" s="529" t="s">
        <v>58</v>
      </c>
      <c r="D69" s="530">
        <v>0.5</v>
      </c>
      <c r="E69" s="531">
        <f>TRUNC(D69*SUM(CRONOGRAMA!C82:C115),2)</f>
        <v>4646.05</v>
      </c>
      <c r="F69" s="606"/>
      <c r="G69" s="609"/>
    </row>
    <row r="70" spans="1:7" ht="18" customHeight="1">
      <c r="A70" s="591" t="s">
        <v>844</v>
      </c>
      <c r="B70" s="565" t="s">
        <v>9</v>
      </c>
      <c r="C70" s="532" t="s">
        <v>8</v>
      </c>
      <c r="D70" s="533">
        <v>0.2061013593210918</v>
      </c>
      <c r="E70" s="543">
        <f>TRUNC(D70*CRONOGRAMA!C12,2)</f>
        <v>39590.089999999997</v>
      </c>
      <c r="F70" s="594">
        <f>TRUNC(SUM(E70:E78),2)</f>
        <v>163662.76</v>
      </c>
      <c r="G70" s="597">
        <f>F70/SUM($F$12:$F$78)</f>
        <v>0.1061900342755225</v>
      </c>
    </row>
    <row r="71" spans="1:7" ht="30" customHeight="1">
      <c r="A71" s="592"/>
      <c r="B71" s="570" t="s">
        <v>851</v>
      </c>
      <c r="C71" s="549" t="s">
        <v>500</v>
      </c>
      <c r="D71" s="550">
        <v>1</v>
      </c>
      <c r="E71" s="534">
        <f>TRUNC(D71*CRONOGRAMA!C56,2)</f>
        <v>9134.5300000000007</v>
      </c>
      <c r="F71" s="595"/>
      <c r="G71" s="598"/>
    </row>
    <row r="72" spans="1:7" ht="30" customHeight="1">
      <c r="A72" s="592"/>
      <c r="B72" s="570" t="s">
        <v>852</v>
      </c>
      <c r="C72" s="549" t="s">
        <v>501</v>
      </c>
      <c r="D72" s="550">
        <v>1</v>
      </c>
      <c r="E72" s="534">
        <f>TRUNC(D72*CRONOGRAMA!C58,2)</f>
        <v>10961.44</v>
      </c>
      <c r="F72" s="595"/>
      <c r="G72" s="598"/>
    </row>
    <row r="73" spans="1:7" ht="30" customHeight="1">
      <c r="A73" s="592"/>
      <c r="B73" s="562" t="s">
        <v>849</v>
      </c>
      <c r="C73" s="544" t="s">
        <v>504</v>
      </c>
      <c r="D73" s="545">
        <v>1</v>
      </c>
      <c r="E73" s="534">
        <f>TRUNC(D73*CRONOGRAMA!C64,2)</f>
        <v>790.12</v>
      </c>
      <c r="F73" s="595"/>
      <c r="G73" s="598"/>
    </row>
    <row r="74" spans="1:7" ht="30" customHeight="1">
      <c r="A74" s="592"/>
      <c r="B74" s="562" t="s">
        <v>850</v>
      </c>
      <c r="C74" s="544" t="s">
        <v>505</v>
      </c>
      <c r="D74" s="545">
        <v>1</v>
      </c>
      <c r="E74" s="534">
        <f>TRUNC(D74*CRONOGRAMA!C66,2)</f>
        <v>948.14</v>
      </c>
      <c r="F74" s="595"/>
      <c r="G74" s="598"/>
    </row>
    <row r="75" spans="1:7" ht="30" customHeight="1">
      <c r="A75" s="592"/>
      <c r="B75" s="548" t="s">
        <v>845</v>
      </c>
      <c r="C75" s="544" t="s">
        <v>52</v>
      </c>
      <c r="D75" s="545">
        <v>0.04</v>
      </c>
      <c r="E75" s="534">
        <f>TRUNC(D75*CRONOGRAMA!C70,2)</f>
        <v>27644.85</v>
      </c>
      <c r="F75" s="595"/>
      <c r="G75" s="598"/>
    </row>
    <row r="76" spans="1:7" ht="30" customHeight="1">
      <c r="A76" s="592"/>
      <c r="B76" s="562" t="s">
        <v>846</v>
      </c>
      <c r="C76" s="544" t="s">
        <v>53</v>
      </c>
      <c r="D76" s="545">
        <v>0.12</v>
      </c>
      <c r="E76" s="534">
        <f>TRUNC(D76*CRONOGRAMA!C72,2)</f>
        <v>33173.83</v>
      </c>
      <c r="F76" s="595"/>
      <c r="G76" s="598"/>
    </row>
    <row r="77" spans="1:7" ht="30" customHeight="1">
      <c r="A77" s="592"/>
      <c r="B77" s="562" t="s">
        <v>847</v>
      </c>
      <c r="C77" s="546" t="s">
        <v>733</v>
      </c>
      <c r="D77" s="547">
        <v>0.11</v>
      </c>
      <c r="E77" s="534">
        <f>TRUNC(D77*CRONOGRAMA!C76,2)</f>
        <v>18521.03</v>
      </c>
      <c r="F77" s="595"/>
      <c r="G77" s="598"/>
    </row>
    <row r="78" spans="1:7" ht="30" customHeight="1" thickBot="1">
      <c r="A78" s="593"/>
      <c r="B78" s="568" t="s">
        <v>848</v>
      </c>
      <c r="C78" s="535" t="s">
        <v>734</v>
      </c>
      <c r="D78" s="536">
        <v>0.34</v>
      </c>
      <c r="E78" s="537">
        <f>TRUNC(D78*CRONOGRAMA!C78,2)</f>
        <v>22898.73</v>
      </c>
      <c r="F78" s="596"/>
      <c r="G78" s="599"/>
    </row>
    <row r="81" spans="1:9" hidden="1"/>
    <row r="82" spans="1:9" ht="25" hidden="1" customHeight="1">
      <c r="A82" s="417" t="s">
        <v>1</v>
      </c>
      <c r="B82" s="417" t="s">
        <v>3</v>
      </c>
      <c r="C82" s="417" t="s">
        <v>230</v>
      </c>
      <c r="D82" s="418" t="s">
        <v>231</v>
      </c>
      <c r="E82" s="418" t="s">
        <v>232</v>
      </c>
      <c r="F82" s="418" t="s">
        <v>233</v>
      </c>
      <c r="G82" s="418" t="s">
        <v>234</v>
      </c>
    </row>
    <row r="83" spans="1:9" ht="24" hidden="1" customHeight="1">
      <c r="A83" s="617" t="s">
        <v>8</v>
      </c>
      <c r="B83" s="619" t="str">
        <f>_xlfn.XLOOKUP(A83,'PLANILHA ORCAMENTARIA'!$A$12:$A$72,'PLANILHA ORCAMENTARIA'!$C$12:$C$72)</f>
        <v>ADMINISTRAÇÃO DA OBRA</v>
      </c>
      <c r="C83" s="621">
        <f>_xlfn.XLOOKUP(A83,'PLANILHA ORCAMENTARIA'!$A$12:$A$72,'PLANILHA ORCAMENTARIA'!$J$12:$J$72)</f>
        <v>192090.39</v>
      </c>
      <c r="D83" s="419"/>
      <c r="E83" s="419"/>
      <c r="F83" s="419"/>
      <c r="G83" s="419"/>
    </row>
    <row r="84" spans="1:9" ht="24" hidden="1" customHeight="1">
      <c r="A84" s="618"/>
      <c r="B84" s="620"/>
      <c r="C84" s="622"/>
      <c r="D84" s="46" t="str">
        <f>IF(D83&gt;0,TRUNC($C$83*D83,2),"")</f>
        <v/>
      </c>
      <c r="E84" s="46" t="str">
        <f t="shared" ref="E84:G84" si="0">IF(E83&gt;0,TRUNC($C$83*E83,2),"")</f>
        <v/>
      </c>
      <c r="F84" s="46" t="str">
        <f t="shared" si="0"/>
        <v/>
      </c>
      <c r="G84" s="46" t="str">
        <f t="shared" si="0"/>
        <v/>
      </c>
      <c r="H84" s="422"/>
      <c r="I84" s="422"/>
    </row>
    <row r="85" spans="1:9" ht="24" hidden="1" customHeight="1">
      <c r="A85" s="617">
        <v>2</v>
      </c>
      <c r="B85" s="619" t="str">
        <f>_xlfn.XLOOKUP(A85,'PLANILHA ORCAMENTARIA'!$A$12:$A$72,'PLANILHA ORCAMENTARIA'!$C$12:$C$72)</f>
        <v>SERVIÇOS INICIAIS</v>
      </c>
      <c r="C85" s="621">
        <f>_xlfn.XLOOKUP(A85,'PLANILHA ORCAMENTARIA'!$A$12:$A$72,'PLANILHA ORCAMENTARIA'!$J$12:$J$72)</f>
        <v>30614.61</v>
      </c>
      <c r="D85" s="423">
        <v>0.01</v>
      </c>
      <c r="E85" s="423"/>
      <c r="F85" s="423"/>
      <c r="G85" s="423"/>
    </row>
    <row r="86" spans="1:9" ht="24" hidden="1" customHeight="1">
      <c r="A86" s="618"/>
      <c r="B86" s="620"/>
      <c r="C86" s="622"/>
      <c r="D86" s="46">
        <f>IF(D85&gt;0,TRUNC($C$85*D85,2),"")</f>
        <v>306.14</v>
      </c>
      <c r="E86" s="46" t="str">
        <f t="shared" ref="E86:G86" si="1">IF(E85&gt;0,TRUNC($C$85*E85,2),"")</f>
        <v/>
      </c>
      <c r="F86" s="46" t="str">
        <f t="shared" si="1"/>
        <v/>
      </c>
      <c r="G86" s="46" t="str">
        <f t="shared" si="1"/>
        <v/>
      </c>
    </row>
    <row r="87" spans="1:9" ht="24" hidden="1" customHeight="1">
      <c r="A87" s="617">
        <v>3</v>
      </c>
      <c r="B87" s="619" t="str">
        <f>_xlfn.XLOOKUP(A87,'PLANILHA ORCAMENTARIA'!$A$12:$A$72,'PLANILHA ORCAMENTARIA'!$C$12:$C$72)</f>
        <v>DEMOLIÇÕES E RETIRADAS</v>
      </c>
      <c r="C87" s="623"/>
      <c r="D87" s="423"/>
      <c r="E87" s="423"/>
      <c r="F87" s="423"/>
      <c r="G87" s="423"/>
    </row>
    <row r="88" spans="1:9" ht="24" hidden="1" customHeight="1">
      <c r="A88" s="618"/>
      <c r="B88" s="620"/>
      <c r="C88" s="624"/>
      <c r="D88" s="46"/>
      <c r="E88" s="46"/>
      <c r="F88" s="46"/>
      <c r="G88" s="46"/>
    </row>
    <row r="89" spans="1:9" ht="24" hidden="1" customHeight="1">
      <c r="A89" s="617" t="s">
        <v>37</v>
      </c>
      <c r="B89" s="619" t="str">
        <f>_xlfn.XLOOKUP(A89,'PLANILHA ORCAMENTARIA'!$A$12:$A$72,'PLANILHA ORCAMENTARIA'!$C$12:$C$72)</f>
        <v>DESMONTAGEM COMPLETA DE ELEVADOR - INCLUSO CABINES, SISTEMAS DE TRAÇÃO E TRANSPORTE, FOSSO E ACESSÓRIOS (GRUPO A - CARRO 1)</v>
      </c>
      <c r="C89" s="621">
        <f>_xlfn.XLOOKUP(A89,'PLANILHA ORCAMENTARIA'!$A$12:$A$72,'PLANILHA ORCAMENTARIA'!$J$12:$J$72)</f>
        <v>8704.5</v>
      </c>
      <c r="D89" s="423"/>
      <c r="E89" s="423"/>
      <c r="F89" s="423"/>
      <c r="G89" s="423"/>
      <c r="H89" s="422"/>
      <c r="I89" s="422"/>
    </row>
    <row r="90" spans="1:9" ht="24" hidden="1" customHeight="1">
      <c r="A90" s="618"/>
      <c r="B90" s="620"/>
      <c r="C90" s="622"/>
      <c r="D90" s="46" t="str">
        <f>IF(D89&gt;0,TRUNC($C$89*D89,2),"")</f>
        <v/>
      </c>
      <c r="E90" s="46" t="str">
        <f t="shared" ref="E90:G90" si="2">IF(E89&gt;0,TRUNC($C$89*E89,2),"")</f>
        <v/>
      </c>
      <c r="F90" s="46" t="str">
        <f t="shared" si="2"/>
        <v/>
      </c>
      <c r="G90" s="46" t="str">
        <f t="shared" si="2"/>
        <v/>
      </c>
    </row>
    <row r="91" spans="1:9" ht="24" hidden="1" customHeight="1">
      <c r="A91" s="617" t="s">
        <v>38</v>
      </c>
      <c r="B91" s="619" t="str">
        <f>_xlfn.XLOOKUP(A91,'PLANILHA ORCAMENTARIA'!$A$12:$A$72,'PLANILHA ORCAMENTARIA'!$C$12:$C$72)</f>
        <v>DESMONTAGEM COMPLETA DE ELEVADOR - INCLUSO CABINES, SISTEMAS DE TRAÇÃO E TRANSPORTE, FOSSO E ACESSÓRIOS (GRUPO A - CARRO 2)</v>
      </c>
      <c r="C91" s="621">
        <f>_xlfn.XLOOKUP(A91,'PLANILHA ORCAMENTARIA'!$A$12:$A$72,'PLANILHA ORCAMENTARIA'!$J$12:$J$72)</f>
        <v>8704.5</v>
      </c>
      <c r="D91" s="423"/>
      <c r="E91" s="423"/>
      <c r="F91" s="423"/>
      <c r="G91" s="423"/>
    </row>
    <row r="92" spans="1:9" ht="24" hidden="1" customHeight="1">
      <c r="A92" s="618"/>
      <c r="B92" s="620"/>
      <c r="C92" s="622"/>
      <c r="D92" s="46" t="str">
        <f>IF(D91&gt;0,TRUNC($C$91*D91,2),"")</f>
        <v/>
      </c>
      <c r="E92" s="46" t="str">
        <f t="shared" ref="E92:G92" si="3">IF(E91&gt;0,TRUNC($C$91*E91,2),"")</f>
        <v/>
      </c>
      <c r="F92" s="46" t="str">
        <f t="shared" si="3"/>
        <v/>
      </c>
      <c r="G92" s="46" t="str">
        <f t="shared" si="3"/>
        <v/>
      </c>
    </row>
    <row r="93" spans="1:9" ht="24" hidden="1" customHeight="1">
      <c r="A93" s="617" t="s">
        <v>39</v>
      </c>
      <c r="B93" s="619" t="str">
        <f>_xlfn.XLOOKUP(A93,'PLANILHA ORCAMENTARIA'!$A$12:$A$72,'PLANILHA ORCAMENTARIA'!$C$12:$C$72)</f>
        <v>DESMONTAGEM COMPLETA DE ELEVADOR - INCLUSO CABINES, SISTEMAS DE TRAÇÃO E TRANSPORTE, FOSSO E ACESSÓRIOS (GRUPO A - CARRO 3)</v>
      </c>
      <c r="C93" s="621">
        <f>_xlfn.XLOOKUP(A93,'PLANILHA ORCAMENTARIA'!$A$12:$A$72,'PLANILHA ORCAMENTARIA'!$J$12:$J$72)</f>
        <v>8704.5</v>
      </c>
      <c r="D93" s="423"/>
      <c r="E93" s="423"/>
      <c r="F93" s="423"/>
      <c r="G93" s="423"/>
    </row>
    <row r="94" spans="1:9" ht="24" hidden="1" customHeight="1">
      <c r="A94" s="618"/>
      <c r="B94" s="620"/>
      <c r="C94" s="622"/>
      <c r="D94" s="46" t="str">
        <f>IF(D93&gt;0,TRUNC($C$93*D93,2),"")</f>
        <v/>
      </c>
      <c r="E94" s="46" t="str">
        <f t="shared" ref="E94:G94" si="4">IF(E93&gt;0,TRUNC($C$93*E93,2),"")</f>
        <v/>
      </c>
      <c r="F94" s="46" t="str">
        <f t="shared" si="4"/>
        <v/>
      </c>
      <c r="G94" s="46" t="str">
        <f t="shared" si="4"/>
        <v/>
      </c>
    </row>
    <row r="95" spans="1:9" ht="24" hidden="1" customHeight="1">
      <c r="A95" s="617" t="s">
        <v>41</v>
      </c>
      <c r="B95" s="619" t="str">
        <f>_xlfn.XLOOKUP(A95,'PLANILHA ORCAMENTARIA'!$A$12:$A$72,'PLANILHA ORCAMENTARIA'!$C$12:$C$72)</f>
        <v>DESMONTAGEM COMPLETA DE ELEVADOR - INCLUSO CABINES, SISTEMAS DE TRAÇÃO E TRANSPORTE, FOSSO E ACESSÓRIOS (GRUPO B)</v>
      </c>
      <c r="C95" s="621">
        <f>_xlfn.XLOOKUP(A95,'PLANILHA ORCAMENTARIA'!$A$12:$A$72,'PLANILHA ORCAMENTARIA'!$J$12:$J$72)</f>
        <v>10340.94</v>
      </c>
      <c r="D95" s="423"/>
      <c r="E95" s="423"/>
      <c r="F95" s="423"/>
      <c r="G95" s="423"/>
    </row>
    <row r="96" spans="1:9" ht="24" hidden="1" customHeight="1">
      <c r="A96" s="618"/>
      <c r="B96" s="620"/>
      <c r="C96" s="622"/>
      <c r="D96" s="46" t="str">
        <f>IF(D95&gt;0,TRUNC($C$95*D95,2),"")</f>
        <v/>
      </c>
      <c r="E96" s="46" t="str">
        <f t="shared" ref="E96:G96" si="5">IF(E95&gt;0,TRUNC($C$95*E95,2),"")</f>
        <v/>
      </c>
      <c r="F96" s="46" t="str">
        <f t="shared" si="5"/>
        <v/>
      </c>
      <c r="G96" s="46" t="str">
        <f t="shared" si="5"/>
        <v/>
      </c>
    </row>
    <row r="97" spans="1:7" ht="24" hidden="1" customHeight="1">
      <c r="A97" s="617" t="s">
        <v>42</v>
      </c>
      <c r="B97" s="619" t="str">
        <f>_xlfn.XLOOKUP(A97,'PLANILHA ORCAMENTARIA'!$A$12:$A$72,'PLANILHA ORCAMENTARIA'!$C$12:$C$72)</f>
        <v>LIMPEZA DE SUPERFÍCIE COM JATO DE ALTA PRESSÃO. AF_04/2019 (GRUPO A - CARRO 1)</v>
      </c>
      <c r="C97" s="621">
        <f>_xlfn.XLOOKUP(A97,'PLANILHA ORCAMENTARIA'!$A$12:$A$72,'PLANILHA ORCAMENTARIA'!$J$12:$J$72)</f>
        <v>421.78</v>
      </c>
      <c r="D97" s="423"/>
      <c r="E97" s="423"/>
      <c r="F97" s="423"/>
      <c r="G97" s="423"/>
    </row>
    <row r="98" spans="1:7" ht="24" hidden="1" customHeight="1">
      <c r="A98" s="618"/>
      <c r="B98" s="620"/>
      <c r="C98" s="622"/>
      <c r="D98" s="46" t="str">
        <f>IF(D97&gt;0,TRUNC($C$97*D97,2),"")</f>
        <v/>
      </c>
      <c r="E98" s="46" t="str">
        <f t="shared" ref="E98:G98" si="6">IF(E97&gt;0,TRUNC($C$97*E97,2),"")</f>
        <v/>
      </c>
      <c r="F98" s="46" t="str">
        <f t="shared" si="6"/>
        <v/>
      </c>
      <c r="G98" s="46" t="str">
        <f t="shared" si="6"/>
        <v/>
      </c>
    </row>
    <row r="99" spans="1:7" ht="24" hidden="1" customHeight="1">
      <c r="A99" s="617" t="s">
        <v>43</v>
      </c>
      <c r="B99" s="619" t="str">
        <f>_xlfn.XLOOKUP(A99,'PLANILHA ORCAMENTARIA'!$A$12:$A$72,'PLANILHA ORCAMENTARIA'!$C$12:$C$72)</f>
        <v>LIMPEZA DE SUPERFÍCIE COM JATO DE ALTA PRESSÃO. AF_04/2019 (GRUPO A - CARRO 2)</v>
      </c>
      <c r="C99" s="621">
        <f>_xlfn.XLOOKUP(A99,'PLANILHA ORCAMENTARIA'!$A$12:$A$72,'PLANILHA ORCAMENTARIA'!$J$12:$J$72)</f>
        <v>421.78</v>
      </c>
      <c r="D99" s="423"/>
      <c r="E99" s="423"/>
      <c r="F99" s="423"/>
      <c r="G99" s="423"/>
    </row>
    <row r="100" spans="1:7" ht="24" hidden="1" customHeight="1">
      <c r="A100" s="618"/>
      <c r="B100" s="620"/>
      <c r="C100" s="622"/>
      <c r="D100" s="46" t="str">
        <f>IF(D99&gt;0,TRUNC($C$99*D99,2),"")</f>
        <v/>
      </c>
      <c r="E100" s="46" t="str">
        <f t="shared" ref="E100:G100" si="7">IF(E99&gt;0,TRUNC($C$99*E99,2),"")</f>
        <v/>
      </c>
      <c r="F100" s="46" t="str">
        <f t="shared" si="7"/>
        <v/>
      </c>
      <c r="G100" s="46" t="str">
        <f t="shared" si="7"/>
        <v/>
      </c>
    </row>
    <row r="101" spans="1:7" ht="24" hidden="1" customHeight="1">
      <c r="A101" s="617" t="s">
        <v>44</v>
      </c>
      <c r="B101" s="619" t="str">
        <f>_xlfn.XLOOKUP(A101,'PLANILHA ORCAMENTARIA'!$A$12:$A$72,'PLANILHA ORCAMENTARIA'!$C$12:$C$72)</f>
        <v>LIMPEZA DE SUPERFÍCIE COM JATO DE ALTA PRESSÃO. AF_04/2019 (GRUPO A - CARRO 3)</v>
      </c>
      <c r="C101" s="621">
        <f>_xlfn.XLOOKUP(A101,'PLANILHA ORCAMENTARIA'!$A$12:$A$72,'PLANILHA ORCAMENTARIA'!$J$12:$J$72)</f>
        <v>421.78</v>
      </c>
      <c r="D101" s="423"/>
      <c r="E101" s="423"/>
      <c r="F101" s="423"/>
      <c r="G101" s="423"/>
    </row>
    <row r="102" spans="1:7" ht="24" hidden="1" customHeight="1">
      <c r="A102" s="618"/>
      <c r="B102" s="620"/>
      <c r="C102" s="622"/>
      <c r="D102" s="46" t="str">
        <f>IF(D101&gt;0,TRUNC($C$101*D101,2),"")</f>
        <v/>
      </c>
      <c r="E102" s="46" t="str">
        <f t="shared" ref="E102:G102" si="8">IF(E101&gt;0,TRUNC($C$101*E101,2),"")</f>
        <v/>
      </c>
      <c r="F102" s="46" t="str">
        <f t="shared" si="8"/>
        <v/>
      </c>
      <c r="G102" s="46" t="str">
        <f t="shared" si="8"/>
        <v/>
      </c>
    </row>
    <row r="103" spans="1:7" ht="24" hidden="1" customHeight="1">
      <c r="A103" s="617" t="s">
        <v>45</v>
      </c>
      <c r="B103" s="619" t="str">
        <f>_xlfn.XLOOKUP(A103,'PLANILHA ORCAMENTARIA'!$A$12:$A$72,'PLANILHA ORCAMENTARIA'!$C$12:$C$72)</f>
        <v>LIMPEZA DE SUPERFÍCIE COM JATO DE ALTA PRESSÃO. AF_04/2019 (GRUPO B)</v>
      </c>
      <c r="C103" s="621">
        <f>_xlfn.XLOOKUP(A103,'PLANILHA ORCAMENTARIA'!$A$12:$A$72,'PLANILHA ORCAMENTARIA'!$J$12:$J$72)</f>
        <v>516.35</v>
      </c>
      <c r="D103" s="423"/>
      <c r="E103" s="423"/>
      <c r="F103" s="423"/>
      <c r="G103" s="423"/>
    </row>
    <row r="104" spans="1:7" ht="24" hidden="1" customHeight="1">
      <c r="A104" s="618"/>
      <c r="B104" s="620"/>
      <c r="C104" s="622"/>
      <c r="D104" s="46" t="str">
        <f>IF(D103&gt;0,TRUNC($C$103*D103,2),"")</f>
        <v/>
      </c>
      <c r="E104" s="46" t="str">
        <f t="shared" ref="E104:G104" si="9">IF(E103&gt;0,TRUNC($C$103*E103,2),"")</f>
        <v/>
      </c>
      <c r="F104" s="46" t="str">
        <f t="shared" si="9"/>
        <v/>
      </c>
      <c r="G104" s="46" t="str">
        <f t="shared" si="9"/>
        <v/>
      </c>
    </row>
    <row r="105" spans="1:7" ht="24" hidden="1" customHeight="1">
      <c r="A105" s="617">
        <v>4</v>
      </c>
      <c r="B105" s="619" t="str">
        <f>_xlfn.XLOOKUP(A105,'PLANILHA ORCAMENTARIA'!$A$12:$A$72,'PLANILHA ORCAMENTARIA'!$C$12:$C$72)</f>
        <v>OBRAS CIVIS</v>
      </c>
      <c r="C105" s="621"/>
      <c r="D105" s="423"/>
      <c r="E105" s="423"/>
      <c r="F105" s="423"/>
      <c r="G105" s="423"/>
    </row>
    <row r="106" spans="1:7" ht="24" hidden="1" customHeight="1">
      <c r="A106" s="618"/>
      <c r="B106" s="620"/>
      <c r="C106" s="622"/>
      <c r="D106" s="46"/>
      <c r="E106" s="46"/>
      <c r="F106" s="46"/>
      <c r="G106" s="46"/>
    </row>
    <row r="107" spans="1:7" ht="24" hidden="1" customHeight="1">
      <c r="A107" s="617" t="s">
        <v>47</v>
      </c>
      <c r="B107" s="619" t="str">
        <f>_xlfn.XLOOKUP(A107,'PLANILHA ORCAMENTARIA'!$A$12:$A$72,'PLANILHA ORCAMENTARIA'!$C$12:$C$72)</f>
        <v>ALVENARIA DE BLOCOS DE CONCRETO ESTRUTURAL 14X19X29 CM (ESPESSURA 14 CM), FBK = 14 MPA, UTILIZANDO COLHER DE PEDREIRO. AF_10/2022 (GRUPO A - VÃO ENTRE CARROS 1 e 2)</v>
      </c>
      <c r="C107" s="621">
        <f>_xlfn.XLOOKUP(A107,'PLANILHA ORCAMENTARIA'!$A$12:$A$72,'PLANILHA ORCAMENTARIA'!$J$12:$J$72)</f>
        <v>7511.86</v>
      </c>
      <c r="D107" s="423"/>
      <c r="E107" s="423"/>
      <c r="F107" s="423"/>
      <c r="G107" s="423"/>
    </row>
    <row r="108" spans="1:7" ht="24" hidden="1" customHeight="1">
      <c r="A108" s="618"/>
      <c r="B108" s="620"/>
      <c r="C108" s="622"/>
      <c r="D108" s="46" t="str">
        <f>IF(D107&gt;0,TRUNC($C$107*D107,2),"")</f>
        <v/>
      </c>
      <c r="E108" s="46" t="str">
        <f t="shared" ref="E108:G108" si="10">IF(E107&gt;0,TRUNC($C$107*E107,2),"")</f>
        <v/>
      </c>
      <c r="F108" s="46" t="str">
        <f t="shared" si="10"/>
        <v/>
      </c>
      <c r="G108" s="46" t="str">
        <f t="shared" si="10"/>
        <v/>
      </c>
    </row>
    <row r="109" spans="1:7" ht="24" hidden="1" customHeight="1">
      <c r="A109" s="617" t="s">
        <v>48</v>
      </c>
      <c r="B109" s="619" t="str">
        <f>_xlfn.XLOOKUP(A109,'PLANILHA ORCAMENTARIA'!$A$12:$A$72,'PLANILHA ORCAMENTARIA'!$C$12:$C$72)</f>
        <v>ALVENARIA DE BLOCOS DE CONCRETO ESTRUTURAL 14X19X29 CM (ESPESSURA 14 CM), FBK = 14 MPA, UTILIZANDO COLHER DE PEDREIRO. AF_10/2022 (GRUPO A - VÃO ENTRE CARROS 2 e 3)</v>
      </c>
      <c r="C109" s="621">
        <f>_xlfn.XLOOKUP(A109,'PLANILHA ORCAMENTARIA'!$A$12:$A$72,'PLANILHA ORCAMENTARIA'!$J$12:$J$72)</f>
        <v>7511.86</v>
      </c>
      <c r="D109" s="423"/>
      <c r="E109" s="423"/>
      <c r="F109" s="423"/>
      <c r="G109" s="423"/>
    </row>
    <row r="110" spans="1:7" ht="24" hidden="1" customHeight="1">
      <c r="A110" s="618"/>
      <c r="B110" s="620"/>
      <c r="C110" s="622"/>
      <c r="D110" s="46" t="str">
        <f>IF(D109&gt;0,TRUNC($C$109*D109,2),"")</f>
        <v/>
      </c>
      <c r="E110" s="46" t="str">
        <f t="shared" ref="E110:G110" si="11">IF(E109&gt;0,TRUNC($C$109*E109,2),"")</f>
        <v/>
      </c>
      <c r="F110" s="46" t="str">
        <f t="shared" si="11"/>
        <v/>
      </c>
      <c r="G110" s="46" t="str">
        <f t="shared" si="11"/>
        <v/>
      </c>
    </row>
    <row r="111" spans="1:7" ht="24" hidden="1" customHeight="1">
      <c r="A111" s="617" t="s">
        <v>494</v>
      </c>
      <c r="B111" s="619" t="str">
        <f>_xlfn.XLOOKUP(A111,'PLANILHA ORCAMENTARIA'!$A$12:$A$72,'PLANILHA ORCAMENTARIA'!$C$12:$C$72)</f>
        <v>PINTURA LÁTEX ACRÍLICA STANDARD, APLICAÇÃO MANUAL EM PAREDES, DUAS DEMÃOS. AF_04/2023 (GRUPO A - CARRO 1)</v>
      </c>
      <c r="C111" s="621">
        <f>_xlfn.XLOOKUP(A111,'PLANILHA ORCAMENTARIA'!$A$12:$A$72,'PLANILHA ORCAMENTARIA'!$J$12:$J$72)</f>
        <v>2175.16</v>
      </c>
      <c r="D111" s="423"/>
      <c r="E111" s="423"/>
      <c r="F111" s="423"/>
      <c r="G111" s="423"/>
    </row>
    <row r="112" spans="1:7" ht="24" hidden="1" customHeight="1">
      <c r="A112" s="618"/>
      <c r="B112" s="620"/>
      <c r="C112" s="622"/>
      <c r="D112" s="46" t="str">
        <f>IF(D111&gt;0,TRUNC($C$111*D111,2),"")</f>
        <v/>
      </c>
      <c r="E112" s="46" t="str">
        <f t="shared" ref="E112:G112" si="12">IF(E111&gt;0,TRUNC($C$111*E111,2),"")</f>
        <v/>
      </c>
      <c r="F112" s="46" t="str">
        <f t="shared" si="12"/>
        <v/>
      </c>
      <c r="G112" s="46" t="str">
        <f t="shared" si="12"/>
        <v/>
      </c>
    </row>
    <row r="113" spans="1:7" ht="24" hidden="1" customHeight="1">
      <c r="A113" s="617" t="s">
        <v>495</v>
      </c>
      <c r="B113" s="619" t="str">
        <f>_xlfn.XLOOKUP(A113,'PLANILHA ORCAMENTARIA'!$A$12:$A$72,'PLANILHA ORCAMENTARIA'!$C$12:$C$72)</f>
        <v>PINTURA LÁTEX ACRÍLICA STANDARD, APLICAÇÃO MANUAL EM PAREDES, DUAS DEMÃOS. AF_04/2023 (GRUPO A - CARRO 2)</v>
      </c>
      <c r="C113" s="621">
        <f>_xlfn.XLOOKUP(A113,'PLANILHA ORCAMENTARIA'!$A$12:$A$72,'PLANILHA ORCAMENTARIA'!$J$12:$J$72)</f>
        <v>2175.16</v>
      </c>
      <c r="D113" s="423"/>
      <c r="E113" s="423"/>
      <c r="F113" s="423"/>
      <c r="G113" s="423"/>
    </row>
    <row r="114" spans="1:7" ht="24" hidden="1" customHeight="1">
      <c r="A114" s="618"/>
      <c r="B114" s="620"/>
      <c r="C114" s="622"/>
      <c r="D114" s="46" t="str">
        <f>IF(D113&gt;0,TRUNC($C$113*D113,2),"")</f>
        <v/>
      </c>
      <c r="E114" s="46" t="str">
        <f t="shared" ref="E114:G114" si="13">IF(E113&gt;0,TRUNC($C$113*E113,2),"")</f>
        <v/>
      </c>
      <c r="F114" s="46" t="str">
        <f t="shared" si="13"/>
        <v/>
      </c>
      <c r="G114" s="46" t="str">
        <f t="shared" si="13"/>
        <v/>
      </c>
    </row>
    <row r="115" spans="1:7" ht="24" hidden="1" customHeight="1">
      <c r="A115" s="617" t="s">
        <v>496</v>
      </c>
      <c r="B115" s="619" t="str">
        <f>_xlfn.XLOOKUP(A115,'PLANILHA ORCAMENTARIA'!$A$12:$A$72,'PLANILHA ORCAMENTARIA'!$C$12:$C$72)</f>
        <v>PINTURA LÁTEX ACRÍLICA STANDARD, APLICAÇÃO MANUAL EM PAREDES, DUAS DEMÃOS. AF_04/2023 (GRUPO A - CARRO 3)</v>
      </c>
      <c r="C115" s="621">
        <f>_xlfn.XLOOKUP(A115,'PLANILHA ORCAMENTARIA'!$A$12:$A$72,'PLANILHA ORCAMENTARIA'!$J$12:$J$72)</f>
        <v>2175.16</v>
      </c>
      <c r="D115" s="423"/>
      <c r="E115" s="423"/>
      <c r="F115" s="423"/>
      <c r="G115" s="423"/>
    </row>
    <row r="116" spans="1:7" ht="24" hidden="1" customHeight="1">
      <c r="A116" s="618"/>
      <c r="B116" s="620"/>
      <c r="C116" s="622"/>
      <c r="D116" s="46" t="str">
        <f>IF(D115&gt;0,TRUNC($C$115*D115,2),"")</f>
        <v/>
      </c>
      <c r="E116" s="46" t="str">
        <f t="shared" ref="E116:G116" si="14">IF(E115&gt;0,TRUNC($C$115*E115,2),"")</f>
        <v/>
      </c>
      <c r="F116" s="46" t="str">
        <f t="shared" si="14"/>
        <v/>
      </c>
      <c r="G116" s="46" t="str">
        <f t="shared" si="14"/>
        <v/>
      </c>
    </row>
    <row r="117" spans="1:7" ht="24" hidden="1" customHeight="1">
      <c r="A117" s="617" t="s">
        <v>497</v>
      </c>
      <c r="B117" s="619" t="str">
        <f>_xlfn.XLOOKUP(A117,'PLANILHA ORCAMENTARIA'!$A$12:$A$72,'PLANILHA ORCAMENTARIA'!$C$12:$C$72)</f>
        <v>PINTURA LÁTEX ACRÍLICA STANDARD, APLICAÇÃO MANUAL EM PAREDES, DUAS DEMÃOS. AF_04/2023 (GRUPO B)</v>
      </c>
      <c r="C117" s="621">
        <f>_xlfn.XLOOKUP(A117,'PLANILHA ORCAMENTARIA'!$A$12:$A$72,'PLANILHA ORCAMENTARIA'!$J$12:$J$72)</f>
        <v>2665.61</v>
      </c>
      <c r="D117" s="423"/>
      <c r="E117" s="423"/>
      <c r="F117" s="423"/>
      <c r="G117" s="423"/>
    </row>
    <row r="118" spans="1:7" ht="24" hidden="1" customHeight="1">
      <c r="A118" s="618"/>
      <c r="B118" s="620"/>
      <c r="C118" s="622"/>
      <c r="D118" s="46" t="str">
        <f>IF(D117&gt;0,TRUNC($C$117*D117,2),"")</f>
        <v/>
      </c>
      <c r="E118" s="46" t="str">
        <f t="shared" ref="E118:G118" si="15">IF(E117&gt;0,TRUNC($C$117*E117,2),"")</f>
        <v/>
      </c>
      <c r="F118" s="46" t="str">
        <f t="shared" si="15"/>
        <v/>
      </c>
      <c r="G118" s="46" t="str">
        <f t="shared" si="15"/>
        <v/>
      </c>
    </row>
    <row r="119" spans="1:7" ht="24" hidden="1" customHeight="1">
      <c r="A119" s="617" t="s">
        <v>498</v>
      </c>
      <c r="B119" s="619" t="str">
        <f>_xlfn.XLOOKUP(A119,'PLANILHA ORCAMENTARIA'!$A$12:$A$72,'PLANILHA ORCAMENTARIA'!$C$12:$C$72)</f>
        <v>PORTAL EM GRANITO CINZA ANDORINHA PARA PORTA DE ELEVADOR - FORNECIMENTO E INSTALAÇÃO (GRUPO A - CARRO 1)</v>
      </c>
      <c r="C119" s="621">
        <f>_xlfn.XLOOKUP(A119,'PLANILHA ORCAMENTARIA'!$A$12:$A$72,'PLANILHA ORCAMENTARIA'!$J$12:$J$72)</f>
        <v>9134.5300000000007</v>
      </c>
      <c r="D119" s="423"/>
      <c r="E119" s="423"/>
      <c r="F119" s="423"/>
      <c r="G119" s="423"/>
    </row>
    <row r="120" spans="1:7" ht="24" hidden="1" customHeight="1">
      <c r="A120" s="618"/>
      <c r="B120" s="620"/>
      <c r="C120" s="622"/>
      <c r="D120" s="46" t="str">
        <f>IF(D119&gt;0,TRUNC($C$119*D119,2),"")</f>
        <v/>
      </c>
      <c r="E120" s="46" t="str">
        <f t="shared" ref="E120:G120" si="16">IF(E119&gt;0,TRUNC($C$119*E119,2),"")</f>
        <v/>
      </c>
      <c r="F120" s="46" t="str">
        <f t="shared" si="16"/>
        <v/>
      </c>
      <c r="G120" s="46" t="str">
        <f t="shared" si="16"/>
        <v/>
      </c>
    </row>
    <row r="121" spans="1:7" ht="24" hidden="1" customHeight="1">
      <c r="A121" s="617" t="s">
        <v>499</v>
      </c>
      <c r="B121" s="619" t="str">
        <f>_xlfn.XLOOKUP(A121,'PLANILHA ORCAMENTARIA'!$A$12:$A$72,'PLANILHA ORCAMENTARIA'!$C$12:$C$72)</f>
        <v>PORTAL EM GRANITO CINZA ANDORINHA PARA PORTA DE ELEVADOR - FORNECIMENTO E INSTALAÇÃO (GRUPO A - CARRO 2)</v>
      </c>
      <c r="C121" s="621">
        <f>_xlfn.XLOOKUP(A121,'PLANILHA ORCAMENTARIA'!$A$12:$A$72,'PLANILHA ORCAMENTARIA'!$J$12:$J$72)</f>
        <v>9134.5300000000007</v>
      </c>
      <c r="D121" s="423"/>
      <c r="E121" s="423"/>
      <c r="F121" s="423"/>
      <c r="G121" s="423"/>
    </row>
    <row r="122" spans="1:7" ht="24" hidden="1" customHeight="1">
      <c r="A122" s="618"/>
      <c r="B122" s="620"/>
      <c r="C122" s="622"/>
      <c r="D122" s="46" t="str">
        <f>IF(D121&gt;0,TRUNC($C$121*D121,2),"")</f>
        <v/>
      </c>
      <c r="E122" s="46" t="str">
        <f t="shared" ref="E122:G122" si="17">IF(E121&gt;0,TRUNC($C$121*E121,2),"")</f>
        <v/>
      </c>
      <c r="F122" s="46" t="str">
        <f t="shared" si="17"/>
        <v/>
      </c>
      <c r="G122" s="46" t="str">
        <f t="shared" si="17"/>
        <v/>
      </c>
    </row>
    <row r="123" spans="1:7" ht="24" hidden="1" customHeight="1">
      <c r="A123" s="617" t="s">
        <v>500</v>
      </c>
      <c r="B123" s="619" t="str">
        <f>_xlfn.XLOOKUP(A123,'PLANILHA ORCAMENTARIA'!$A$12:$A$72,'PLANILHA ORCAMENTARIA'!$C$12:$C$72)</f>
        <v>PORTAL EM GRANITO CINZA ANDORINHA PARA PORTA DE ELEVADOR - FORNECIMENTO E INSTALAÇÃO (GRUPO A - CARRO 3)</v>
      </c>
      <c r="C123" s="621">
        <f>_xlfn.XLOOKUP(A123,'PLANILHA ORCAMENTARIA'!$A$12:$A$72,'PLANILHA ORCAMENTARIA'!$J$12:$J$72)</f>
        <v>9134.5300000000007</v>
      </c>
      <c r="D123" s="423"/>
      <c r="E123" s="423"/>
      <c r="F123" s="423"/>
      <c r="G123" s="423"/>
    </row>
    <row r="124" spans="1:7" ht="24" hidden="1" customHeight="1">
      <c r="A124" s="618"/>
      <c r="B124" s="620"/>
      <c r="C124" s="622"/>
      <c r="D124" s="46" t="str">
        <f>IF(D123&gt;0,TRUNC($C$123*D123,2),"")</f>
        <v/>
      </c>
      <c r="E124" s="46" t="str">
        <f t="shared" ref="E124:G124" si="18">IF(E123&gt;0,TRUNC($C$123*E123,2),"")</f>
        <v/>
      </c>
      <c r="F124" s="46" t="str">
        <f t="shared" si="18"/>
        <v/>
      </c>
      <c r="G124" s="46" t="str">
        <f t="shared" si="18"/>
        <v/>
      </c>
    </row>
    <row r="125" spans="1:7" ht="24" hidden="1" customHeight="1">
      <c r="A125" s="617" t="s">
        <v>501</v>
      </c>
      <c r="B125" s="619" t="str">
        <f>_xlfn.XLOOKUP(A125,'PLANILHA ORCAMENTARIA'!$A$12:$A$72,'PLANILHA ORCAMENTARIA'!$C$12:$C$72)</f>
        <v>PORTAL EM GRANITO CINZA ANDORINHA PARA PORTA DE ELEVADOR - FORNECIMENTO E INSTALAÇÃO (GRUPO B)</v>
      </c>
      <c r="C125" s="621">
        <f>_xlfn.XLOOKUP(A125,'PLANILHA ORCAMENTARIA'!$A$12:$A$72,'PLANILHA ORCAMENTARIA'!$J$12:$J$72)</f>
        <v>10961.44</v>
      </c>
      <c r="D125" s="423"/>
      <c r="E125" s="423"/>
      <c r="F125" s="423"/>
      <c r="G125" s="423"/>
    </row>
    <row r="126" spans="1:7" ht="24" hidden="1" customHeight="1">
      <c r="A126" s="618"/>
      <c r="B126" s="620"/>
      <c r="C126" s="622"/>
      <c r="D126" s="46" t="str">
        <f>IF(D125&gt;0,TRUNC($C$125*D125,2),"")</f>
        <v/>
      </c>
      <c r="E126" s="46" t="str">
        <f t="shared" ref="E126:G126" si="19">IF(E125&gt;0,TRUNC($C$125*E125,2),"")</f>
        <v/>
      </c>
      <c r="F126" s="46" t="str">
        <f t="shared" si="19"/>
        <v/>
      </c>
      <c r="G126" s="46" t="str">
        <f t="shared" si="19"/>
        <v/>
      </c>
    </row>
    <row r="127" spans="1:7" ht="24" hidden="1" customHeight="1">
      <c r="A127" s="617" t="s">
        <v>502</v>
      </c>
      <c r="B127" s="619" t="str">
        <f>_xlfn.XLOOKUP(A127,'PLANILHA ORCAMENTARIA'!$A$12:$A$72,'PLANILHA ORCAMENTARIA'!$C$12:$C$72)</f>
        <v>SOLEIRA EM GRANITO, LARGURA 25 CM, ESPESSURA 2,0 CM FORNECIMENTO E INSTALAÇÃO (GRUPO A - CARRO 1)</v>
      </c>
      <c r="C127" s="621">
        <f>_xlfn.XLOOKUP(A127,'PLANILHA ORCAMENTARIA'!$A$12:$A$72,'PLANILHA ORCAMENTARIA'!$J$12:$J$72)</f>
        <v>790.12</v>
      </c>
      <c r="D127" s="423"/>
      <c r="E127" s="423"/>
      <c r="F127" s="423"/>
      <c r="G127" s="423"/>
    </row>
    <row r="128" spans="1:7" ht="24" hidden="1" customHeight="1">
      <c r="A128" s="618"/>
      <c r="B128" s="620"/>
      <c r="C128" s="622"/>
      <c r="D128" s="46" t="str">
        <f>IF(D127&gt;0,TRUNC($C$127*D127,2),"")</f>
        <v/>
      </c>
      <c r="E128" s="46" t="str">
        <f t="shared" ref="E128:G128" si="20">IF(E127&gt;0,TRUNC($C$127*E127,2),"")</f>
        <v/>
      </c>
      <c r="F128" s="46" t="str">
        <f t="shared" si="20"/>
        <v/>
      </c>
      <c r="G128" s="46" t="str">
        <f t="shared" si="20"/>
        <v/>
      </c>
    </row>
    <row r="129" spans="1:7" ht="24" hidden="1" customHeight="1">
      <c r="A129" s="617" t="s">
        <v>503</v>
      </c>
      <c r="B129" s="619" t="str">
        <f>_xlfn.XLOOKUP(A129,'PLANILHA ORCAMENTARIA'!$A$12:$A$72,'PLANILHA ORCAMENTARIA'!$C$12:$C$72)</f>
        <v>SOLEIRA EM GRANITO, LARGURA 25 CM, ESPESSURA 2,0 CM FORNECIMENTO E INSTALAÇÃO (GRUPO A - CARRO 2)</v>
      </c>
      <c r="C129" s="621">
        <f>_xlfn.XLOOKUP(A129,'PLANILHA ORCAMENTARIA'!$A$12:$A$72,'PLANILHA ORCAMENTARIA'!$J$12:$J$72)</f>
        <v>790.12</v>
      </c>
      <c r="D129" s="423"/>
      <c r="E129" s="423"/>
      <c r="F129" s="423"/>
      <c r="G129" s="423"/>
    </row>
    <row r="130" spans="1:7" ht="24" hidden="1" customHeight="1">
      <c r="A130" s="618"/>
      <c r="B130" s="620"/>
      <c r="C130" s="622"/>
      <c r="D130" s="46" t="str">
        <f>IF(D129&gt;0,TRUNC($C$129*D129,2),"")</f>
        <v/>
      </c>
      <c r="E130" s="46" t="str">
        <f t="shared" ref="E130:G130" si="21">IF(E129&gt;0,TRUNC($C$129*E129,2),"")</f>
        <v/>
      </c>
      <c r="F130" s="46" t="str">
        <f t="shared" si="21"/>
        <v/>
      </c>
      <c r="G130" s="46" t="str">
        <f t="shared" si="21"/>
        <v/>
      </c>
    </row>
    <row r="131" spans="1:7" ht="24" hidden="1" customHeight="1">
      <c r="A131" s="617" t="s">
        <v>504</v>
      </c>
      <c r="B131" s="619" t="str">
        <f>_xlfn.XLOOKUP(A131,'PLANILHA ORCAMENTARIA'!$A$12:$A$72,'PLANILHA ORCAMENTARIA'!$C$12:$C$72)</f>
        <v>SOLEIRA EM GRANITO, LARGURA 25 CM, ESPESSURA 2,0 CM FORNECIMENTO E INSTALAÇÃO (GRUPO A - CARRO 3)</v>
      </c>
      <c r="C131" s="621">
        <f>_xlfn.XLOOKUP(A131,'PLANILHA ORCAMENTARIA'!$A$12:$A$72,'PLANILHA ORCAMENTARIA'!$J$12:$J$72)</f>
        <v>790.12</v>
      </c>
      <c r="D131" s="423"/>
      <c r="E131" s="423"/>
      <c r="F131" s="423"/>
      <c r="G131" s="423"/>
    </row>
    <row r="132" spans="1:7" ht="24" hidden="1" customHeight="1">
      <c r="A132" s="618"/>
      <c r="B132" s="620"/>
      <c r="C132" s="622"/>
      <c r="D132" s="46" t="str">
        <f>IF(D131&gt;0,TRUNC($C$131*D131,2),"")</f>
        <v/>
      </c>
      <c r="E132" s="46" t="str">
        <f t="shared" ref="E132:G132" si="22">IF(E131&gt;0,TRUNC($C$131*E131,2),"")</f>
        <v/>
      </c>
      <c r="F132" s="46" t="str">
        <f t="shared" si="22"/>
        <v/>
      </c>
      <c r="G132" s="46" t="str">
        <f t="shared" si="22"/>
        <v/>
      </c>
    </row>
    <row r="133" spans="1:7" ht="24" hidden="1" customHeight="1">
      <c r="A133" s="617" t="s">
        <v>505</v>
      </c>
      <c r="B133" s="619" t="str">
        <f>_xlfn.XLOOKUP(A133,'PLANILHA ORCAMENTARIA'!$A$12:$A$72,'PLANILHA ORCAMENTARIA'!$C$12:$C$72)</f>
        <v>SOLEIRA EM GRANITO, LARGURA 25 CM, ESPESSURA 2,0 CM FORNECIMENTO E INSTALAÇÃO (GRUPO B)</v>
      </c>
      <c r="C133" s="621">
        <f>_xlfn.XLOOKUP(A133,'PLANILHA ORCAMENTARIA'!$A$12:$A$72,'PLANILHA ORCAMENTARIA'!$J$12:$J$72)</f>
        <v>948.14</v>
      </c>
      <c r="D133" s="423"/>
      <c r="E133" s="423"/>
      <c r="F133" s="423"/>
      <c r="G133" s="423"/>
    </row>
    <row r="134" spans="1:7" ht="24" hidden="1" customHeight="1">
      <c r="A134" s="618"/>
      <c r="B134" s="620"/>
      <c r="C134" s="622"/>
      <c r="D134" s="46" t="str">
        <f>IF(D133&gt;0,TRUNC($C$133*D133,2),"")</f>
        <v/>
      </c>
      <c r="E134" s="46" t="str">
        <f t="shared" ref="E134:G134" si="23">IF(E133&gt;0,TRUNC($C$133*E133,2),"")</f>
        <v/>
      </c>
      <c r="F134" s="46" t="str">
        <f t="shared" si="23"/>
        <v/>
      </c>
      <c r="G134" s="46" t="str">
        <f t="shared" si="23"/>
        <v/>
      </c>
    </row>
    <row r="135" spans="1:7" ht="24" hidden="1" customHeight="1">
      <c r="A135" s="617">
        <v>5</v>
      </c>
      <c r="B135" s="619" t="str">
        <f>_xlfn.XLOOKUP(A135,'PLANILHA ORCAMENTARIA'!$A$12:$A$72,'PLANILHA ORCAMENTARIA'!$C$12:$C$72)</f>
        <v>FORNECIMENTO DE EQUIPAMENTOS</v>
      </c>
      <c r="C135" s="621"/>
      <c r="D135" s="423"/>
      <c r="E135" s="423"/>
      <c r="F135" s="423"/>
      <c r="G135" s="423"/>
    </row>
    <row r="136" spans="1:7" ht="24" hidden="1" customHeight="1">
      <c r="A136" s="618"/>
      <c r="B136" s="620"/>
      <c r="C136" s="622"/>
      <c r="D136" s="46"/>
      <c r="E136" s="46"/>
      <c r="F136" s="46"/>
      <c r="G136" s="46"/>
    </row>
    <row r="137" spans="1:7" ht="24" hidden="1" customHeight="1">
      <c r="A137" s="617" t="s">
        <v>52</v>
      </c>
      <c r="B137" s="619" t="str">
        <f>_xlfn.XLOOKUP(A137,'PLANILHA ORCAMENTARIA'!$A$12:$A$72,'PLANILHA ORCAMENTARIA'!$C$12:$C$72)</f>
        <v>FORNECIMENTO DE ELEVADOR COMERCIAL- 5 PARADAS - 1,00M/S - CAP. 10/11 PASSAGEIROS</v>
      </c>
      <c r="C137" s="621">
        <f>_xlfn.XLOOKUP(A137,'PLANILHA ORCAMENTARIA'!$A$12:$A$72,'PLANILHA ORCAMENTARIA'!$J$12:$J$72)</f>
        <v>691121.46</v>
      </c>
      <c r="D137" s="423">
        <v>0.11</v>
      </c>
      <c r="E137" s="423">
        <v>0.11</v>
      </c>
      <c r="F137" s="423">
        <v>0.11</v>
      </c>
      <c r="G137" s="423">
        <v>0.11</v>
      </c>
    </row>
    <row r="138" spans="1:7" ht="24" hidden="1" customHeight="1">
      <c r="A138" s="618"/>
      <c r="B138" s="620"/>
      <c r="C138" s="622"/>
      <c r="D138" s="46">
        <f>IF(D137&gt;0,TRUNC($C$137*D137,2),"")</f>
        <v>76023.360000000001</v>
      </c>
      <c r="E138" s="46">
        <f t="shared" ref="E138:G138" si="24">IF(E137&gt;0,TRUNC($C$137*E137,2),"")</f>
        <v>76023.360000000001</v>
      </c>
      <c r="F138" s="46">
        <f t="shared" si="24"/>
        <v>76023.360000000001</v>
      </c>
      <c r="G138" s="46">
        <f t="shared" si="24"/>
        <v>76023.360000000001</v>
      </c>
    </row>
    <row r="139" spans="1:7" ht="24" hidden="1" customHeight="1">
      <c r="A139" s="617" t="s">
        <v>53</v>
      </c>
      <c r="B139" s="619" t="str">
        <f>_xlfn.XLOOKUP(A139,'PLANILHA ORCAMENTARIA'!$A$12:$A$72,'PLANILHA ORCAMENTARIA'!$C$12:$C$72)</f>
        <v>FORNECIMENTO DE ELEVADOR COMERCIAL- 6 PARADAS - 1,00M/S - CAP. 10/11 PASSAGEIROS</v>
      </c>
      <c r="C139" s="621">
        <f>_xlfn.XLOOKUP(A139,'PLANILHA ORCAMENTARIA'!$A$12:$A$72,'PLANILHA ORCAMENTARIA'!$J$12:$J$72)</f>
        <v>276448.59000000003</v>
      </c>
      <c r="D139" s="423">
        <v>0.11</v>
      </c>
      <c r="E139" s="423">
        <v>0.11</v>
      </c>
      <c r="F139" s="423">
        <v>0.11</v>
      </c>
      <c r="G139" s="423">
        <v>0.11</v>
      </c>
    </row>
    <row r="140" spans="1:7" ht="24" hidden="1" customHeight="1">
      <c r="A140" s="618"/>
      <c r="B140" s="620"/>
      <c r="C140" s="622"/>
      <c r="D140" s="46">
        <f>IF(D139&gt;0,TRUNC($C$139*D139,2),"")</f>
        <v>30409.34</v>
      </c>
      <c r="E140" s="46">
        <f t="shared" ref="E140:G140" si="25">IF(E139&gt;0,TRUNC($C$139*E139,2),"")</f>
        <v>30409.34</v>
      </c>
      <c r="F140" s="46">
        <f t="shared" si="25"/>
        <v>30409.34</v>
      </c>
      <c r="G140" s="46">
        <f t="shared" si="25"/>
        <v>30409.34</v>
      </c>
    </row>
    <row r="141" spans="1:7" ht="24" hidden="1" customHeight="1">
      <c r="A141" s="617">
        <v>6</v>
      </c>
      <c r="B141" s="619" t="str">
        <f>_xlfn.XLOOKUP(A141,'PLANILHA ORCAMENTARIA'!$A$12:$A$72,'PLANILHA ORCAMENTARIA'!$C$12:$C$72)</f>
        <v>SERVIÇOS DE INSTALAÇÃO DE EQUIPAMENTOS</v>
      </c>
      <c r="C141" s="621"/>
      <c r="D141" s="423"/>
      <c r="E141" s="423"/>
      <c r="F141" s="423"/>
      <c r="G141" s="423"/>
    </row>
    <row r="142" spans="1:7" ht="24" hidden="1" customHeight="1">
      <c r="A142" s="618"/>
      <c r="B142" s="620"/>
      <c r="C142" s="622"/>
      <c r="D142" s="46"/>
      <c r="E142" s="46"/>
      <c r="F142" s="46"/>
      <c r="G142" s="46"/>
    </row>
    <row r="143" spans="1:7" ht="24" hidden="1" customHeight="1">
      <c r="A143" s="617" t="s">
        <v>733</v>
      </c>
      <c r="B143" s="619" t="str">
        <f>_xlfn.XLOOKUP(A143,'PLANILHA ORCAMENTARIA'!$A$12:$A$72,'PLANILHA ORCAMENTARIA'!$C$12:$C$72)</f>
        <v>SERVIÇO DE INSTALAÇÃO DE ELEVADOR COMERCIAL- 5 PARADAS - 1,00M/S - CAP. 10/11 PASSAGEIROS</v>
      </c>
      <c r="C143" s="621">
        <f>_xlfn.XLOOKUP(A143,'PLANILHA ORCAMENTARIA'!$A$12:$A$72,'PLANILHA ORCAMENTARIA'!$J$12:$J$72)</f>
        <v>168373.02</v>
      </c>
      <c r="D143" s="423"/>
      <c r="E143" s="423"/>
      <c r="F143" s="423"/>
      <c r="G143" s="423"/>
    </row>
    <row r="144" spans="1:7" ht="24" hidden="1" customHeight="1">
      <c r="A144" s="618"/>
      <c r="B144" s="620"/>
      <c r="C144" s="622"/>
      <c r="D144" s="46" t="str">
        <f>IF(D143&gt;0,TRUNC($C$143*D143,2),"")</f>
        <v/>
      </c>
      <c r="E144" s="46" t="str">
        <f t="shared" ref="E144:G144" si="26">IF(E143&gt;0,TRUNC($C$143*E143,2),"")</f>
        <v/>
      </c>
      <c r="F144" s="46" t="str">
        <f t="shared" si="26"/>
        <v/>
      </c>
      <c r="G144" s="46" t="str">
        <f t="shared" si="26"/>
        <v/>
      </c>
    </row>
    <row r="145" spans="1:7" ht="24" hidden="1" customHeight="1">
      <c r="A145" s="617" t="s">
        <v>734</v>
      </c>
      <c r="B145" s="619" t="str">
        <f>_xlfn.XLOOKUP(A145,'PLANILHA ORCAMENTARIA'!$A$12:$A$72,'PLANILHA ORCAMENTARIA'!$C$12:$C$72)</f>
        <v>SERVIÇO DE INSTALAÇÃO DE ELEVADOR COMERCIAL- 6 PARADAS - 1,00M/S - CAP. 10/11 PASSAGEIROS</v>
      </c>
      <c r="C145" s="621">
        <f>_xlfn.XLOOKUP(A145,'PLANILHA ORCAMENTARIA'!$A$12:$A$72,'PLANILHA ORCAMENTARIA'!$J$12:$J$72)</f>
        <v>67349.22</v>
      </c>
      <c r="D145" s="423"/>
      <c r="E145" s="423"/>
      <c r="F145" s="423"/>
      <c r="G145" s="423"/>
    </row>
    <row r="146" spans="1:7" ht="24" hidden="1" customHeight="1">
      <c r="A146" s="618"/>
      <c r="B146" s="620"/>
      <c r="C146" s="622"/>
      <c r="D146" s="46" t="str">
        <f>IF(D145&gt;0,TRUNC($C$145*D145,2),"")</f>
        <v/>
      </c>
      <c r="E146" s="46" t="str">
        <f t="shared" ref="E146:G146" si="27">IF(E145&gt;0,TRUNC($C$145*E145,2),"")</f>
        <v/>
      </c>
      <c r="F146" s="46" t="str">
        <f t="shared" si="27"/>
        <v/>
      </c>
      <c r="G146" s="46" t="str">
        <f t="shared" si="27"/>
        <v/>
      </c>
    </row>
    <row r="147" spans="1:7" ht="24" hidden="1" customHeight="1">
      <c r="A147" s="617">
        <v>7</v>
      </c>
      <c r="B147" s="619" t="str">
        <f>_xlfn.XLOOKUP(A147,'PLANILHA ORCAMENTARIA'!$A$12:$A$72,'PLANILHA ORCAMENTARIA'!$C$12:$C$72)</f>
        <v>OUTROS SERVIÇOS</v>
      </c>
      <c r="C147" s="621"/>
      <c r="D147" s="423"/>
      <c r="E147" s="423"/>
      <c r="F147" s="423"/>
      <c r="G147" s="423"/>
    </row>
    <row r="148" spans="1:7" ht="24" hidden="1" customHeight="1">
      <c r="A148" s="618"/>
      <c r="B148" s="620"/>
      <c r="C148" s="622"/>
      <c r="D148" s="46"/>
      <c r="E148" s="46"/>
      <c r="F148" s="46"/>
      <c r="G148" s="46"/>
    </row>
    <row r="149" spans="1:7" ht="24" hidden="1" customHeight="1">
      <c r="A149" s="617" t="s">
        <v>60</v>
      </c>
      <c r="B149" s="619" t="str">
        <f>_xlfn.XLOOKUP(A149,'PLANILHA ORCAMENTARIA'!$A$12:$A$72,'PLANILHA ORCAMENTARIA'!$C$12:$C$72)</f>
        <v>DISJUNTOR TRIPOLAR TIPO DIN, CORRENTE NOMINAL DE 20A - FORNECIMENTO E INSTALAÇÃO. AF_10/2020</v>
      </c>
      <c r="C149" s="621">
        <f>_xlfn.XLOOKUP(A149,'PLANILHA ORCAMENTARIA'!$A$12:$A$72,'PLANILHA ORCAMENTARIA'!$J$12:$J$72)</f>
        <v>333.48</v>
      </c>
      <c r="D149" s="423"/>
      <c r="E149" s="423"/>
      <c r="F149" s="423"/>
      <c r="G149" s="423"/>
    </row>
    <row r="150" spans="1:7" ht="24" hidden="1" customHeight="1">
      <c r="A150" s="618"/>
      <c r="B150" s="620"/>
      <c r="C150" s="622"/>
      <c r="D150" s="46" t="str">
        <f>IF(D149&gt;0,TRUNC($C$149*D149,2),"")</f>
        <v/>
      </c>
      <c r="E150" s="46" t="str">
        <f t="shared" ref="E150:G150" si="28">IF(E149&gt;0,TRUNC($C$149*E149,2),"")</f>
        <v/>
      </c>
      <c r="F150" s="46" t="str">
        <f t="shared" si="28"/>
        <v/>
      </c>
      <c r="G150" s="46" t="str">
        <f t="shared" si="28"/>
        <v/>
      </c>
    </row>
    <row r="151" spans="1:7" ht="24" hidden="1" customHeight="1">
      <c r="A151" s="617" t="s">
        <v>61</v>
      </c>
      <c r="B151" s="619" t="str">
        <f>_xlfn.XLOOKUP(A151,'PLANILHA ORCAMENTARIA'!$A$12:$A$72,'PLANILHA ORCAMENTARIA'!$C$12:$C$72)</f>
        <v>LUMINÁRIA ARANDELA TIPO TARTARUGA, DE SOBREPOR, COM 1 LÂMPADA LED DE 6 W, SEM REATOR - FORNECIMENTO E INSTALAÇÃO. AF_09/2024 (GRUPO A - CARRO 1)</v>
      </c>
      <c r="C151" s="621">
        <f>_xlfn.XLOOKUP(A151,'PLANILHA ORCAMENTARIA'!$A$12:$A$72,'PLANILHA ORCAMENTARIA'!$J$12:$J$72)</f>
        <v>764.52</v>
      </c>
      <c r="D151" s="423"/>
      <c r="E151" s="423"/>
      <c r="F151" s="423"/>
      <c r="G151" s="423"/>
    </row>
    <row r="152" spans="1:7" ht="24" hidden="1" customHeight="1">
      <c r="A152" s="618"/>
      <c r="B152" s="620"/>
      <c r="C152" s="622"/>
      <c r="D152" s="46" t="str">
        <f>IF(D151&gt;0,TRUNC($C$151*D151,2),"")</f>
        <v/>
      </c>
      <c r="E152" s="46" t="str">
        <f t="shared" ref="E152:G152" si="29">IF(E151&gt;0,TRUNC($C$151*E151,2),"")</f>
        <v/>
      </c>
      <c r="F152" s="46" t="str">
        <f t="shared" si="29"/>
        <v/>
      </c>
      <c r="G152" s="46" t="str">
        <f t="shared" si="29"/>
        <v/>
      </c>
    </row>
    <row r="153" spans="1:7" ht="24" hidden="1" customHeight="1">
      <c r="A153" s="617" t="s">
        <v>62</v>
      </c>
      <c r="B153" s="619" t="str">
        <f>_xlfn.XLOOKUP(A153,'PLANILHA ORCAMENTARIA'!$A$12:$A$72,'PLANILHA ORCAMENTARIA'!$C$12:$C$72)</f>
        <v>LUMINÁRIA ARANDELA TIPO TARTARUGA, DE SOBREPOR, COM 1 LÂMPADA LED DE 6 W, SEM REATOR - FORNECIMENTO E INSTALAÇÃO. AF_09/2024 (GRUPO A - CARRO 2)</v>
      </c>
      <c r="C153" s="621">
        <f>_xlfn.XLOOKUP(A153,'PLANILHA ORCAMENTARIA'!$A$12:$A$72,'PLANILHA ORCAMENTARIA'!$J$12:$J$72)</f>
        <v>764.52</v>
      </c>
      <c r="D153" s="423"/>
      <c r="E153" s="423"/>
      <c r="F153" s="423"/>
      <c r="G153" s="423"/>
    </row>
    <row r="154" spans="1:7" ht="24" hidden="1" customHeight="1">
      <c r="A154" s="618"/>
      <c r="B154" s="620"/>
      <c r="C154" s="622"/>
      <c r="D154" s="46" t="str">
        <f>IF(D153&gt;0,TRUNC($C$153*D153,2),"")</f>
        <v/>
      </c>
      <c r="E154" s="46" t="str">
        <f t="shared" ref="E154:G154" si="30">IF(E153&gt;0,TRUNC($C$153*E153,2),"")</f>
        <v/>
      </c>
      <c r="F154" s="46" t="str">
        <f t="shared" si="30"/>
        <v/>
      </c>
      <c r="G154" s="46" t="str">
        <f t="shared" si="30"/>
        <v/>
      </c>
    </row>
    <row r="155" spans="1:7" ht="24" hidden="1" customHeight="1">
      <c r="A155" s="617" t="s">
        <v>516</v>
      </c>
      <c r="B155" s="619" t="str">
        <f>_xlfn.XLOOKUP(A155,'PLANILHA ORCAMENTARIA'!$A$12:$A$72,'PLANILHA ORCAMENTARIA'!$C$12:$C$72)</f>
        <v>LUMINÁRIA ARANDELA TIPO TARTARUGA, DE SOBREPOR, COM 1 LÂMPADA LED DE 6 W, SEM REATOR - FORNECIMENTO E INSTALAÇÃO. AF_09/2024 (GRUPO A - CARRO 3)</v>
      </c>
      <c r="C155" s="621">
        <f>_xlfn.XLOOKUP(A155,'PLANILHA ORCAMENTARIA'!$A$12:$A$72,'PLANILHA ORCAMENTARIA'!$J$12:$J$72)</f>
        <v>764.52</v>
      </c>
      <c r="D155" s="423"/>
      <c r="E155" s="423"/>
      <c r="F155" s="423"/>
      <c r="G155" s="423"/>
    </row>
    <row r="156" spans="1:7" ht="24" hidden="1" customHeight="1">
      <c r="A156" s="618"/>
      <c r="B156" s="620"/>
      <c r="C156" s="622"/>
      <c r="D156" s="46" t="str">
        <f>IF(D155&gt;0,TRUNC($C$155*D155,2),"")</f>
        <v/>
      </c>
      <c r="E156" s="46" t="str">
        <f t="shared" ref="E156:G156" si="31">IF(E155&gt;0,TRUNC($C$155*E155,2),"")</f>
        <v/>
      </c>
      <c r="F156" s="46" t="str">
        <f t="shared" si="31"/>
        <v/>
      </c>
      <c r="G156" s="46" t="str">
        <f t="shared" si="31"/>
        <v/>
      </c>
    </row>
    <row r="157" spans="1:7" ht="24" hidden="1" customHeight="1">
      <c r="A157" s="617" t="s">
        <v>517</v>
      </c>
      <c r="B157" s="619" t="str">
        <f>_xlfn.XLOOKUP(A157,'PLANILHA ORCAMENTARIA'!$A$12:$A$72,'PLANILHA ORCAMENTARIA'!$C$12:$C$72)</f>
        <v>LUMINÁRIA ARANDELA TIPO TARTARUGA, DE SOBREPOR, COM 1 LÂMPADA LED DE 6 W, SEM REATOR - FORNECIMENTO E INSTALAÇÃO. AF_09/2024 (GRUPO B)</v>
      </c>
      <c r="C157" s="621">
        <f>_xlfn.XLOOKUP(A157,'PLANILHA ORCAMENTARIA'!$A$12:$A$72,'PLANILHA ORCAMENTARIA'!$J$12:$J$72)</f>
        <v>891.94</v>
      </c>
      <c r="D157" s="423"/>
      <c r="E157" s="423"/>
      <c r="F157" s="423"/>
      <c r="G157" s="423"/>
    </row>
    <row r="158" spans="1:7" ht="24" hidden="1" customHeight="1">
      <c r="A158" s="618"/>
      <c r="B158" s="620"/>
      <c r="C158" s="622"/>
      <c r="D158" s="46" t="str">
        <f>IF(D157&gt;0,TRUNC($C$157*D157,2),"")</f>
        <v/>
      </c>
      <c r="E158" s="46" t="str">
        <f t="shared" ref="E158:G158" si="32">IF(E157&gt;0,TRUNC($C$157*E157,2),"")</f>
        <v/>
      </c>
      <c r="F158" s="46" t="str">
        <f t="shared" si="32"/>
        <v/>
      </c>
      <c r="G158" s="46" t="str">
        <f t="shared" si="32"/>
        <v/>
      </c>
    </row>
    <row r="159" spans="1:7" ht="24" hidden="1" customHeight="1">
      <c r="A159" s="617" t="s">
        <v>518</v>
      </c>
      <c r="B159" s="619" t="str">
        <f>_xlfn.XLOOKUP(A159,'PLANILHA ORCAMENTARIA'!$A$12:$A$72,'PLANILHA ORCAMENTARIA'!$C$12:$C$72)</f>
        <v>ELETRODUTO RÍGIDO SOLDÁVEL, PVC, DN 32 MM (1"), APARENTE - FORNECIMENTO E INSTALAÇÃO. AF_10/2022_PA (GRUPO A - CARRO 1)</v>
      </c>
      <c r="C159" s="621">
        <f>_xlfn.XLOOKUP(A159,'PLANILHA ORCAMENTARIA'!$A$12:$A$72,'PLANILHA ORCAMENTARIA'!$J$12:$J$72)</f>
        <v>678.88</v>
      </c>
      <c r="D159" s="423"/>
      <c r="E159" s="423"/>
      <c r="F159" s="423"/>
      <c r="G159" s="423"/>
    </row>
    <row r="160" spans="1:7" ht="24" hidden="1" customHeight="1">
      <c r="A160" s="618"/>
      <c r="B160" s="620"/>
      <c r="C160" s="622"/>
      <c r="D160" s="46" t="str">
        <f>IF(D159&gt;0,TRUNC($C$159*D159,2),"")</f>
        <v/>
      </c>
      <c r="E160" s="46" t="str">
        <f t="shared" ref="E160:G160" si="33">IF(E159&gt;0,TRUNC($C$159*E159,2),"")</f>
        <v/>
      </c>
      <c r="F160" s="46" t="str">
        <f t="shared" si="33"/>
        <v/>
      </c>
      <c r="G160" s="46" t="str">
        <f t="shared" si="33"/>
        <v/>
      </c>
    </row>
    <row r="161" spans="1:7" ht="24" hidden="1" customHeight="1">
      <c r="A161" s="617" t="s">
        <v>519</v>
      </c>
      <c r="B161" s="619" t="str">
        <f>_xlfn.XLOOKUP(A161,'PLANILHA ORCAMENTARIA'!$A$12:$A$72,'PLANILHA ORCAMENTARIA'!$C$12:$C$72)</f>
        <v>ELETRODUTO RÍGIDO SOLDÁVEL, PVC, DN 32 MM (1"), APARENTE - FORNECIMENTO E INSTALAÇÃO. AF_10/2022_PA (GRUPO A - CARRO 2)</v>
      </c>
      <c r="C161" s="621">
        <f>_xlfn.XLOOKUP(A161,'PLANILHA ORCAMENTARIA'!$A$12:$A$72,'PLANILHA ORCAMENTARIA'!$J$12:$J$72)</f>
        <v>678.88</v>
      </c>
      <c r="D161" s="423"/>
      <c r="E161" s="423"/>
      <c r="F161" s="423"/>
      <c r="G161" s="423"/>
    </row>
    <row r="162" spans="1:7" ht="24" hidden="1" customHeight="1">
      <c r="A162" s="618"/>
      <c r="B162" s="620"/>
      <c r="C162" s="622"/>
      <c r="D162" s="46" t="str">
        <f>IF(D161&gt;0,TRUNC($C$161*D161,2),"")</f>
        <v/>
      </c>
      <c r="E162" s="46" t="str">
        <f t="shared" ref="E162:G162" si="34">IF(E161&gt;0,TRUNC($C$161*E161,2),"")</f>
        <v/>
      </c>
      <c r="F162" s="46" t="str">
        <f t="shared" si="34"/>
        <v/>
      </c>
      <c r="G162" s="46" t="str">
        <f t="shared" si="34"/>
        <v/>
      </c>
    </row>
    <row r="163" spans="1:7" ht="24" hidden="1" customHeight="1">
      <c r="A163" s="617" t="s">
        <v>520</v>
      </c>
      <c r="B163" s="619" t="str">
        <f>_xlfn.XLOOKUP(A163,'PLANILHA ORCAMENTARIA'!$A$12:$A$72,'PLANILHA ORCAMENTARIA'!$C$12:$C$72)</f>
        <v>ELETRODUTO RÍGIDO SOLDÁVEL, PVC, DN 32 MM (1"), APARENTE - FORNECIMENTO E INSTALAÇÃO. AF_10/2022_PA (GRUPO A - CARRO 3)</v>
      </c>
      <c r="C163" s="621">
        <f>_xlfn.XLOOKUP(A163,'PLANILHA ORCAMENTARIA'!$A$12:$A$72,'PLANILHA ORCAMENTARIA'!$J$12:$J$72)</f>
        <v>678.88</v>
      </c>
      <c r="D163" s="423"/>
      <c r="E163" s="423"/>
      <c r="F163" s="423"/>
      <c r="G163" s="423"/>
    </row>
    <row r="164" spans="1:7" ht="24" hidden="1" customHeight="1">
      <c r="A164" s="618"/>
      <c r="B164" s="620"/>
      <c r="C164" s="622"/>
      <c r="D164" s="46" t="str">
        <f>IF(D163&gt;0,TRUNC($C$163*D163,2),"")</f>
        <v/>
      </c>
      <c r="E164" s="46" t="str">
        <f t="shared" ref="E164:G164" si="35">IF(E163&gt;0,TRUNC($C$163*E163,2),"")</f>
        <v/>
      </c>
      <c r="F164" s="46" t="str">
        <f t="shared" si="35"/>
        <v/>
      </c>
      <c r="G164" s="46" t="str">
        <f t="shared" si="35"/>
        <v/>
      </c>
    </row>
    <row r="165" spans="1:7" ht="24" hidden="1" customHeight="1">
      <c r="A165" s="617" t="s">
        <v>521</v>
      </c>
      <c r="B165" s="619" t="str">
        <f>_xlfn.XLOOKUP(A165,'PLANILHA ORCAMENTARIA'!$A$12:$A$72,'PLANILHA ORCAMENTARIA'!$C$12:$C$72)</f>
        <v>ELETRODUTO RÍGIDO SOLDÁVEL, PVC, DN 32 MM (1"), APARENTE - FORNECIMENTO E INSTALAÇÃO. AF_10/2022_PA (GRUPO B)</v>
      </c>
      <c r="C165" s="621">
        <f>_xlfn.XLOOKUP(A165,'PLANILHA ORCAMENTARIA'!$A$12:$A$72,'PLANILHA ORCAMENTARIA'!$J$12:$J$72)</f>
        <v>858.81</v>
      </c>
      <c r="D165" s="423"/>
      <c r="E165" s="423"/>
      <c r="F165" s="423"/>
      <c r="G165" s="423"/>
    </row>
    <row r="166" spans="1:7" ht="24" hidden="1" customHeight="1">
      <c r="A166" s="618"/>
      <c r="B166" s="620"/>
      <c r="C166" s="622"/>
      <c r="D166" s="46" t="str">
        <f>IF(D165&gt;0,TRUNC($C$165*D165,2),"")</f>
        <v/>
      </c>
      <c r="E166" s="46" t="str">
        <f t="shared" ref="E166:G166" si="36">IF(E165&gt;0,TRUNC($C$165*E165,2),"")</f>
        <v/>
      </c>
      <c r="F166" s="46" t="str">
        <f t="shared" si="36"/>
        <v/>
      </c>
      <c r="G166" s="46" t="str">
        <f t="shared" si="36"/>
        <v/>
      </c>
    </row>
    <row r="167" spans="1:7" ht="24" hidden="1" customHeight="1">
      <c r="A167" s="617" t="s">
        <v>522</v>
      </c>
      <c r="B167" s="619" t="str">
        <f>_xlfn.XLOOKUP(A167,'PLANILHA ORCAMENTARIA'!$A$12:$A$72,'PLANILHA ORCAMENTARIA'!$C$12:$C$72)</f>
        <v>CONDULETE DE PVC, TIPO C, PARA ELETRODUTO DE PVC SOLDÁVEL DN 32 MM (1''), APARENTE - FORNECIMENTO E INSTALAÇÃO. AF_10/2022 (GRUPO A - CARRO 1)</v>
      </c>
      <c r="C167" s="621">
        <f>_xlfn.XLOOKUP(A167,'PLANILHA ORCAMENTARIA'!$A$12:$A$72,'PLANILHA ORCAMENTARIA'!$J$12:$J$72)</f>
        <v>240.72</v>
      </c>
      <c r="D167" s="423"/>
      <c r="E167" s="423"/>
      <c r="F167" s="423"/>
      <c r="G167" s="423"/>
    </row>
    <row r="168" spans="1:7" ht="24" hidden="1" customHeight="1">
      <c r="A168" s="618"/>
      <c r="B168" s="620"/>
      <c r="C168" s="622"/>
      <c r="D168" s="46" t="str">
        <f>IF(D167&gt;0,TRUNC($C$167*D167,2),"")</f>
        <v/>
      </c>
      <c r="E168" s="46" t="str">
        <f t="shared" ref="E168:G168" si="37">IF(E167&gt;0,TRUNC($C$167*E167,2),"")</f>
        <v/>
      </c>
      <c r="F168" s="46" t="str">
        <f t="shared" si="37"/>
        <v/>
      </c>
      <c r="G168" s="46" t="str">
        <f t="shared" si="37"/>
        <v/>
      </c>
    </row>
    <row r="169" spans="1:7" ht="24" hidden="1" customHeight="1">
      <c r="A169" s="617" t="s">
        <v>523</v>
      </c>
      <c r="B169" s="619" t="str">
        <f>_xlfn.XLOOKUP(A169,'PLANILHA ORCAMENTARIA'!$A$12:$A$72,'PLANILHA ORCAMENTARIA'!$C$12:$C$72)</f>
        <v>CONDULETE DE PVC, TIPO C, PARA ELETRODUTO DE PVC SOLDÁVEL DN 32 MM (1''), APARENTE - FORNECIMENTO E INSTALAÇÃO. AF_10/2022 (GRUPO A - CARRO 2)</v>
      </c>
      <c r="C169" s="621">
        <f>_xlfn.XLOOKUP(A169,'PLANILHA ORCAMENTARIA'!$A$12:$A$72,'PLANILHA ORCAMENTARIA'!$J$12:$J$72)</f>
        <v>240.72</v>
      </c>
      <c r="D169" s="423"/>
      <c r="E169" s="423"/>
      <c r="F169" s="423"/>
      <c r="G169" s="423"/>
    </row>
    <row r="170" spans="1:7" ht="24" hidden="1" customHeight="1">
      <c r="A170" s="618"/>
      <c r="B170" s="620"/>
      <c r="C170" s="622"/>
      <c r="D170" s="46" t="str">
        <f>IF(D169&gt;0,TRUNC($C$169*D169,2),"")</f>
        <v/>
      </c>
      <c r="E170" s="46" t="str">
        <f t="shared" ref="E170:G170" si="38">IF(E169&gt;0,TRUNC($C$169*E169,2),"")</f>
        <v/>
      </c>
      <c r="F170" s="46" t="str">
        <f t="shared" si="38"/>
        <v/>
      </c>
      <c r="G170" s="46" t="str">
        <f t="shared" si="38"/>
        <v/>
      </c>
    </row>
    <row r="171" spans="1:7" ht="24" hidden="1" customHeight="1">
      <c r="A171" s="617" t="s">
        <v>524</v>
      </c>
      <c r="B171" s="619" t="str">
        <f>_xlfn.XLOOKUP(A171,'PLANILHA ORCAMENTARIA'!$A$12:$A$72,'PLANILHA ORCAMENTARIA'!$C$12:$C$72)</f>
        <v>CONDULETE DE PVC, TIPO C, PARA ELETRODUTO DE PVC SOLDÁVEL DN 32 MM (1''), APARENTE - FORNECIMENTO E INSTALAÇÃO. AF_10/2022 (GRUPO A - CARRO 3)</v>
      </c>
      <c r="C171" s="621">
        <f>_xlfn.XLOOKUP(A171,'PLANILHA ORCAMENTARIA'!$A$12:$A$72,'PLANILHA ORCAMENTARIA'!$J$12:$J$72)</f>
        <v>240.72</v>
      </c>
      <c r="D171" s="423"/>
      <c r="E171" s="423"/>
      <c r="F171" s="423"/>
      <c r="G171" s="423"/>
    </row>
    <row r="172" spans="1:7" ht="24" hidden="1" customHeight="1">
      <c r="A172" s="618"/>
      <c r="B172" s="620"/>
      <c r="C172" s="622"/>
      <c r="D172" s="46" t="str">
        <f>IF(D171&gt;0,TRUNC($C$171*D171,2),"")</f>
        <v/>
      </c>
      <c r="E172" s="46" t="str">
        <f t="shared" ref="E172:G172" si="39">IF(E171&gt;0,TRUNC($C$171*E171,2),"")</f>
        <v/>
      </c>
      <c r="F172" s="46" t="str">
        <f t="shared" si="39"/>
        <v/>
      </c>
      <c r="G172" s="46" t="str">
        <f t="shared" si="39"/>
        <v/>
      </c>
    </row>
    <row r="173" spans="1:7" ht="24" hidden="1" customHeight="1">
      <c r="A173" s="617" t="s">
        <v>525</v>
      </c>
      <c r="B173" s="619" t="str">
        <f>_xlfn.XLOOKUP(A173,'PLANILHA ORCAMENTARIA'!$A$12:$A$72,'PLANILHA ORCAMENTARIA'!$C$12:$C$72)</f>
        <v>CONDULETE DE PVC, TIPO C, PARA ELETRODUTO DE PVC SOLDÁVEL DN 32 MM (1''), APARENTE - FORNECIMENTO E INSTALAÇÃO. AF_10/2022 (GRUPO B)</v>
      </c>
      <c r="C173" s="621">
        <f>_xlfn.XLOOKUP(A173,'PLANILHA ORCAMENTARIA'!$A$12:$A$72,'PLANILHA ORCAMENTARIA'!$J$12:$J$72)</f>
        <v>270.81</v>
      </c>
      <c r="D173" s="423"/>
      <c r="E173" s="423"/>
      <c r="F173" s="423"/>
      <c r="G173" s="423"/>
    </row>
    <row r="174" spans="1:7" ht="24" hidden="1" customHeight="1">
      <c r="A174" s="618"/>
      <c r="B174" s="620"/>
      <c r="C174" s="622"/>
      <c r="D174" s="46" t="str">
        <f>IF(D173&gt;0,TRUNC($C$173*D173,2),"")</f>
        <v/>
      </c>
      <c r="E174" s="46" t="str">
        <f t="shared" ref="E174:G174" si="40">IF(E173&gt;0,TRUNC($C$173*E173,2),"")</f>
        <v/>
      </c>
      <c r="F174" s="46" t="str">
        <f t="shared" si="40"/>
        <v/>
      </c>
      <c r="G174" s="46" t="str">
        <f t="shared" si="40"/>
        <v/>
      </c>
    </row>
    <row r="175" spans="1:7" ht="24" hidden="1" customHeight="1">
      <c r="A175" s="617" t="s">
        <v>526</v>
      </c>
      <c r="B175" s="619" t="str">
        <f>_xlfn.XLOOKUP(A175,'PLANILHA ORCAMENTARIA'!$A$12:$A$72,'PLANILHA ORCAMENTARIA'!$C$12:$C$72)</f>
        <v>CABO DE COBRE FLEXÍVEL ISOLADO, 2,5 MM², ANTI-CHAMA 0,6/1,0 KV, PARA CIRCUITOS TERMINAIS - FORNECIMENTO E INSTALAÇÃO. AF_03/2023 (GRUPO A - CARRO 1)</v>
      </c>
      <c r="C175" s="621">
        <f>_xlfn.XLOOKUP(A175,'PLANILHA ORCAMENTARIA'!$A$12:$A$72,'PLANILHA ORCAMENTARIA'!$J$12:$J$72)</f>
        <v>442.26</v>
      </c>
      <c r="D175" s="423"/>
      <c r="E175" s="423"/>
      <c r="F175" s="423"/>
      <c r="G175" s="423"/>
    </row>
    <row r="176" spans="1:7" ht="24" hidden="1" customHeight="1">
      <c r="A176" s="618"/>
      <c r="B176" s="620"/>
      <c r="C176" s="622"/>
      <c r="D176" s="46" t="str">
        <f>IF(D175&gt;0,TRUNC($C$175*D175,2),"")</f>
        <v/>
      </c>
      <c r="E176" s="46" t="str">
        <f t="shared" ref="E176:G176" si="41">IF(E175&gt;0,TRUNC($C$175*E175,2),"")</f>
        <v/>
      </c>
      <c r="F176" s="46" t="str">
        <f t="shared" si="41"/>
        <v/>
      </c>
      <c r="G176" s="46" t="str">
        <f t="shared" si="41"/>
        <v/>
      </c>
    </row>
    <row r="177" spans="1:9" ht="24" hidden="1" customHeight="1">
      <c r="A177" s="617" t="s">
        <v>527</v>
      </c>
      <c r="B177" s="619" t="str">
        <f>_xlfn.XLOOKUP(A177,'PLANILHA ORCAMENTARIA'!$A$12:$A$72,'PLANILHA ORCAMENTARIA'!$C$12:$C$72)</f>
        <v>CABO DE COBRE FLEXÍVEL ISOLADO, 2,5 MM², ANTI-CHAMA 0,6/1,0 KV, PARA CIRCUITOS TERMINAIS - FORNECIMENTO E INSTALAÇÃO. AF_03/2023 (GRUPO A - CARRO 2)</v>
      </c>
      <c r="C177" s="621">
        <f>_xlfn.XLOOKUP(A177,'PLANILHA ORCAMENTARIA'!$A$12:$A$72,'PLANILHA ORCAMENTARIA'!$J$12:$J$72)</f>
        <v>442.26</v>
      </c>
      <c r="D177" s="423"/>
      <c r="E177" s="423"/>
      <c r="F177" s="423"/>
      <c r="G177" s="423"/>
    </row>
    <row r="178" spans="1:9" ht="24" hidden="1" customHeight="1">
      <c r="A178" s="618"/>
      <c r="B178" s="620"/>
      <c r="C178" s="622"/>
      <c r="D178" s="46" t="str">
        <f>IF(D177&gt;0,TRUNC($C$177*D177,2),"")</f>
        <v/>
      </c>
      <c r="E178" s="46" t="str">
        <f t="shared" ref="E178:G178" si="42">IF(E177&gt;0,TRUNC($C$177*E177,2),"")</f>
        <v/>
      </c>
      <c r="F178" s="46" t="str">
        <f t="shared" si="42"/>
        <v/>
      </c>
      <c r="G178" s="46" t="str">
        <f t="shared" si="42"/>
        <v/>
      </c>
    </row>
    <row r="179" spans="1:9" ht="24" hidden="1" customHeight="1">
      <c r="A179" s="617" t="s">
        <v>528</v>
      </c>
      <c r="B179" s="619" t="str">
        <f>_xlfn.XLOOKUP(A179,'PLANILHA ORCAMENTARIA'!$A$12:$A$72,'PLANILHA ORCAMENTARIA'!$C$12:$C$72)</f>
        <v>CABO DE COBRE FLEXÍVEL ISOLADO, 2,5 MM², ANTI-CHAMA 0,6/1,0 KV, PARA CIRCUITOS TERMINAIS - FORNECIMENTO E INSTALAÇÃO. AF_03/2023 (GRUPO A - CARRO 3)</v>
      </c>
      <c r="C179" s="621">
        <f>_xlfn.XLOOKUP(A179,'PLANILHA ORCAMENTARIA'!$A$12:$A$72,'PLANILHA ORCAMENTARIA'!$J$12:$J$72)</f>
        <v>442.26</v>
      </c>
      <c r="D179" s="423"/>
      <c r="E179" s="423"/>
      <c r="F179" s="423"/>
      <c r="G179" s="423"/>
    </row>
    <row r="180" spans="1:9" ht="24" hidden="1" customHeight="1">
      <c r="A180" s="618"/>
      <c r="B180" s="620"/>
      <c r="C180" s="622"/>
      <c r="D180" s="46" t="str">
        <f>IF(D179&gt;0,TRUNC($C$179*D179,2),"")</f>
        <v/>
      </c>
      <c r="E180" s="46" t="str">
        <f t="shared" ref="E180:G180" si="43">IF(E179&gt;0,TRUNC($C$179*E179,2),"")</f>
        <v/>
      </c>
      <c r="F180" s="46" t="str">
        <f t="shared" si="43"/>
        <v/>
      </c>
      <c r="G180" s="46" t="str">
        <f t="shared" si="43"/>
        <v/>
      </c>
    </row>
    <row r="181" spans="1:9" ht="24" hidden="1" customHeight="1">
      <c r="A181" s="617" t="s">
        <v>588</v>
      </c>
      <c r="B181" s="619" t="str">
        <f>_xlfn.XLOOKUP(A181,'PLANILHA ORCAMENTARIA'!$A$12:$A$72,'PLANILHA ORCAMENTARIA'!$C$12:$C$72)</f>
        <v>CABO DE COBRE FLEXÍVEL ISOLADO, 2,5 MM², ANTI-CHAMA 0,6/1,0 KV, PARA CIRCUITOS TERMINAIS - FORNECIMENTO E INSTALAÇÃO. AF_03/2023 (GRUPO B)</v>
      </c>
      <c r="C181" s="621">
        <f>_xlfn.XLOOKUP(A181,'PLANILHA ORCAMENTARIA'!$A$12:$A$72,'PLANILHA ORCAMENTARIA'!$J$12:$J$72)</f>
        <v>557.91999999999996</v>
      </c>
      <c r="D181" s="423"/>
      <c r="E181" s="423"/>
      <c r="F181" s="423"/>
      <c r="G181" s="423"/>
    </row>
    <row r="182" spans="1:9" ht="24" hidden="1" customHeight="1">
      <c r="A182" s="618"/>
      <c r="B182" s="620"/>
      <c r="C182" s="622"/>
      <c r="D182" s="46" t="str">
        <f>IF(D181&gt;0,TRUNC($C$181*D181,2),"")</f>
        <v/>
      </c>
      <c r="E182" s="46" t="str">
        <f t="shared" ref="E182:G182" si="44">IF(E181&gt;0,TRUNC($C$181*E181,2),"")</f>
        <v/>
      </c>
      <c r="F182" s="46" t="str">
        <f t="shared" si="44"/>
        <v/>
      </c>
      <c r="G182" s="46" t="str">
        <f t="shared" si="44"/>
        <v/>
      </c>
    </row>
    <row r="183" spans="1:9" ht="24" hidden="1" customHeight="1">
      <c r="A183" s="508"/>
      <c r="B183" s="509" t="s">
        <v>69</v>
      </c>
      <c r="C183" s="504">
        <f>SUM(C83:C182)</f>
        <v>1539423.8599999996</v>
      </c>
      <c r="D183" s="578"/>
      <c r="E183" s="579"/>
      <c r="F183" s="579"/>
      <c r="G183" s="579"/>
    </row>
    <row r="184" spans="1:9" hidden="1">
      <c r="A184" s="581" t="s">
        <v>774</v>
      </c>
      <c r="B184" s="582"/>
      <c r="C184" s="503" t="s">
        <v>775</v>
      </c>
      <c r="D184" s="501">
        <f>TRUNC(SUM(D182,D180,D178,D176,D174,D172,D170,D168,D166,D164,D162,D160,D158,D156,D154,D152,D150,D148,D146,D144,D142,D140,D138,D136,D134,D132,D130,D128,D126,D124,D122,D120,D118,D116,D114,D112,D110,D108,D106,D104,D102,D100,D98,D96,D94,D92,D90,D88,D86,D84),2)</f>
        <v>106738.84</v>
      </c>
      <c r="E184" s="501">
        <f t="shared" ref="E184:G184" si="45">TRUNC(SUM(E182,E180,E178,E176,E174,E172,E170,E168,E166,E164,E162,E160,E158,E156,E154,E152,E150,E148,E146,E144,E142,E140,E138,E136,E134,E132,E130,E128,E126,E124,E122,E120,E118,E116,E114,E112,E110,E108,E106,E104,E102,E100,E98,E96,E94,E92,E90,E88,E86,E84),2)</f>
        <v>106432.7</v>
      </c>
      <c r="F184" s="501">
        <f t="shared" si="45"/>
        <v>106432.7</v>
      </c>
      <c r="G184" s="501">
        <f t="shared" si="45"/>
        <v>106432.7</v>
      </c>
      <c r="I184" s="422"/>
    </row>
    <row r="185" spans="1:9" hidden="1">
      <c r="A185" s="613"/>
      <c r="B185" s="614"/>
      <c r="C185" s="503" t="s">
        <v>124</v>
      </c>
      <c r="D185" s="502">
        <f t="shared" ref="D185:G185" si="46">D184/$C$183</f>
        <v>6.9336875160555214E-2</v>
      </c>
      <c r="E185" s="502">
        <f t="shared" si="46"/>
        <v>6.9138008553407779E-2</v>
      </c>
      <c r="F185" s="502">
        <f t="shared" si="46"/>
        <v>6.9138008553407779E-2</v>
      </c>
      <c r="G185" s="502">
        <f t="shared" si="46"/>
        <v>6.9138008553407779E-2</v>
      </c>
      <c r="I185" s="422"/>
    </row>
    <row r="186" spans="1:9" hidden="1">
      <c r="A186" s="581" t="s">
        <v>773</v>
      </c>
      <c r="B186" s="582"/>
      <c r="C186" s="503" t="s">
        <v>775</v>
      </c>
      <c r="D186" s="500">
        <f>D184</f>
        <v>106738.84</v>
      </c>
      <c r="E186" s="500">
        <f>E184+D186</f>
        <v>213171.53999999998</v>
      </c>
      <c r="F186" s="500">
        <f t="shared" ref="F186:G186" si="47">F184+E186</f>
        <v>319604.24</v>
      </c>
      <c r="G186" s="500">
        <f t="shared" si="47"/>
        <v>426036.94</v>
      </c>
    </row>
    <row r="187" spans="1:9" ht="14.5" hidden="1" thickBot="1">
      <c r="A187" s="585"/>
      <c r="B187" s="586"/>
      <c r="C187" s="505" t="s">
        <v>124</v>
      </c>
      <c r="D187" s="506">
        <f t="shared" ref="D187:G187" si="48">D186/$C$183</f>
        <v>6.9336875160555214E-2</v>
      </c>
      <c r="E187" s="506">
        <f t="shared" si="48"/>
        <v>0.13847488371396299</v>
      </c>
      <c r="F187" s="506">
        <f t="shared" si="48"/>
        <v>0.20761289226737079</v>
      </c>
      <c r="G187" s="506">
        <f t="shared" si="48"/>
        <v>0.27675090082077858</v>
      </c>
    </row>
    <row r="188" spans="1:9" hidden="1">
      <c r="C188" s="422"/>
    </row>
    <row r="189" spans="1:9" hidden="1">
      <c r="A189" s="424"/>
      <c r="B189" s="424"/>
      <c r="C189" s="425">
        <f>C183-C83</f>
        <v>1347333.4699999997</v>
      </c>
      <c r="D189" s="425">
        <f>SUM(D86,D88,D90,D92,D94,D96,D98,D100,D102,D104,D106,D108,D110,D112,D114,D116,D118,D120,D122,D124,D126,D128,D130,D132,D134,D136,D138,D140,D142,D144,D146,D148,D150,D152,D154,D156,D158,D160,D162,D164,D166,D168,D170,D172,D174,D176,D178,D180,D182)</f>
        <v>106738.84</v>
      </c>
      <c r="E189" s="425">
        <f t="shared" ref="E189:G189" si="49">SUM(E86,E88,E90,E92,E94,E96,E98,E100,E102,E104,E106,E108,E110,E112,E114,E116,E118,E120,E122,E124,E126,E128,E130,E132,E134,E136,E138,E140,E142,E144,E146,E148,E150,E152,E154,E156,E158,E160,E162,E164,E166,E168,E170,E172,E174,E176,E178,E180,E182)</f>
        <v>106432.7</v>
      </c>
      <c r="F189" s="425">
        <f t="shared" si="49"/>
        <v>106432.7</v>
      </c>
      <c r="G189" s="425">
        <f t="shared" si="49"/>
        <v>106432.7</v>
      </c>
    </row>
    <row r="190" spans="1:9" hidden="1">
      <c r="A190" s="424"/>
      <c r="B190" s="424"/>
      <c r="C190" s="424"/>
      <c r="D190" s="426">
        <f>D189/$C$189</f>
        <v>7.9222287857214746E-2</v>
      </c>
      <c r="E190" s="426">
        <f t="shared" ref="E190:G190" si="50">E189/$C$189</f>
        <v>7.8995068681846095E-2</v>
      </c>
      <c r="F190" s="426">
        <f t="shared" si="50"/>
        <v>7.8995068681846095E-2</v>
      </c>
      <c r="G190" s="426">
        <f t="shared" si="50"/>
        <v>7.8995068681846095E-2</v>
      </c>
    </row>
    <row r="191" spans="1:9" hidden="1">
      <c r="C191" s="422"/>
    </row>
  </sheetData>
  <mergeCells count="202">
    <mergeCell ref="A83:A84"/>
    <mergeCell ref="B83:B84"/>
    <mergeCell ref="C83:C84"/>
    <mergeCell ref="A85:A86"/>
    <mergeCell ref="B85:B86"/>
    <mergeCell ref="C85:C86"/>
    <mergeCell ref="A91:A92"/>
    <mergeCell ref="B91:B92"/>
    <mergeCell ref="C91:C92"/>
    <mergeCell ref="A93:A94"/>
    <mergeCell ref="B93:B94"/>
    <mergeCell ref="C93:C94"/>
    <mergeCell ref="A87:A88"/>
    <mergeCell ref="B87:B88"/>
    <mergeCell ref="C87:C88"/>
    <mergeCell ref="A89:A90"/>
    <mergeCell ref="B89:B90"/>
    <mergeCell ref="C89:C90"/>
    <mergeCell ref="A99:A100"/>
    <mergeCell ref="B99:B100"/>
    <mergeCell ref="C99:C100"/>
    <mergeCell ref="A101:A102"/>
    <mergeCell ref="B101:B102"/>
    <mergeCell ref="C101:C102"/>
    <mergeCell ref="A95:A96"/>
    <mergeCell ref="B95:B96"/>
    <mergeCell ref="C95:C96"/>
    <mergeCell ref="A97:A98"/>
    <mergeCell ref="B97:B98"/>
    <mergeCell ref="C97:C98"/>
    <mergeCell ref="A107:A108"/>
    <mergeCell ref="B107:B108"/>
    <mergeCell ref="C107:C108"/>
    <mergeCell ref="A109:A110"/>
    <mergeCell ref="B109:B110"/>
    <mergeCell ref="C109:C110"/>
    <mergeCell ref="A103:A104"/>
    <mergeCell ref="B103:B104"/>
    <mergeCell ref="C103:C104"/>
    <mergeCell ref="A105:A106"/>
    <mergeCell ref="B105:B106"/>
    <mergeCell ref="C105:C106"/>
    <mergeCell ref="A115:A116"/>
    <mergeCell ref="B115:B116"/>
    <mergeCell ref="C115:C116"/>
    <mergeCell ref="A117:A118"/>
    <mergeCell ref="B117:B118"/>
    <mergeCell ref="C117:C118"/>
    <mergeCell ref="A111:A112"/>
    <mergeCell ref="B111:B112"/>
    <mergeCell ref="C111:C112"/>
    <mergeCell ref="A113:A114"/>
    <mergeCell ref="B113:B114"/>
    <mergeCell ref="C113:C114"/>
    <mergeCell ref="A123:A124"/>
    <mergeCell ref="B123:B124"/>
    <mergeCell ref="C123:C124"/>
    <mergeCell ref="A125:A126"/>
    <mergeCell ref="B125:B126"/>
    <mergeCell ref="C125:C126"/>
    <mergeCell ref="A119:A120"/>
    <mergeCell ref="B119:B120"/>
    <mergeCell ref="C119:C120"/>
    <mergeCell ref="A121:A122"/>
    <mergeCell ref="B121:B122"/>
    <mergeCell ref="C121:C122"/>
    <mergeCell ref="A131:A132"/>
    <mergeCell ref="B131:B132"/>
    <mergeCell ref="C131:C132"/>
    <mergeCell ref="A133:A134"/>
    <mergeCell ref="B133:B134"/>
    <mergeCell ref="C133:C134"/>
    <mergeCell ref="A127:A128"/>
    <mergeCell ref="B127:B128"/>
    <mergeCell ref="C127:C128"/>
    <mergeCell ref="A129:A130"/>
    <mergeCell ref="B129:B130"/>
    <mergeCell ref="C129:C130"/>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47:A148"/>
    <mergeCell ref="B147:B148"/>
    <mergeCell ref="C147:C148"/>
    <mergeCell ref="A149:A150"/>
    <mergeCell ref="B149:B150"/>
    <mergeCell ref="C149:C150"/>
    <mergeCell ref="A143:A144"/>
    <mergeCell ref="B143:B144"/>
    <mergeCell ref="C143:C144"/>
    <mergeCell ref="A145:A146"/>
    <mergeCell ref="B145:B146"/>
    <mergeCell ref="C145:C146"/>
    <mergeCell ref="A155:A156"/>
    <mergeCell ref="B155:B156"/>
    <mergeCell ref="C155:C156"/>
    <mergeCell ref="A157:A158"/>
    <mergeCell ref="B157:B158"/>
    <mergeCell ref="C157:C158"/>
    <mergeCell ref="A151:A152"/>
    <mergeCell ref="B151:B152"/>
    <mergeCell ref="C151:C152"/>
    <mergeCell ref="A153:A154"/>
    <mergeCell ref="B153:B154"/>
    <mergeCell ref="C153:C154"/>
    <mergeCell ref="A163:A164"/>
    <mergeCell ref="B163:B164"/>
    <mergeCell ref="C163:C164"/>
    <mergeCell ref="A165:A166"/>
    <mergeCell ref="B165:B166"/>
    <mergeCell ref="C165:C166"/>
    <mergeCell ref="A159:A160"/>
    <mergeCell ref="B159:B160"/>
    <mergeCell ref="C159:C160"/>
    <mergeCell ref="A161:A162"/>
    <mergeCell ref="B161:B162"/>
    <mergeCell ref="C161:C162"/>
    <mergeCell ref="A173:A174"/>
    <mergeCell ref="B173:B174"/>
    <mergeCell ref="C173:C174"/>
    <mergeCell ref="A167:A168"/>
    <mergeCell ref="B167:B168"/>
    <mergeCell ref="C167:C168"/>
    <mergeCell ref="A169:A170"/>
    <mergeCell ref="B169:B170"/>
    <mergeCell ref="C169:C170"/>
    <mergeCell ref="D183:G183"/>
    <mergeCell ref="A184:B185"/>
    <mergeCell ref="A186:B187"/>
    <mergeCell ref="A15:A16"/>
    <mergeCell ref="A17:A18"/>
    <mergeCell ref="A19:A20"/>
    <mergeCell ref="A21:A22"/>
    <mergeCell ref="A23:A24"/>
    <mergeCell ref="A25:A26"/>
    <mergeCell ref="A179:A180"/>
    <mergeCell ref="B179:B180"/>
    <mergeCell ref="C179:C180"/>
    <mergeCell ref="A181:A182"/>
    <mergeCell ref="B181:B182"/>
    <mergeCell ref="C181:C182"/>
    <mergeCell ref="A175:A176"/>
    <mergeCell ref="B175:B176"/>
    <mergeCell ref="C175:C176"/>
    <mergeCell ref="A177:A178"/>
    <mergeCell ref="B177:B178"/>
    <mergeCell ref="C177:C178"/>
    <mergeCell ref="A171:A172"/>
    <mergeCell ref="B171:B172"/>
    <mergeCell ref="C171:C172"/>
    <mergeCell ref="G27:G30"/>
    <mergeCell ref="A31:A38"/>
    <mergeCell ref="F31:F38"/>
    <mergeCell ref="G31:G38"/>
    <mergeCell ref="G25:G26"/>
    <mergeCell ref="G12:G14"/>
    <mergeCell ref="G15:G16"/>
    <mergeCell ref="G17:G18"/>
    <mergeCell ref="G19:G20"/>
    <mergeCell ref="G21:G22"/>
    <mergeCell ref="G23:G24"/>
    <mergeCell ref="F12:F14"/>
    <mergeCell ref="F15:F16"/>
    <mergeCell ref="F17:F18"/>
    <mergeCell ref="F19:F20"/>
    <mergeCell ref="F21:F22"/>
    <mergeCell ref="F23:F24"/>
    <mergeCell ref="F25:F26"/>
    <mergeCell ref="A12:A14"/>
    <mergeCell ref="A70:A78"/>
    <mergeCell ref="F70:F78"/>
    <mergeCell ref="G70:G78"/>
    <mergeCell ref="A2:G2"/>
    <mergeCell ref="A61:A65"/>
    <mergeCell ref="F61:F65"/>
    <mergeCell ref="G61:G65"/>
    <mergeCell ref="A66:A69"/>
    <mergeCell ref="F66:F69"/>
    <mergeCell ref="G66:G69"/>
    <mergeCell ref="A46:A52"/>
    <mergeCell ref="F46:F52"/>
    <mergeCell ref="G46:G52"/>
    <mergeCell ref="A53:A60"/>
    <mergeCell ref="F53:F60"/>
    <mergeCell ref="G53:G60"/>
    <mergeCell ref="A39:A42"/>
    <mergeCell ref="F39:F42"/>
    <mergeCell ref="G39:G42"/>
    <mergeCell ref="A43:A45"/>
    <mergeCell ref="F43:F45"/>
    <mergeCell ref="G43:G45"/>
    <mergeCell ref="A27:A30"/>
    <mergeCell ref="F27:F30"/>
  </mergeCells>
  <phoneticPr fontId="11" type="noConversion"/>
  <conditionalFormatting sqref="D84:G84 D86:G86 D88:G88 D90:G90 D92:G92 D94:G94 D96:G96 D98:G98 D100:G100 D102:G102 D104:G104 D106:G106 D108:G108 D110:G110 D112:G112 D114:G114 D116:G116 D118:G118 D120:G120 D122:G122 D124:G124 D126:G126 D128:G128 D130:G130 D132:G132 D134:G134 D136:G136 D142:G142 D144:G144 D146:G146 D148:G148 D150:G150 D152:G152 D154:G154 D156:G156 D158:G158 D160:G160 D162:G162 D164:G164 D166:G166 D168:G168 D170:G170 D172:G172 D174:G174 D176:G176 D178:G178 D180:G180 D182:G182 D140:G140 D138:G138 D183">
    <cfRule type="cellIs" dxfId="6" priority="4" operator="notEqual">
      <formula>""</formula>
    </cfRule>
  </conditionalFormatting>
  <conditionalFormatting sqref="E5:E9">
    <cfRule type="cellIs" dxfId="5" priority="3" operator="equal">
      <formula>0</formula>
    </cfRule>
  </conditionalFormatting>
  <conditionalFormatting sqref="F5:G9">
    <cfRule type="cellIs" dxfId="4" priority="2" operator="equal">
      <formula>0</formula>
    </cfRule>
  </conditionalFormatting>
  <printOptions horizontalCentered="1"/>
  <pageMargins left="0.23622047244094491" right="0.23622047244094491" top="0.74803149606299213" bottom="0.74803149606299213" header="0.31496062992125984" footer="0.31496062992125984"/>
  <pageSetup paperSize="8" scale="50" fitToHeight="0"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outlinePr summaryBelow="0"/>
  </sheetPr>
  <dimension ref="A1:I59"/>
  <sheetViews>
    <sheetView view="pageBreakPreview" zoomScale="70" zoomScaleNormal="115" zoomScaleSheetLayoutView="70" workbookViewId="0">
      <selection activeCell="A3" sqref="A3"/>
    </sheetView>
  </sheetViews>
  <sheetFormatPr defaultColWidth="9.08203125" defaultRowHeight="14"/>
  <cols>
    <col min="1" max="1" width="10.58203125" style="320" customWidth="1"/>
    <col min="2" max="2" width="10.75" style="320" customWidth="1"/>
    <col min="3" max="3" width="37.83203125" style="320" customWidth="1"/>
    <col min="4" max="4" width="10.75" style="320" customWidth="1"/>
    <col min="5" max="5" width="0.83203125" style="320" customWidth="1"/>
    <col min="6" max="7" width="10.75" style="320" customWidth="1"/>
    <col min="8" max="9" width="10.75" style="429" customWidth="1"/>
    <col min="10" max="16384" width="9.08203125" style="320"/>
  </cols>
  <sheetData>
    <row r="1" spans="1:9" ht="50.15" customHeight="1"/>
    <row r="2" spans="1:9" ht="15.5">
      <c r="A2" s="14" t="s">
        <v>772</v>
      </c>
      <c r="B2" s="14"/>
      <c r="C2" s="14"/>
      <c r="D2" s="14"/>
      <c r="E2" s="14"/>
      <c r="F2" s="324"/>
      <c r="G2" s="324"/>
      <c r="H2" s="430"/>
      <c r="I2" s="431"/>
    </row>
    <row r="3" spans="1:9" ht="5.15" customHeight="1">
      <c r="A3" s="17"/>
      <c r="B3" s="17"/>
      <c r="C3" s="17"/>
      <c r="D3" s="17"/>
      <c r="E3" s="17"/>
      <c r="I3" s="431"/>
    </row>
    <row r="4" spans="1:9">
      <c r="A4" s="18" t="s">
        <v>321</v>
      </c>
      <c r="B4" s="19" t="str">
        <f>RESUMO!B4</f>
        <v>SUBSTITUIÇÃO DE ELEVADORES NA SEDE DA JUSTIÇA FEDERAL NA PARAÍBA - R2</v>
      </c>
      <c r="C4" s="19"/>
      <c r="D4" s="19"/>
      <c r="E4" s="19"/>
      <c r="F4" s="19"/>
      <c r="G4" s="19"/>
      <c r="H4" s="432"/>
      <c r="I4" s="431"/>
    </row>
    <row r="5" spans="1:9">
      <c r="A5" s="21" t="s">
        <v>325</v>
      </c>
      <c r="B5" s="22" t="str">
        <f>RESUMO!B5</f>
        <v>R2 - 15/04/2025</v>
      </c>
      <c r="C5" s="433"/>
      <c r="D5" s="21" t="s">
        <v>334</v>
      </c>
      <c r="E5" s="411"/>
      <c r="F5" s="24"/>
      <c r="G5" s="21" t="s">
        <v>329</v>
      </c>
      <c r="H5" s="25">
        <f>RESUMO!$F$5</f>
        <v>45762</v>
      </c>
      <c r="I5" s="431"/>
    </row>
    <row r="6" spans="1:9">
      <c r="A6" s="26" t="s">
        <v>322</v>
      </c>
      <c r="B6" s="27" t="str">
        <f>RESUMO!B6</f>
        <v>RUA JOÃO TEIXEIRA DE CARVALHO, 480, PEDRO GONDIM, JOÃO PESSOA/PB</v>
      </c>
      <c r="C6" s="434"/>
      <c r="D6" s="29" t="str">
        <f>RESUMO!$C$6</f>
        <v>SINAPI</v>
      </c>
      <c r="E6" s="435"/>
      <c r="F6" s="30" t="str">
        <f>RESUMO!$D$6</f>
        <v>2025/02</v>
      </c>
      <c r="G6" s="26" t="s">
        <v>443</v>
      </c>
      <c r="H6" s="30">
        <f>RESUMO!$F$6</f>
        <v>0.23530000000000001</v>
      </c>
      <c r="I6" s="431"/>
    </row>
    <row r="7" spans="1:9">
      <c r="A7" s="26" t="s">
        <v>323</v>
      </c>
      <c r="B7" s="27" t="str">
        <f>RESUMO!B7</f>
        <v>JUSTIÇA FEDERAL NA PARAÍBA</v>
      </c>
      <c r="C7" s="434"/>
      <c r="D7" s="29" t="str">
        <f>RESUMO!$C$7</f>
        <v>SICRO</v>
      </c>
      <c r="E7" s="435"/>
      <c r="F7" s="30" t="str">
        <f>RESUMO!$D$7</f>
        <v>2025/01</v>
      </c>
      <c r="G7" s="26" t="s">
        <v>330</v>
      </c>
      <c r="H7" s="30">
        <f>RESUMO!$F$7</f>
        <v>0.1527</v>
      </c>
      <c r="I7" s="431"/>
    </row>
    <row r="8" spans="1:9">
      <c r="A8" s="26" t="s">
        <v>328</v>
      </c>
      <c r="B8" s="27" t="str">
        <f>RESUMO!B8</f>
        <v>JOSÉ MENDONÇA FILHO SEGUNDO</v>
      </c>
      <c r="C8" s="434"/>
      <c r="D8" s="29" t="str">
        <f>RESUMO!$C$8</f>
        <v>SBC</v>
      </c>
      <c r="E8" s="27"/>
      <c r="F8" s="30" t="str">
        <f>RESUMO!$D$8</f>
        <v>2025/02</v>
      </c>
      <c r="G8" s="26" t="s">
        <v>331</v>
      </c>
      <c r="H8" s="30">
        <f>RESUMO!$F$8</f>
        <v>1.1359999999999999</v>
      </c>
      <c r="I8" s="431"/>
    </row>
    <row r="9" spans="1:9">
      <c r="A9" s="31" t="s">
        <v>324</v>
      </c>
      <c r="B9" s="32" t="str">
        <f>RESUMO!B9</f>
        <v>ENGENHEIRO MECÂNICO - CREA 060136183-0</v>
      </c>
      <c r="C9" s="436"/>
      <c r="D9" s="31" t="s">
        <v>325</v>
      </c>
      <c r="E9" s="416"/>
      <c r="F9" s="34" t="str">
        <f>RESUMO!$D$9</f>
        <v>R2</v>
      </c>
      <c r="G9" s="31" t="s">
        <v>332</v>
      </c>
      <c r="H9" s="34">
        <f>RESUMO!$F$9</f>
        <v>0.6984999999999999</v>
      </c>
      <c r="I9" s="431"/>
    </row>
    <row r="10" spans="1:9" ht="5.15" customHeight="1">
      <c r="A10" s="431"/>
      <c r="B10" s="431"/>
      <c r="C10" s="431"/>
      <c r="D10" s="431"/>
      <c r="E10" s="431"/>
      <c r="F10" s="431"/>
      <c r="G10" s="431"/>
      <c r="H10" s="431"/>
      <c r="I10" s="431"/>
    </row>
    <row r="11" spans="1:9">
      <c r="A11" s="437" t="s">
        <v>443</v>
      </c>
      <c r="B11" s="438"/>
      <c r="C11" s="438"/>
      <c r="D11" s="438"/>
      <c r="E11" s="438"/>
      <c r="F11" s="438"/>
      <c r="G11" s="438"/>
      <c r="H11" s="438"/>
      <c r="I11" s="438"/>
    </row>
    <row r="12" spans="1:9" ht="5.15" customHeight="1">
      <c r="A12" s="68"/>
      <c r="B12" s="68"/>
      <c r="C12" s="439" t="s">
        <v>0</v>
      </c>
      <c r="D12" s="439"/>
      <c r="E12" s="439"/>
      <c r="F12" s="439"/>
      <c r="G12" s="439"/>
      <c r="H12" s="439"/>
      <c r="I12" s="439"/>
    </row>
    <row r="13" spans="1:9" ht="15" customHeight="1">
      <c r="A13" s="632" t="s">
        <v>236</v>
      </c>
      <c r="B13" s="632" t="s">
        <v>3</v>
      </c>
      <c r="C13" s="632"/>
      <c r="D13" s="632" t="s">
        <v>124</v>
      </c>
      <c r="E13" s="440"/>
      <c r="F13" s="632" t="s">
        <v>448</v>
      </c>
      <c r="G13" s="632"/>
      <c r="H13" s="632"/>
      <c r="I13" s="440"/>
    </row>
    <row r="14" spans="1:9" ht="15" customHeight="1">
      <c r="A14" s="632"/>
      <c r="B14" s="632"/>
      <c r="C14" s="632"/>
      <c r="D14" s="632"/>
      <c r="E14" s="439"/>
      <c r="F14" s="441" t="s">
        <v>449</v>
      </c>
      <c r="G14" s="441" t="s">
        <v>452</v>
      </c>
      <c r="H14" s="441" t="s">
        <v>450</v>
      </c>
      <c r="I14" s="439"/>
    </row>
    <row r="15" spans="1:9" ht="5.15" customHeight="1">
      <c r="A15" s="68"/>
      <c r="B15" s="68"/>
      <c r="C15" s="439"/>
      <c r="D15" s="439"/>
      <c r="E15" s="439"/>
      <c r="F15" s="439"/>
      <c r="G15" s="439"/>
      <c r="H15" s="439"/>
      <c r="I15" s="439"/>
    </row>
    <row r="16" spans="1:9" ht="15" customHeight="1">
      <c r="A16" s="442" t="s">
        <v>237</v>
      </c>
      <c r="B16" s="630" t="s">
        <v>238</v>
      </c>
      <c r="C16" s="631"/>
      <c r="D16" s="443"/>
      <c r="E16" s="444"/>
      <c r="F16" s="633" t="str">
        <f>B16</f>
        <v>BENEFICIO</v>
      </c>
      <c r="G16" s="634"/>
      <c r="H16" s="635"/>
      <c r="I16" s="445"/>
    </row>
    <row r="17" spans="1:9" ht="15" customHeight="1">
      <c r="A17" s="446" t="s">
        <v>239</v>
      </c>
      <c r="B17" s="628" t="s">
        <v>240</v>
      </c>
      <c r="C17" s="629"/>
      <c r="D17" s="447">
        <v>7.3999999999999996E-2</v>
      </c>
      <c r="E17" s="448"/>
      <c r="F17" s="449">
        <v>6.1600000000000002E-2</v>
      </c>
      <c r="G17" s="449">
        <v>7.3999999999999996E-2</v>
      </c>
      <c r="H17" s="450">
        <v>8.9599999999999999E-2</v>
      </c>
      <c r="I17" s="451"/>
    </row>
    <row r="18" spans="1:9" ht="15" customHeight="1">
      <c r="A18" s="625" t="s">
        <v>69</v>
      </c>
      <c r="B18" s="626"/>
      <c r="C18" s="627"/>
      <c r="D18" s="452">
        <f>SUM(D17)</f>
        <v>7.3999999999999996E-2</v>
      </c>
      <c r="E18" s="453"/>
      <c r="F18" s="454"/>
      <c r="G18" s="454"/>
      <c r="H18" s="454"/>
      <c r="I18" s="455"/>
    </row>
    <row r="19" spans="1:9" ht="5.15" customHeight="1">
      <c r="A19" s="68"/>
      <c r="B19" s="68"/>
      <c r="C19" s="439"/>
      <c r="D19" s="456"/>
      <c r="E19" s="439"/>
      <c r="F19" s="457"/>
      <c r="G19" s="457"/>
      <c r="H19" s="457"/>
      <c r="I19" s="439"/>
    </row>
    <row r="20" spans="1:9" ht="15" customHeight="1">
      <c r="A20" s="442" t="s">
        <v>241</v>
      </c>
      <c r="B20" s="630" t="s">
        <v>242</v>
      </c>
      <c r="C20" s="631"/>
      <c r="D20" s="458"/>
      <c r="E20" s="69"/>
      <c r="F20" s="636" t="str">
        <f>B20</f>
        <v>DESPESAS FINANCEIRAS</v>
      </c>
      <c r="G20" s="637"/>
      <c r="H20" s="638"/>
      <c r="I20" s="445"/>
    </row>
    <row r="21" spans="1:9" ht="15" customHeight="1">
      <c r="A21" s="446" t="s">
        <v>243</v>
      </c>
      <c r="B21" s="628" t="s">
        <v>244</v>
      </c>
      <c r="C21" s="629"/>
      <c r="D21" s="447">
        <v>8.0000000000000002E-3</v>
      </c>
      <c r="E21" s="448"/>
      <c r="F21" s="449">
        <v>8.0000000000000002E-3</v>
      </c>
      <c r="G21" s="449">
        <v>8.0000000000000002E-3</v>
      </c>
      <c r="H21" s="450">
        <v>0.01</v>
      </c>
      <c r="I21" s="451"/>
    </row>
    <row r="22" spans="1:9" ht="15" customHeight="1">
      <c r="A22" s="446" t="s">
        <v>245</v>
      </c>
      <c r="B22" s="628" t="s">
        <v>246</v>
      </c>
      <c r="C22" s="629"/>
      <c r="D22" s="447">
        <v>1.2699999999999999E-2</v>
      </c>
      <c r="E22" s="448"/>
      <c r="F22" s="449">
        <v>9.7000000000000003E-3</v>
      </c>
      <c r="G22" s="449">
        <v>1.2699999999999999E-2</v>
      </c>
      <c r="H22" s="450">
        <v>1.2699999999999999E-2</v>
      </c>
      <c r="I22" s="451"/>
    </row>
    <row r="23" spans="1:9" ht="15" customHeight="1">
      <c r="A23" s="446" t="s">
        <v>247</v>
      </c>
      <c r="B23" s="628" t="s">
        <v>248</v>
      </c>
      <c r="C23" s="629"/>
      <c r="D23" s="447">
        <v>1.23E-2</v>
      </c>
      <c r="E23" s="448"/>
      <c r="F23" s="449">
        <v>5.8999999999999999E-3</v>
      </c>
      <c r="G23" s="449">
        <v>1.23E-2</v>
      </c>
      <c r="H23" s="450">
        <v>1.3899999999999999E-2</v>
      </c>
      <c r="I23" s="451"/>
    </row>
    <row r="24" spans="1:9" ht="15" customHeight="1">
      <c r="A24" s="446" t="s">
        <v>249</v>
      </c>
      <c r="B24" s="628" t="s">
        <v>250</v>
      </c>
      <c r="C24" s="629"/>
      <c r="D24" s="447">
        <v>0.04</v>
      </c>
      <c r="E24" s="448"/>
      <c r="F24" s="449">
        <v>0.03</v>
      </c>
      <c r="G24" s="449">
        <v>0.04</v>
      </c>
      <c r="H24" s="450">
        <v>5.5E-2</v>
      </c>
      <c r="I24" s="451"/>
    </row>
    <row r="25" spans="1:9" ht="15" customHeight="1">
      <c r="A25" s="625" t="s">
        <v>69</v>
      </c>
      <c r="B25" s="626"/>
      <c r="C25" s="627"/>
      <c r="D25" s="452">
        <f>SUM(D21:D24)</f>
        <v>7.3000000000000009E-2</v>
      </c>
      <c r="E25" s="453"/>
      <c r="F25" s="454"/>
      <c r="G25" s="454"/>
      <c r="H25" s="454"/>
      <c r="I25" s="455"/>
    </row>
    <row r="26" spans="1:9" ht="5.15" customHeight="1">
      <c r="A26" s="68"/>
      <c r="B26" s="68"/>
      <c r="C26" s="439"/>
      <c r="D26" s="456"/>
      <c r="E26" s="439"/>
      <c r="F26" s="457"/>
      <c r="G26" s="457"/>
      <c r="H26" s="457"/>
      <c r="I26" s="439"/>
    </row>
    <row r="27" spans="1:9" ht="15" customHeight="1">
      <c r="A27" s="442" t="s">
        <v>251</v>
      </c>
      <c r="B27" s="630" t="s">
        <v>252</v>
      </c>
      <c r="C27" s="631"/>
      <c r="D27" s="458"/>
      <c r="E27" s="69"/>
      <c r="F27" s="636" t="str">
        <f>B27</f>
        <v>IMPOSTOS</v>
      </c>
      <c r="G27" s="637"/>
      <c r="H27" s="638"/>
      <c r="I27" s="445"/>
    </row>
    <row r="28" spans="1:9" ht="15" customHeight="1">
      <c r="A28" s="446" t="s">
        <v>253</v>
      </c>
      <c r="B28" s="628" t="s">
        <v>254</v>
      </c>
      <c r="C28" s="629"/>
      <c r="D28" s="447">
        <v>6.4999999999999997E-3</v>
      </c>
      <c r="E28" s="448"/>
      <c r="F28" s="449">
        <v>6.4999999999999997E-3</v>
      </c>
      <c r="G28" s="449">
        <v>6.4999999999999997E-3</v>
      </c>
      <c r="H28" s="449">
        <v>6.4999999999999997E-3</v>
      </c>
      <c r="I28" s="451"/>
    </row>
    <row r="29" spans="1:9" ht="15" customHeight="1">
      <c r="A29" s="446" t="s">
        <v>255</v>
      </c>
      <c r="B29" s="628" t="s">
        <v>256</v>
      </c>
      <c r="C29" s="629"/>
      <c r="D29" s="447">
        <v>0.03</v>
      </c>
      <c r="E29" s="448"/>
      <c r="F29" s="449">
        <v>0.03</v>
      </c>
      <c r="G29" s="449">
        <v>0.03</v>
      </c>
      <c r="H29" s="449">
        <v>0.03</v>
      </c>
      <c r="I29" s="451"/>
    </row>
    <row r="30" spans="1:9" ht="15" customHeight="1">
      <c r="A30" s="446" t="s">
        <v>257</v>
      </c>
      <c r="B30" s="628" t="s">
        <v>451</v>
      </c>
      <c r="C30" s="629"/>
      <c r="D30" s="447">
        <v>0.03</v>
      </c>
      <c r="E30" s="448"/>
      <c r="F30" s="449">
        <v>0.03</v>
      </c>
      <c r="G30" s="449">
        <v>0.03</v>
      </c>
      <c r="H30" s="449">
        <v>0.03</v>
      </c>
      <c r="I30" s="451"/>
    </row>
    <row r="31" spans="1:9" ht="15" customHeight="1">
      <c r="A31" s="625" t="s">
        <v>69</v>
      </c>
      <c r="B31" s="626"/>
      <c r="C31" s="627"/>
      <c r="D31" s="452">
        <f>SUM(D28:D30)</f>
        <v>6.6500000000000004E-2</v>
      </c>
      <c r="E31" s="453"/>
      <c r="F31" s="459"/>
      <c r="G31" s="459"/>
      <c r="H31" s="460"/>
      <c r="I31" s="455"/>
    </row>
    <row r="32" spans="1:9" ht="5.15" customHeight="1">
      <c r="A32" s="68"/>
      <c r="B32" s="68"/>
      <c r="C32" s="439" t="s">
        <v>0</v>
      </c>
      <c r="D32" s="439"/>
      <c r="E32" s="439"/>
      <c r="F32" s="439"/>
      <c r="G32" s="439"/>
      <c r="H32" s="439"/>
      <c r="I32" s="439"/>
    </row>
    <row r="33" spans="1:9" ht="15" customHeight="1" thickBot="1">
      <c r="A33" s="68" t="s">
        <v>453</v>
      </c>
      <c r="B33" s="68"/>
      <c r="D33" s="461"/>
      <c r="E33" s="461"/>
      <c r="F33" s="461"/>
      <c r="G33" s="461"/>
      <c r="H33" s="461"/>
      <c r="I33" s="461"/>
    </row>
    <row r="34" spans="1:9" ht="49.5" customHeight="1" thickBot="1">
      <c r="A34" s="68"/>
      <c r="B34" s="68"/>
      <c r="C34" s="438"/>
      <c r="D34" s="462">
        <f>TRUNC((((1+D24+D21+D22)*(1+D23)*(1+D17))/(1-D31))-1,4)</f>
        <v>0.23530000000000001</v>
      </c>
      <c r="E34" s="438"/>
      <c r="F34" s="438"/>
      <c r="G34" s="438"/>
      <c r="H34" s="438"/>
      <c r="I34" s="438"/>
    </row>
    <row r="35" spans="1:9" ht="5.15" customHeight="1">
      <c r="A35" s="68"/>
      <c r="B35" s="68"/>
      <c r="C35" s="438"/>
      <c r="D35" s="463"/>
      <c r="E35" s="438"/>
      <c r="F35" s="438"/>
      <c r="G35" s="438"/>
      <c r="H35" s="438"/>
      <c r="I35" s="438"/>
    </row>
    <row r="36" spans="1:9" ht="15" customHeight="1">
      <c r="A36" s="464" t="s">
        <v>454</v>
      </c>
      <c r="B36" s="438"/>
      <c r="C36" s="438"/>
      <c r="D36" s="438"/>
      <c r="E36" s="438"/>
      <c r="F36" s="438"/>
      <c r="G36" s="438"/>
      <c r="H36" s="438"/>
      <c r="I36" s="438"/>
    </row>
    <row r="37" spans="1:9" ht="5.15" customHeight="1">
      <c r="A37" s="68"/>
      <c r="B37" s="68"/>
      <c r="C37" s="439" t="s">
        <v>0</v>
      </c>
      <c r="D37" s="439"/>
      <c r="E37" s="439"/>
      <c r="F37" s="439"/>
      <c r="G37" s="439"/>
      <c r="H37" s="439"/>
      <c r="I37" s="438"/>
    </row>
    <row r="38" spans="1:9" ht="15" customHeight="1">
      <c r="A38" s="632" t="s">
        <v>236</v>
      </c>
      <c r="B38" s="632" t="s">
        <v>3</v>
      </c>
      <c r="C38" s="632"/>
      <c r="D38" s="632" t="s">
        <v>124</v>
      </c>
      <c r="E38" s="440"/>
      <c r="F38" s="632" t="s">
        <v>448</v>
      </c>
      <c r="G38" s="632"/>
      <c r="H38" s="632"/>
      <c r="I38" s="438"/>
    </row>
    <row r="39" spans="1:9" ht="15" customHeight="1">
      <c r="A39" s="632"/>
      <c r="B39" s="632"/>
      <c r="C39" s="632"/>
      <c r="D39" s="632"/>
      <c r="E39" s="439"/>
      <c r="F39" s="441" t="s">
        <v>449</v>
      </c>
      <c r="G39" s="441" t="s">
        <v>452</v>
      </c>
      <c r="H39" s="441" t="s">
        <v>450</v>
      </c>
      <c r="I39" s="438"/>
    </row>
    <row r="40" spans="1:9" ht="5.15" customHeight="1">
      <c r="A40" s="68"/>
      <c r="B40" s="68"/>
      <c r="C40" s="439"/>
      <c r="D40" s="439"/>
      <c r="E40" s="439"/>
      <c r="F40" s="439"/>
      <c r="G40" s="439"/>
      <c r="H40" s="439"/>
      <c r="I40" s="438"/>
    </row>
    <row r="41" spans="1:9" ht="15" customHeight="1">
      <c r="A41" s="442" t="s">
        <v>237</v>
      </c>
      <c r="B41" s="630" t="s">
        <v>238</v>
      </c>
      <c r="C41" s="631"/>
      <c r="D41" s="443"/>
      <c r="E41" s="444"/>
      <c r="F41" s="633" t="str">
        <f>B41</f>
        <v>BENEFICIO</v>
      </c>
      <c r="G41" s="634"/>
      <c r="H41" s="635"/>
      <c r="I41" s="438"/>
    </row>
    <row r="42" spans="1:9" ht="15" customHeight="1">
      <c r="A42" s="446" t="s">
        <v>239</v>
      </c>
      <c r="B42" s="628" t="s">
        <v>240</v>
      </c>
      <c r="C42" s="629"/>
      <c r="D42" s="447">
        <v>5.11E-2</v>
      </c>
      <c r="E42" s="448"/>
      <c r="F42" s="449">
        <v>3.5000000000000003E-2</v>
      </c>
      <c r="G42" s="449">
        <v>5.11E-2</v>
      </c>
      <c r="H42" s="450">
        <v>6.2199999999999998E-2</v>
      </c>
      <c r="I42" s="438"/>
    </row>
    <row r="43" spans="1:9" ht="15" customHeight="1">
      <c r="A43" s="625" t="s">
        <v>69</v>
      </c>
      <c r="B43" s="626"/>
      <c r="C43" s="627"/>
      <c r="D43" s="452">
        <f>SUM(D42)</f>
        <v>5.11E-2</v>
      </c>
      <c r="E43" s="453"/>
      <c r="F43" s="454"/>
      <c r="G43" s="454"/>
      <c r="H43" s="454"/>
      <c r="I43" s="438"/>
    </row>
    <row r="44" spans="1:9" ht="5.15" customHeight="1">
      <c r="A44" s="68"/>
      <c r="B44" s="68"/>
      <c r="C44" s="439"/>
      <c r="D44" s="456"/>
      <c r="E44" s="439"/>
      <c r="F44" s="457"/>
      <c r="G44" s="457"/>
      <c r="H44" s="457"/>
      <c r="I44" s="438"/>
    </row>
    <row r="45" spans="1:9" ht="15" customHeight="1">
      <c r="A45" s="442" t="s">
        <v>241</v>
      </c>
      <c r="B45" s="630" t="s">
        <v>242</v>
      </c>
      <c r="C45" s="631"/>
      <c r="D45" s="458"/>
      <c r="E45" s="69"/>
      <c r="F45" s="636" t="str">
        <f>B45</f>
        <v>DESPESAS FINANCEIRAS</v>
      </c>
      <c r="G45" s="637"/>
      <c r="H45" s="638"/>
      <c r="I45" s="438"/>
    </row>
    <row r="46" spans="1:9" ht="15" customHeight="1">
      <c r="A46" s="446" t="s">
        <v>243</v>
      </c>
      <c r="B46" s="628" t="s">
        <v>244</v>
      </c>
      <c r="C46" s="629"/>
      <c r="D46" s="447">
        <v>4.7999999999999996E-3</v>
      </c>
      <c r="E46" s="448"/>
      <c r="F46" s="449">
        <v>3.0000000000000001E-3</v>
      </c>
      <c r="G46" s="449">
        <v>4.7999999999999996E-3</v>
      </c>
      <c r="H46" s="450">
        <v>8.2000000000000007E-3</v>
      </c>
      <c r="I46" s="438"/>
    </row>
    <row r="47" spans="1:9" ht="15" customHeight="1">
      <c r="A47" s="446" t="s">
        <v>245</v>
      </c>
      <c r="B47" s="628" t="s">
        <v>246</v>
      </c>
      <c r="C47" s="629"/>
      <c r="D47" s="447">
        <v>8.5000000000000006E-3</v>
      </c>
      <c r="E47" s="448"/>
      <c r="F47" s="449">
        <v>5.5999999999999999E-3</v>
      </c>
      <c r="G47" s="449">
        <v>8.5000000000000006E-3</v>
      </c>
      <c r="H47" s="450">
        <v>8.8999999999999999E-3</v>
      </c>
      <c r="I47" s="438"/>
    </row>
    <row r="48" spans="1:9" ht="15" customHeight="1">
      <c r="A48" s="446" t="s">
        <v>247</v>
      </c>
      <c r="B48" s="628" t="s">
        <v>248</v>
      </c>
      <c r="C48" s="629"/>
      <c r="D48" s="447">
        <v>8.5000000000000006E-3</v>
      </c>
      <c r="E48" s="448"/>
      <c r="F48" s="449">
        <v>8.5000000000000006E-3</v>
      </c>
      <c r="G48" s="449">
        <v>8.5000000000000006E-3</v>
      </c>
      <c r="H48" s="450">
        <v>1.11E-2</v>
      </c>
      <c r="I48" s="438"/>
    </row>
    <row r="49" spans="1:9" ht="15" customHeight="1">
      <c r="A49" s="446" t="s">
        <v>249</v>
      </c>
      <c r="B49" s="628" t="s">
        <v>250</v>
      </c>
      <c r="C49" s="629"/>
      <c r="D49" s="447">
        <v>3.4500000000000003E-2</v>
      </c>
      <c r="E49" s="448"/>
      <c r="F49" s="449">
        <v>1.4999999999999999E-2</v>
      </c>
      <c r="G49" s="449">
        <v>3.4500000000000003E-2</v>
      </c>
      <c r="H49" s="450">
        <v>4.4900000000000002E-2</v>
      </c>
      <c r="I49" s="438"/>
    </row>
    <row r="50" spans="1:9" ht="15" customHeight="1">
      <c r="A50" s="625" t="s">
        <v>69</v>
      </c>
      <c r="B50" s="626"/>
      <c r="C50" s="627"/>
      <c r="D50" s="452">
        <f>SUM(D46:D49)</f>
        <v>5.6300000000000003E-2</v>
      </c>
      <c r="E50" s="453"/>
      <c r="F50" s="454"/>
      <c r="G50" s="454"/>
      <c r="H50" s="454"/>
      <c r="I50" s="438"/>
    </row>
    <row r="51" spans="1:9" ht="5.15" customHeight="1">
      <c r="A51" s="68"/>
      <c r="B51" s="68"/>
      <c r="C51" s="439"/>
      <c r="D51" s="456"/>
      <c r="E51" s="439"/>
      <c r="F51" s="457"/>
      <c r="G51" s="457"/>
      <c r="H51" s="457"/>
      <c r="I51" s="438"/>
    </row>
    <row r="52" spans="1:9" ht="15" customHeight="1">
      <c r="A52" s="442" t="s">
        <v>251</v>
      </c>
      <c r="B52" s="630" t="s">
        <v>252</v>
      </c>
      <c r="C52" s="631"/>
      <c r="D52" s="458"/>
      <c r="E52" s="69"/>
      <c r="F52" s="636" t="str">
        <f>B52</f>
        <v>IMPOSTOS</v>
      </c>
      <c r="G52" s="637"/>
      <c r="H52" s="638"/>
      <c r="I52" s="438"/>
    </row>
    <row r="53" spans="1:9" ht="15" customHeight="1">
      <c r="A53" s="446" t="s">
        <v>253</v>
      </c>
      <c r="B53" s="628" t="s">
        <v>254</v>
      </c>
      <c r="C53" s="629"/>
      <c r="D53" s="447">
        <v>6.4999999999999997E-3</v>
      </c>
      <c r="E53" s="448"/>
      <c r="F53" s="449">
        <v>6.4999999999999997E-3</v>
      </c>
      <c r="G53" s="449">
        <v>6.4999999999999997E-3</v>
      </c>
      <c r="H53" s="449">
        <v>6.4999999999999997E-3</v>
      </c>
      <c r="I53" s="438"/>
    </row>
    <row r="54" spans="1:9" ht="15" customHeight="1">
      <c r="A54" s="446" t="s">
        <v>255</v>
      </c>
      <c r="B54" s="628" t="s">
        <v>256</v>
      </c>
      <c r="C54" s="629"/>
      <c r="D54" s="447">
        <v>0.03</v>
      </c>
      <c r="E54" s="448"/>
      <c r="F54" s="449">
        <v>0.03</v>
      </c>
      <c r="G54" s="449">
        <v>0.03</v>
      </c>
      <c r="H54" s="449">
        <v>0.03</v>
      </c>
      <c r="I54" s="438"/>
    </row>
    <row r="55" spans="1:9" ht="15" customHeight="1">
      <c r="A55" s="625" t="s">
        <v>69</v>
      </c>
      <c r="B55" s="626"/>
      <c r="C55" s="627"/>
      <c r="D55" s="452">
        <f>SUM(D53:D54)</f>
        <v>3.6499999999999998E-2</v>
      </c>
      <c r="E55" s="453"/>
      <c r="F55" s="459"/>
      <c r="G55" s="459"/>
      <c r="H55" s="460"/>
      <c r="I55" s="438"/>
    </row>
    <row r="56" spans="1:9" ht="5.15" customHeight="1">
      <c r="A56" s="68"/>
      <c r="B56" s="68"/>
      <c r="C56" s="439" t="s">
        <v>0</v>
      </c>
      <c r="D56" s="439"/>
      <c r="E56" s="439"/>
      <c r="F56" s="439"/>
      <c r="G56" s="439"/>
      <c r="H56" s="439"/>
      <c r="I56" s="438"/>
    </row>
    <row r="57" spans="1:9" ht="15" customHeight="1" thickBot="1">
      <c r="A57" s="68" t="s">
        <v>453</v>
      </c>
      <c r="B57" s="68"/>
      <c r="D57" s="461"/>
      <c r="E57" s="461"/>
      <c r="F57" s="461"/>
      <c r="G57" s="461"/>
      <c r="H57" s="461"/>
      <c r="I57" s="438"/>
    </row>
    <row r="58" spans="1:9" ht="50.15" customHeight="1" thickBot="1">
      <c r="A58" s="68"/>
      <c r="B58" s="68"/>
      <c r="C58" s="438"/>
      <c r="D58" s="462">
        <f>TRUNC((((1+D49+D46+D47)*(1+D48)*(1+D42))/(1-D55))-1,4)</f>
        <v>0.1527</v>
      </c>
      <c r="E58" s="438"/>
      <c r="F58" s="438"/>
      <c r="G58" s="438"/>
      <c r="H58" s="438"/>
      <c r="I58" s="438"/>
    </row>
    <row r="59" spans="1:9" ht="15" customHeight="1">
      <c r="A59" s="68"/>
      <c r="B59" s="68"/>
      <c r="C59" s="438"/>
      <c r="D59" s="463"/>
      <c r="E59" s="438"/>
      <c r="F59" s="438"/>
      <c r="G59" s="438"/>
      <c r="H59" s="438"/>
      <c r="I59" s="438"/>
    </row>
  </sheetData>
  <mergeCells count="41">
    <mergeCell ref="F52:H52"/>
    <mergeCell ref="B53:C53"/>
    <mergeCell ref="B54:C54"/>
    <mergeCell ref="B47:C47"/>
    <mergeCell ref="B48:C48"/>
    <mergeCell ref="B49:C49"/>
    <mergeCell ref="A50:C50"/>
    <mergeCell ref="A55:C55"/>
    <mergeCell ref="B52:C52"/>
    <mergeCell ref="B42:C42"/>
    <mergeCell ref="A43:C43"/>
    <mergeCell ref="B45:C45"/>
    <mergeCell ref="F45:H45"/>
    <mergeCell ref="B46:C46"/>
    <mergeCell ref="F20:H20"/>
    <mergeCell ref="B28:C28"/>
    <mergeCell ref="B27:C27"/>
    <mergeCell ref="B30:C30"/>
    <mergeCell ref="B41:C41"/>
    <mergeCell ref="F41:H41"/>
    <mergeCell ref="A38:A39"/>
    <mergeCell ref="B38:C39"/>
    <mergeCell ref="D38:D39"/>
    <mergeCell ref="F38:H38"/>
    <mergeCell ref="B24:C24"/>
    <mergeCell ref="B29:C29"/>
    <mergeCell ref="A31:C31"/>
    <mergeCell ref="F27:H27"/>
    <mergeCell ref="B17:C17"/>
    <mergeCell ref="B16:C16"/>
    <mergeCell ref="F13:H13"/>
    <mergeCell ref="A13:A14"/>
    <mergeCell ref="B13:C14"/>
    <mergeCell ref="D13:D14"/>
    <mergeCell ref="F16:H16"/>
    <mergeCell ref="A18:C18"/>
    <mergeCell ref="A25:C25"/>
    <mergeCell ref="B23:C23"/>
    <mergeCell ref="B22:C22"/>
    <mergeCell ref="B21:C21"/>
    <mergeCell ref="B20:C20"/>
  </mergeCells>
  <conditionalFormatting sqref="F5:F9">
    <cfRule type="cellIs" dxfId="3" priority="1" operator="equal">
      <formula>0</formula>
    </cfRule>
  </conditionalFormatting>
  <conditionalFormatting sqref="G5:G9">
    <cfRule type="cellIs" dxfId="2" priority="2" operator="equal">
      <formula>0</formula>
    </cfRule>
  </conditionalFormatting>
  <pageMargins left="0.51181102362204722" right="0.51181102362204722" top="0.51181102362204722" bottom="0.70866141732283472" header="0" footer="0.19685039370078741"/>
  <pageSetup paperSize="9" scale="80" orientation="portrait" r:id="rId1"/>
  <headerFooter>
    <oddFooter>&amp;L&amp;9&amp;A&amp;R&amp;9Página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outlinePr summaryBelow="0"/>
  </sheetPr>
  <dimension ref="A4:G54"/>
  <sheetViews>
    <sheetView view="pageBreakPreview" zoomScaleNormal="130" zoomScaleSheetLayoutView="100" workbookViewId="0">
      <selection activeCell="F10" sqref="F10"/>
    </sheetView>
  </sheetViews>
  <sheetFormatPr defaultRowHeight="14"/>
  <cols>
    <col min="1" max="1" width="9.25" style="404" customWidth="1"/>
    <col min="2" max="2" width="59.25" style="404" customWidth="1"/>
    <col min="3" max="3" width="5.83203125" style="404" customWidth="1"/>
    <col min="4" max="4" width="6.75" style="404" customWidth="1"/>
    <col min="5" max="5" width="6.25" style="404" customWidth="1"/>
    <col min="6" max="6" width="7.83203125" style="404" customWidth="1"/>
    <col min="7" max="16384" width="8.6640625" style="404"/>
  </cols>
  <sheetData>
    <row r="4" spans="1:7" ht="15.5">
      <c r="A4" s="14" t="s">
        <v>455</v>
      </c>
      <c r="B4" s="14"/>
      <c r="C4" s="14"/>
      <c r="D4" s="14"/>
      <c r="E4" s="324"/>
      <c r="F4" s="430"/>
    </row>
    <row r="5" spans="1:7">
      <c r="A5" s="17"/>
      <c r="B5" s="17"/>
      <c r="C5" s="17"/>
      <c r="D5" s="17"/>
      <c r="E5" s="320"/>
      <c r="F5" s="429"/>
    </row>
    <row r="6" spans="1:7">
      <c r="A6" s="18" t="s">
        <v>321</v>
      </c>
      <c r="B6" s="19" t="str">
        <f>RESUMO!B4</f>
        <v>SUBSTITUIÇÃO DE ELEVADORES NA SEDE DA JUSTIÇA FEDERAL NA PARAÍBA - R2</v>
      </c>
      <c r="C6" s="19"/>
      <c r="D6" s="19"/>
      <c r="E6" s="19"/>
      <c r="F6" s="432"/>
    </row>
    <row r="7" spans="1:7">
      <c r="A7" s="21" t="s">
        <v>325</v>
      </c>
      <c r="B7" s="23" t="str">
        <f>RESUMO!B5</f>
        <v>R2 - 15/04/2025</v>
      </c>
      <c r="C7" s="21" t="s">
        <v>334</v>
      </c>
      <c r="D7" s="24"/>
      <c r="E7" s="21" t="s">
        <v>329</v>
      </c>
      <c r="F7" s="25">
        <f>RESUMO!$F$5</f>
        <v>45762</v>
      </c>
    </row>
    <row r="8" spans="1:7">
      <c r="A8" s="26" t="s">
        <v>322</v>
      </c>
      <c r="B8" s="28" t="str">
        <f>RESUMO!B6</f>
        <v>RUA JOÃO TEIXEIRA DE CARVALHO, 480, PEDRO GONDIM, JOÃO PESSOA/PB</v>
      </c>
      <c r="C8" s="29" t="str">
        <f>RESUMO!$C$6</f>
        <v>SINAPI</v>
      </c>
      <c r="D8" s="30" t="str">
        <f>RESUMO!$D$6</f>
        <v>2025/02</v>
      </c>
      <c r="E8" s="26" t="s">
        <v>443</v>
      </c>
      <c r="F8" s="30">
        <f>RESUMO!$F$6</f>
        <v>0.23530000000000001</v>
      </c>
    </row>
    <row r="9" spans="1:7">
      <c r="A9" s="26" t="s">
        <v>323</v>
      </c>
      <c r="B9" s="28" t="str">
        <f>RESUMO!B7</f>
        <v>JUSTIÇA FEDERAL NA PARAÍBA</v>
      </c>
      <c r="C9" s="29" t="str">
        <f>RESUMO!$C$7</f>
        <v>SICRO</v>
      </c>
      <c r="D9" s="30" t="str">
        <f>RESUMO!$D$7</f>
        <v>2025/01</v>
      </c>
      <c r="E9" s="26" t="s">
        <v>330</v>
      </c>
      <c r="F9" s="30">
        <f>RESUMO!$F$7</f>
        <v>0.1527</v>
      </c>
    </row>
    <row r="10" spans="1:7">
      <c r="A10" s="26" t="s">
        <v>328</v>
      </c>
      <c r="B10" s="28" t="str">
        <f>RESUMO!B8</f>
        <v>JOSÉ MENDONÇA FILHO SEGUNDO</v>
      </c>
      <c r="C10" s="29" t="str">
        <f>RESUMO!$C$8</f>
        <v>SBC</v>
      </c>
      <c r="D10" s="30" t="str">
        <f>RESUMO!$D$8</f>
        <v>2025/02</v>
      </c>
      <c r="E10" s="26" t="s">
        <v>331</v>
      </c>
      <c r="F10" s="30">
        <f>RESUMO!$F$8</f>
        <v>1.1359999999999999</v>
      </c>
    </row>
    <row r="11" spans="1:7">
      <c r="A11" s="31" t="s">
        <v>324</v>
      </c>
      <c r="B11" s="33" t="str">
        <f>RESUMO!B9</f>
        <v>ENGENHEIRO MECÂNICO - CREA 060136183-0</v>
      </c>
      <c r="C11" s="31" t="s">
        <v>325</v>
      </c>
      <c r="D11" s="34" t="str">
        <f>RESUMO!$D$9</f>
        <v>R2</v>
      </c>
      <c r="E11" s="31" t="s">
        <v>332</v>
      </c>
      <c r="F11" s="34">
        <f>RESUMO!$F$9</f>
        <v>0.6984999999999999</v>
      </c>
    </row>
    <row r="12" spans="1:7">
      <c r="A12" s="431"/>
      <c r="B12" s="431"/>
      <c r="C12" s="431"/>
      <c r="D12" s="431"/>
      <c r="E12" s="431"/>
      <c r="F12" s="431"/>
    </row>
    <row r="13" spans="1:7" s="86" customFormat="1" ht="10.5">
      <c r="A13" s="465" t="s">
        <v>236</v>
      </c>
      <c r="B13" s="466" t="s">
        <v>3</v>
      </c>
      <c r="C13" s="639" t="s">
        <v>258</v>
      </c>
      <c r="D13" s="639"/>
      <c r="E13" s="639" t="s">
        <v>259</v>
      </c>
      <c r="F13" s="639"/>
    </row>
    <row r="14" spans="1:7" s="86" customFormat="1" ht="21">
      <c r="A14" s="467"/>
      <c r="B14" s="439" t="s">
        <v>0</v>
      </c>
      <c r="C14" s="439"/>
      <c r="D14" s="468"/>
      <c r="E14" s="469"/>
      <c r="F14" s="468"/>
    </row>
    <row r="15" spans="1:7" s="86" customFormat="1" ht="10.5">
      <c r="A15" s="470" t="s">
        <v>241</v>
      </c>
      <c r="B15" s="644" t="s">
        <v>260</v>
      </c>
      <c r="C15" s="645"/>
      <c r="D15" s="645"/>
      <c r="E15" s="645"/>
      <c r="F15" s="646"/>
      <c r="G15" s="468"/>
    </row>
    <row r="16" spans="1:7" s="86" customFormat="1" ht="10">
      <c r="A16" s="471" t="s">
        <v>243</v>
      </c>
      <c r="B16" s="472" t="s">
        <v>261</v>
      </c>
      <c r="C16" s="640">
        <v>20</v>
      </c>
      <c r="D16" s="640"/>
      <c r="E16" s="641">
        <v>20</v>
      </c>
      <c r="F16" s="641"/>
      <c r="G16" s="468"/>
    </row>
    <row r="17" spans="1:7" s="86" customFormat="1" ht="10">
      <c r="A17" s="471" t="s">
        <v>245</v>
      </c>
      <c r="B17" s="473" t="s">
        <v>262</v>
      </c>
      <c r="C17" s="642">
        <v>1.5</v>
      </c>
      <c r="D17" s="642"/>
      <c r="E17" s="643">
        <v>1.5</v>
      </c>
      <c r="F17" s="643"/>
      <c r="G17" s="468"/>
    </row>
    <row r="18" spans="1:7" s="86" customFormat="1" ht="10">
      <c r="A18" s="471" t="s">
        <v>247</v>
      </c>
      <c r="B18" s="473" t="s">
        <v>263</v>
      </c>
      <c r="C18" s="642">
        <v>1</v>
      </c>
      <c r="D18" s="642"/>
      <c r="E18" s="643">
        <v>1</v>
      </c>
      <c r="F18" s="643"/>
      <c r="G18" s="468"/>
    </row>
    <row r="19" spans="1:7" s="86" customFormat="1" ht="10">
      <c r="A19" s="471" t="s">
        <v>249</v>
      </c>
      <c r="B19" s="473" t="s">
        <v>264</v>
      </c>
      <c r="C19" s="642">
        <v>0.2</v>
      </c>
      <c r="D19" s="642"/>
      <c r="E19" s="643">
        <v>0.2</v>
      </c>
      <c r="F19" s="643"/>
      <c r="G19" s="468"/>
    </row>
    <row r="20" spans="1:7" s="86" customFormat="1" ht="10">
      <c r="A20" s="471" t="s">
        <v>265</v>
      </c>
      <c r="B20" s="473" t="s">
        <v>266</v>
      </c>
      <c r="C20" s="642">
        <v>0.6</v>
      </c>
      <c r="D20" s="642"/>
      <c r="E20" s="643">
        <v>0.6</v>
      </c>
      <c r="F20" s="643"/>
      <c r="G20" s="468"/>
    </row>
    <row r="21" spans="1:7" s="86" customFormat="1" ht="10">
      <c r="A21" s="471" t="s">
        <v>267</v>
      </c>
      <c r="B21" s="473" t="s">
        <v>268</v>
      </c>
      <c r="C21" s="642">
        <v>2.5</v>
      </c>
      <c r="D21" s="642"/>
      <c r="E21" s="643">
        <v>2.5</v>
      </c>
      <c r="F21" s="643"/>
      <c r="G21" s="468"/>
    </row>
    <row r="22" spans="1:7" s="86" customFormat="1" ht="10">
      <c r="A22" s="471" t="s">
        <v>269</v>
      </c>
      <c r="B22" s="473" t="s">
        <v>270</v>
      </c>
      <c r="C22" s="642">
        <v>3</v>
      </c>
      <c r="D22" s="642"/>
      <c r="E22" s="643">
        <v>3</v>
      </c>
      <c r="F22" s="643"/>
      <c r="G22" s="468"/>
    </row>
    <row r="23" spans="1:7" s="86" customFormat="1" ht="10">
      <c r="A23" s="471" t="s">
        <v>271</v>
      </c>
      <c r="B23" s="473" t="s">
        <v>272</v>
      </c>
      <c r="C23" s="642">
        <v>8</v>
      </c>
      <c r="D23" s="642"/>
      <c r="E23" s="643">
        <v>8</v>
      </c>
      <c r="F23" s="643"/>
      <c r="G23" s="468"/>
    </row>
    <row r="24" spans="1:7" s="86" customFormat="1" ht="10">
      <c r="A24" s="474" t="s">
        <v>273</v>
      </c>
      <c r="B24" s="473" t="s">
        <v>274</v>
      </c>
      <c r="C24" s="642">
        <v>0</v>
      </c>
      <c r="D24" s="642"/>
      <c r="E24" s="643">
        <v>0</v>
      </c>
      <c r="F24" s="643"/>
      <c r="G24" s="468"/>
    </row>
    <row r="25" spans="1:7" s="86" customFormat="1" ht="10.5">
      <c r="A25" s="475"/>
      <c r="B25" s="476" t="s">
        <v>69</v>
      </c>
      <c r="C25" s="647">
        <f>SUM(C16:D24)</f>
        <v>36.799999999999997</v>
      </c>
      <c r="D25" s="647"/>
      <c r="E25" s="647">
        <f>SUM(E16:F24)</f>
        <v>36.799999999999997</v>
      </c>
      <c r="F25" s="647"/>
      <c r="G25" s="468"/>
    </row>
    <row r="26" spans="1:7" s="86" customFormat="1" ht="21">
      <c r="A26" s="467"/>
      <c r="B26" s="439" t="s">
        <v>0</v>
      </c>
      <c r="C26" s="439"/>
      <c r="D26" s="17"/>
      <c r="E26" s="68"/>
      <c r="F26" s="17"/>
    </row>
    <row r="27" spans="1:7" s="86" customFormat="1" ht="10.5">
      <c r="A27" s="470" t="s">
        <v>237</v>
      </c>
      <c r="B27" s="644" t="s">
        <v>275</v>
      </c>
      <c r="C27" s="648"/>
      <c r="D27" s="648"/>
      <c r="E27" s="648"/>
      <c r="F27" s="649"/>
    </row>
    <row r="28" spans="1:7" s="86" customFormat="1" ht="10">
      <c r="A28" s="471" t="s">
        <v>239</v>
      </c>
      <c r="B28" s="472" t="s">
        <v>276</v>
      </c>
      <c r="C28" s="640">
        <v>18.02</v>
      </c>
      <c r="D28" s="640"/>
      <c r="E28" s="641">
        <v>0</v>
      </c>
      <c r="F28" s="641"/>
      <c r="G28" s="468"/>
    </row>
    <row r="29" spans="1:7" s="86" customFormat="1" ht="10">
      <c r="A29" s="471" t="s">
        <v>277</v>
      </c>
      <c r="B29" s="473" t="s">
        <v>278</v>
      </c>
      <c r="C29" s="642">
        <v>4.3099999999999996</v>
      </c>
      <c r="D29" s="642"/>
      <c r="E29" s="643">
        <v>0</v>
      </c>
      <c r="F29" s="643"/>
      <c r="G29" s="468"/>
    </row>
    <row r="30" spans="1:7" s="86" customFormat="1" ht="10">
      <c r="A30" s="471" t="s">
        <v>279</v>
      </c>
      <c r="B30" s="473" t="s">
        <v>280</v>
      </c>
      <c r="C30" s="642">
        <v>0.86</v>
      </c>
      <c r="D30" s="642"/>
      <c r="E30" s="643">
        <v>0.65</v>
      </c>
      <c r="F30" s="643"/>
      <c r="G30" s="468"/>
    </row>
    <row r="31" spans="1:7" s="86" customFormat="1" ht="10">
      <c r="A31" s="471" t="s">
        <v>281</v>
      </c>
      <c r="B31" s="473" t="s">
        <v>282</v>
      </c>
      <c r="C31" s="642">
        <v>10.96</v>
      </c>
      <c r="D31" s="642"/>
      <c r="E31" s="643">
        <v>8.33</v>
      </c>
      <c r="F31" s="643"/>
      <c r="G31" s="468"/>
    </row>
    <row r="32" spans="1:7" s="86" customFormat="1" ht="10">
      <c r="A32" s="471" t="s">
        <v>283</v>
      </c>
      <c r="B32" s="473" t="s">
        <v>284</v>
      </c>
      <c r="C32" s="642">
        <v>7.0000000000000007E-2</v>
      </c>
      <c r="D32" s="642"/>
      <c r="E32" s="643">
        <v>0.05</v>
      </c>
      <c r="F32" s="643"/>
      <c r="G32" s="468"/>
    </row>
    <row r="33" spans="1:7" s="86" customFormat="1" ht="10">
      <c r="A33" s="471" t="s">
        <v>285</v>
      </c>
      <c r="B33" s="473" t="s">
        <v>286</v>
      </c>
      <c r="C33" s="642">
        <v>0.73</v>
      </c>
      <c r="D33" s="642"/>
      <c r="E33" s="643">
        <v>0.56000000000000005</v>
      </c>
      <c r="F33" s="643"/>
      <c r="G33" s="468"/>
    </row>
    <row r="34" spans="1:7" s="86" customFormat="1" ht="10">
      <c r="A34" s="471" t="s">
        <v>287</v>
      </c>
      <c r="B34" s="473" t="s">
        <v>288</v>
      </c>
      <c r="C34" s="642">
        <v>2.04</v>
      </c>
      <c r="D34" s="642"/>
      <c r="E34" s="643">
        <v>0</v>
      </c>
      <c r="F34" s="643"/>
      <c r="G34" s="468"/>
    </row>
    <row r="35" spans="1:7" s="86" customFormat="1" ht="10">
      <c r="A35" s="471" t="s">
        <v>289</v>
      </c>
      <c r="B35" s="473" t="s">
        <v>290</v>
      </c>
      <c r="C35" s="642">
        <v>0.1</v>
      </c>
      <c r="D35" s="642"/>
      <c r="E35" s="643">
        <v>7.0000000000000007E-2</v>
      </c>
      <c r="F35" s="643"/>
      <c r="G35" s="468"/>
    </row>
    <row r="36" spans="1:7" s="86" customFormat="1" ht="10">
      <c r="A36" s="471" t="s">
        <v>291</v>
      </c>
      <c r="B36" s="473" t="s">
        <v>292</v>
      </c>
      <c r="C36" s="642">
        <v>9.76</v>
      </c>
      <c r="D36" s="642"/>
      <c r="E36" s="643">
        <v>7.42</v>
      </c>
      <c r="F36" s="643"/>
      <c r="G36" s="468"/>
    </row>
    <row r="37" spans="1:7" s="86" customFormat="1" ht="10">
      <c r="A37" s="474" t="s">
        <v>293</v>
      </c>
      <c r="B37" s="473" t="s">
        <v>294</v>
      </c>
      <c r="C37" s="642">
        <v>0.03</v>
      </c>
      <c r="D37" s="642"/>
      <c r="E37" s="643">
        <v>0.03</v>
      </c>
      <c r="F37" s="643"/>
      <c r="G37" s="468"/>
    </row>
    <row r="38" spans="1:7" s="86" customFormat="1" ht="10.5">
      <c r="A38" s="475"/>
      <c r="B38" s="476" t="s">
        <v>69</v>
      </c>
      <c r="C38" s="647">
        <f>SUM(C28:D37)</f>
        <v>46.879999999999995</v>
      </c>
      <c r="D38" s="647"/>
      <c r="E38" s="647">
        <f>SUM(E28:F37)</f>
        <v>17.110000000000003</v>
      </c>
      <c r="F38" s="647"/>
      <c r="G38" s="468"/>
    </row>
    <row r="39" spans="1:7" s="86" customFormat="1" ht="21">
      <c r="A39" s="467"/>
      <c r="B39" s="439" t="s">
        <v>0</v>
      </c>
      <c r="C39" s="439"/>
      <c r="D39" s="27"/>
      <c r="E39" s="69"/>
      <c r="F39" s="27"/>
    </row>
    <row r="40" spans="1:7" s="86" customFormat="1" ht="10.5">
      <c r="A40" s="470" t="s">
        <v>251</v>
      </c>
      <c r="B40" s="644" t="s">
        <v>295</v>
      </c>
      <c r="C40" s="648"/>
      <c r="D40" s="648"/>
      <c r="E40" s="648"/>
      <c r="F40" s="649"/>
      <c r="G40" s="468"/>
    </row>
    <row r="41" spans="1:7" s="86" customFormat="1" ht="10">
      <c r="A41" s="471" t="s">
        <v>253</v>
      </c>
      <c r="B41" s="472" t="s">
        <v>296</v>
      </c>
      <c r="C41" s="640">
        <v>4.53</v>
      </c>
      <c r="D41" s="640"/>
      <c r="E41" s="641">
        <v>3.45</v>
      </c>
      <c r="F41" s="641"/>
      <c r="G41" s="468"/>
    </row>
    <row r="42" spans="1:7" s="86" customFormat="1" ht="10">
      <c r="A42" s="471" t="s">
        <v>255</v>
      </c>
      <c r="B42" s="473" t="s">
        <v>297</v>
      </c>
      <c r="C42" s="642">
        <v>0.11</v>
      </c>
      <c r="D42" s="642"/>
      <c r="E42" s="643">
        <v>0.08</v>
      </c>
      <c r="F42" s="643"/>
      <c r="G42" s="468"/>
    </row>
    <row r="43" spans="1:7" s="86" customFormat="1" ht="10">
      <c r="A43" s="471" t="s">
        <v>257</v>
      </c>
      <c r="B43" s="473" t="s">
        <v>298</v>
      </c>
      <c r="C43" s="642">
        <v>4.29</v>
      </c>
      <c r="D43" s="642"/>
      <c r="E43" s="643">
        <v>3.26</v>
      </c>
      <c r="F43" s="643"/>
      <c r="G43" s="468"/>
    </row>
    <row r="44" spans="1:7" s="86" customFormat="1" ht="10">
      <c r="A44" s="471" t="s">
        <v>299</v>
      </c>
      <c r="B44" s="473" t="s">
        <v>300</v>
      </c>
      <c r="C44" s="642">
        <v>2.96</v>
      </c>
      <c r="D44" s="642"/>
      <c r="E44" s="643">
        <v>2.25</v>
      </c>
      <c r="F44" s="643"/>
      <c r="G44" s="468"/>
    </row>
    <row r="45" spans="1:7" s="86" customFormat="1" ht="10">
      <c r="A45" s="474" t="s">
        <v>301</v>
      </c>
      <c r="B45" s="473" t="s">
        <v>302</v>
      </c>
      <c r="C45" s="642">
        <v>0.38</v>
      </c>
      <c r="D45" s="642"/>
      <c r="E45" s="643">
        <v>0.28999999999999998</v>
      </c>
      <c r="F45" s="643"/>
      <c r="G45" s="468"/>
    </row>
    <row r="46" spans="1:7" s="86" customFormat="1" ht="10.5">
      <c r="A46" s="475"/>
      <c r="B46" s="476" t="s">
        <v>69</v>
      </c>
      <c r="C46" s="647">
        <f>SUM(C41:D45)</f>
        <v>12.270000000000001</v>
      </c>
      <c r="D46" s="647"/>
      <c r="E46" s="647">
        <f>SUM(E41:F45)</f>
        <v>9.3299999999999983</v>
      </c>
      <c r="F46" s="647"/>
      <c r="G46" s="468"/>
    </row>
    <row r="47" spans="1:7" s="86" customFormat="1" ht="21">
      <c r="A47" s="467"/>
      <c r="B47" s="439" t="s">
        <v>0</v>
      </c>
      <c r="C47" s="439"/>
      <c r="D47" s="27"/>
      <c r="E47" s="69"/>
      <c r="F47" s="27"/>
    </row>
    <row r="48" spans="1:7" s="86" customFormat="1" ht="10.5">
      <c r="A48" s="470" t="s">
        <v>303</v>
      </c>
      <c r="B48" s="644" t="s">
        <v>304</v>
      </c>
      <c r="C48" s="648"/>
      <c r="D48" s="648"/>
      <c r="E48" s="648"/>
      <c r="F48" s="649"/>
      <c r="G48" s="468"/>
    </row>
    <row r="49" spans="1:7" s="86" customFormat="1" ht="10">
      <c r="A49" s="471" t="s">
        <v>305</v>
      </c>
      <c r="B49" s="472" t="s">
        <v>306</v>
      </c>
      <c r="C49" s="640">
        <v>17.25</v>
      </c>
      <c r="D49" s="640"/>
      <c r="E49" s="641">
        <v>6.3</v>
      </c>
      <c r="F49" s="641"/>
      <c r="G49" s="468"/>
    </row>
    <row r="50" spans="1:7" s="86" customFormat="1" ht="20">
      <c r="A50" s="474" t="s">
        <v>307</v>
      </c>
      <c r="B50" s="473" t="s">
        <v>308</v>
      </c>
      <c r="C50" s="642">
        <v>0.4</v>
      </c>
      <c r="D50" s="642"/>
      <c r="E50" s="643">
        <v>0.31</v>
      </c>
      <c r="F50" s="643"/>
      <c r="G50" s="468"/>
    </row>
    <row r="51" spans="1:7" s="86" customFormat="1" ht="10.5">
      <c r="A51" s="475"/>
      <c r="B51" s="476" t="s">
        <v>69</v>
      </c>
      <c r="C51" s="652">
        <f>SUM(C49:D50)</f>
        <v>17.649999999999999</v>
      </c>
      <c r="D51" s="652"/>
      <c r="E51" s="652">
        <f>SUM(E49:F50)</f>
        <v>6.6099999999999994</v>
      </c>
      <c r="F51" s="652"/>
      <c r="G51" s="468"/>
    </row>
    <row r="52" spans="1:7" s="86" customFormat="1" ht="21">
      <c r="A52" s="467"/>
      <c r="B52" s="439" t="s">
        <v>0</v>
      </c>
      <c r="C52" s="439"/>
      <c r="D52" s="467"/>
      <c r="E52" s="467"/>
    </row>
    <row r="53" spans="1:7" s="86" customFormat="1" ht="10.5">
      <c r="A53" s="651" t="s">
        <v>309</v>
      </c>
      <c r="B53" s="651"/>
      <c r="C53" s="650">
        <f>SUM(C46,C38,C25,C51)</f>
        <v>113.6</v>
      </c>
      <c r="D53" s="650"/>
      <c r="E53" s="650">
        <f>SUM(E46,E38,E25,E51)</f>
        <v>69.849999999999994</v>
      </c>
      <c r="F53" s="650"/>
    </row>
    <row r="54" spans="1:7" s="86" customFormat="1" ht="10"/>
  </sheetData>
  <mergeCells count="69">
    <mergeCell ref="B48:F48"/>
    <mergeCell ref="E53:F53"/>
    <mergeCell ref="C53:D53"/>
    <mergeCell ref="A53:B53"/>
    <mergeCell ref="C49:D49"/>
    <mergeCell ref="E49:F49"/>
    <mergeCell ref="C50:D50"/>
    <mergeCell ref="E50:F50"/>
    <mergeCell ref="C51:D51"/>
    <mergeCell ref="E51:F51"/>
    <mergeCell ref="E46:F46"/>
    <mergeCell ref="C42:D42"/>
    <mergeCell ref="E42:F42"/>
    <mergeCell ref="C43:D43"/>
    <mergeCell ref="E43:F43"/>
    <mergeCell ref="C44:D44"/>
    <mergeCell ref="E44:F44"/>
    <mergeCell ref="C45:D45"/>
    <mergeCell ref="E45:F45"/>
    <mergeCell ref="C46:D46"/>
    <mergeCell ref="C38:D38"/>
    <mergeCell ref="E38:F38"/>
    <mergeCell ref="C41:D41"/>
    <mergeCell ref="E41:F41"/>
    <mergeCell ref="C35:D35"/>
    <mergeCell ref="E35:F35"/>
    <mergeCell ref="C36:D36"/>
    <mergeCell ref="E36:F36"/>
    <mergeCell ref="C37:D37"/>
    <mergeCell ref="E37:F37"/>
    <mergeCell ref="B40:F40"/>
    <mergeCell ref="C32:D32"/>
    <mergeCell ref="E32:F32"/>
    <mergeCell ref="C33:D33"/>
    <mergeCell ref="E33:F33"/>
    <mergeCell ref="C34:D34"/>
    <mergeCell ref="E34:F34"/>
    <mergeCell ref="C29:D29"/>
    <mergeCell ref="E29:F29"/>
    <mergeCell ref="C30:D30"/>
    <mergeCell ref="E30:F30"/>
    <mergeCell ref="C31:D31"/>
    <mergeCell ref="E31:F31"/>
    <mergeCell ref="C21:D21"/>
    <mergeCell ref="E21:F21"/>
    <mergeCell ref="C25:D25"/>
    <mergeCell ref="E25:F25"/>
    <mergeCell ref="C28:D28"/>
    <mergeCell ref="E28:F28"/>
    <mergeCell ref="C22:D22"/>
    <mergeCell ref="E22:F22"/>
    <mergeCell ref="C23:D23"/>
    <mergeCell ref="E23:F23"/>
    <mergeCell ref="C24:D24"/>
    <mergeCell ref="E24:F24"/>
    <mergeCell ref="B27:F27"/>
    <mergeCell ref="C18:D18"/>
    <mergeCell ref="E18:F18"/>
    <mergeCell ref="C19:D19"/>
    <mergeCell ref="E19:F19"/>
    <mergeCell ref="C20:D20"/>
    <mergeCell ref="E20:F20"/>
    <mergeCell ref="C13:D13"/>
    <mergeCell ref="E13:F13"/>
    <mergeCell ref="C16:D16"/>
    <mergeCell ref="E16:F16"/>
    <mergeCell ref="C17:D17"/>
    <mergeCell ref="E17:F17"/>
    <mergeCell ref="B15:F15"/>
  </mergeCells>
  <conditionalFormatting sqref="D7:D11">
    <cfRule type="cellIs" dxfId="1" priority="2" operator="equal">
      <formula>0</formula>
    </cfRule>
  </conditionalFormatting>
  <conditionalFormatting sqref="E7:E11">
    <cfRule type="cellIs" dxfId="0" priority="1" operator="equal">
      <formula>0</formula>
    </cfRule>
  </conditionalFormatting>
  <pageMargins left="0.51181102362204722" right="0.51181102362204722" top="0.51181102362204722" bottom="0.70866141732283472" header="0" footer="0.19685039370078741"/>
  <pageSetup paperSize="9" scale="89" orientation="portrait" r:id="rId1"/>
  <headerFooter>
    <oddFooter>&amp;L&amp;9&amp;A&amp;R&amp;9Página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outlinePr summaryBelow="0"/>
  </sheetPr>
  <dimension ref="A1:M77"/>
  <sheetViews>
    <sheetView view="pageBreakPreview" zoomScale="70" zoomScaleNormal="85" zoomScaleSheetLayoutView="70" workbookViewId="0">
      <selection activeCell="J23" sqref="J23"/>
    </sheetView>
  </sheetViews>
  <sheetFormatPr defaultColWidth="9.08203125" defaultRowHeight="14"/>
  <cols>
    <col min="1" max="1" width="9.25" style="12" customWidth="1"/>
    <col min="2" max="2" width="10.25" style="12" customWidth="1"/>
    <col min="3" max="3" width="42.75" style="12" bestFit="1"/>
    <col min="4" max="4" width="9.25" style="12" customWidth="1"/>
    <col min="5" max="5" width="11" style="12" bestFit="1" customWidth="1"/>
    <col min="6" max="6" width="7.75" style="12" customWidth="1"/>
    <col min="7" max="9" width="10.75" style="12" customWidth="1"/>
    <col min="10" max="10" width="13.1640625" style="12" bestFit="1" customWidth="1"/>
    <col min="11" max="11" width="12" style="13" bestFit="1" customWidth="1"/>
    <col min="12" max="12" width="10.25" style="12" bestFit="1" customWidth="1"/>
    <col min="13" max="13" width="13.33203125" style="12" bestFit="1" customWidth="1"/>
    <col min="14" max="16384" width="9.08203125" style="12"/>
  </cols>
  <sheetData>
    <row r="1" spans="1:12" ht="50.15" customHeight="1"/>
    <row r="2" spans="1:12" ht="25" customHeight="1">
      <c r="A2" s="14" t="s">
        <v>333</v>
      </c>
      <c r="B2" s="14"/>
      <c r="C2" s="14"/>
      <c r="D2" s="14"/>
      <c r="E2" s="14"/>
      <c r="F2" s="14"/>
      <c r="G2" s="14"/>
      <c r="H2" s="15"/>
      <c r="I2" s="15"/>
      <c r="J2" s="15"/>
      <c r="K2" s="16"/>
    </row>
    <row r="3" spans="1:12" ht="5.15" customHeight="1">
      <c r="A3" s="17"/>
      <c r="B3" s="17"/>
      <c r="C3" s="17"/>
      <c r="D3" s="17"/>
      <c r="E3" s="17"/>
      <c r="F3" s="17"/>
      <c r="G3" s="17"/>
    </row>
    <row r="4" spans="1:12" s="17" customFormat="1" ht="15" customHeight="1">
      <c r="A4" s="18" t="s">
        <v>321</v>
      </c>
      <c r="B4" s="19" t="str">
        <f>RESUMO!B4</f>
        <v>SUBSTITUIÇÃO DE ELEVADORES NA SEDE DA JUSTIÇA FEDERAL NA PARAÍBA - R2</v>
      </c>
      <c r="C4" s="19"/>
      <c r="D4" s="19"/>
      <c r="E4" s="19"/>
      <c r="F4" s="19"/>
      <c r="G4" s="19"/>
      <c r="H4" s="19"/>
      <c r="I4" s="19"/>
      <c r="J4" s="19"/>
      <c r="K4" s="20"/>
    </row>
    <row r="5" spans="1:12" s="17" customFormat="1" ht="15" customHeight="1">
      <c r="A5" s="21" t="s">
        <v>325</v>
      </c>
      <c r="B5" s="22" t="str">
        <f>RESUMO!B5</f>
        <v>R2 - 15/04/2025</v>
      </c>
      <c r="C5" s="22"/>
      <c r="D5" s="22"/>
      <c r="E5" s="22"/>
      <c r="F5" s="22"/>
      <c r="G5" s="23"/>
      <c r="H5" s="21" t="s">
        <v>334</v>
      </c>
      <c r="I5" s="24"/>
      <c r="J5" s="21" t="s">
        <v>329</v>
      </c>
      <c r="K5" s="25">
        <f>RESUMO!$F$5</f>
        <v>45762</v>
      </c>
    </row>
    <row r="6" spans="1:12" s="17" customFormat="1" ht="15" customHeight="1">
      <c r="A6" s="26" t="s">
        <v>322</v>
      </c>
      <c r="B6" s="27" t="str">
        <f>RESUMO!B6</f>
        <v>RUA JOÃO TEIXEIRA DE CARVALHO, 480, PEDRO GONDIM, JOÃO PESSOA/PB</v>
      </c>
      <c r="C6" s="27"/>
      <c r="D6" s="27"/>
      <c r="E6" s="27"/>
      <c r="F6" s="27"/>
      <c r="G6" s="28"/>
      <c r="H6" s="29" t="str">
        <f>RESUMO!$C$6</f>
        <v>SINAPI</v>
      </c>
      <c r="I6" s="30" t="str">
        <f>RESUMO!$D$6</f>
        <v>2025/02</v>
      </c>
      <c r="J6" s="26" t="s">
        <v>443</v>
      </c>
      <c r="K6" s="30">
        <f>RESUMO!$F$6</f>
        <v>0.23530000000000001</v>
      </c>
    </row>
    <row r="7" spans="1:12" s="17" customFormat="1" ht="15" customHeight="1">
      <c r="A7" s="26" t="s">
        <v>323</v>
      </c>
      <c r="B7" s="27" t="str">
        <f>RESUMO!B7</f>
        <v>JUSTIÇA FEDERAL NA PARAÍBA</v>
      </c>
      <c r="C7" s="27"/>
      <c r="D7" s="27"/>
      <c r="E7" s="27"/>
      <c r="F7" s="27"/>
      <c r="G7" s="28"/>
      <c r="H7" s="29" t="str">
        <f>RESUMO!$C$7</f>
        <v>SICRO</v>
      </c>
      <c r="I7" s="30" t="str">
        <f>RESUMO!$D$7</f>
        <v>2025/01</v>
      </c>
      <c r="J7" s="26" t="s">
        <v>330</v>
      </c>
      <c r="K7" s="30">
        <f>RESUMO!$F$7</f>
        <v>0.1527</v>
      </c>
    </row>
    <row r="8" spans="1:12" s="17" customFormat="1" ht="15" customHeight="1">
      <c r="A8" s="26" t="s">
        <v>328</v>
      </c>
      <c r="B8" s="27" t="str">
        <f>RESUMO!B8</f>
        <v>JOSÉ MENDONÇA FILHO SEGUNDO</v>
      </c>
      <c r="C8" s="27"/>
      <c r="D8" s="27"/>
      <c r="E8" s="27"/>
      <c r="F8" s="27"/>
      <c r="G8" s="28"/>
      <c r="H8" s="29" t="str">
        <f>RESUMO!$C$8</f>
        <v>SBC</v>
      </c>
      <c r="I8" s="30" t="str">
        <f>RESUMO!$D$8</f>
        <v>2025/02</v>
      </c>
      <c r="J8" s="26" t="s">
        <v>331</v>
      </c>
      <c r="K8" s="30">
        <f>RESUMO!$F$8</f>
        <v>1.1359999999999999</v>
      </c>
    </row>
    <row r="9" spans="1:12" s="17" customFormat="1" ht="15" customHeight="1">
      <c r="A9" s="31" t="s">
        <v>324</v>
      </c>
      <c r="B9" s="32" t="str">
        <f>RESUMO!B9</f>
        <v>ENGENHEIRO MECÂNICO - CREA 060136183-0</v>
      </c>
      <c r="C9" s="32"/>
      <c r="D9" s="32"/>
      <c r="E9" s="32"/>
      <c r="F9" s="32"/>
      <c r="G9" s="33"/>
      <c r="H9" s="31" t="s">
        <v>325</v>
      </c>
      <c r="I9" s="34" t="str">
        <f>RESUMO!$D$9</f>
        <v>R2</v>
      </c>
      <c r="J9" s="31" t="s">
        <v>332</v>
      </c>
      <c r="K9" s="34">
        <f>RESUMO!$F$9</f>
        <v>0.6984999999999999</v>
      </c>
    </row>
    <row r="10" spans="1:12" ht="5.15" customHeight="1">
      <c r="A10" s="35"/>
      <c r="B10" s="1" t="s">
        <v>0</v>
      </c>
      <c r="C10" s="1"/>
      <c r="D10" s="1"/>
      <c r="E10" s="1"/>
      <c r="F10" s="1"/>
      <c r="G10" s="1"/>
      <c r="H10" s="1"/>
      <c r="I10" s="1"/>
      <c r="J10" s="35"/>
    </row>
    <row r="11" spans="1:12" ht="22" customHeight="1">
      <c r="A11" s="477" t="s">
        <v>1</v>
      </c>
      <c r="B11" s="477" t="s">
        <v>2</v>
      </c>
      <c r="C11" s="477" t="s">
        <v>3</v>
      </c>
      <c r="D11" s="477" t="s">
        <v>4</v>
      </c>
      <c r="E11" s="477" t="s">
        <v>441</v>
      </c>
      <c r="F11" s="477" t="s">
        <v>5</v>
      </c>
      <c r="G11" s="477" t="s">
        <v>6</v>
      </c>
      <c r="H11" s="477" t="s">
        <v>766</v>
      </c>
      <c r="I11" s="477" t="s">
        <v>442</v>
      </c>
      <c r="J11" s="477" t="s">
        <v>7</v>
      </c>
      <c r="K11" s="478" t="s">
        <v>446</v>
      </c>
    </row>
    <row r="12" spans="1:12" s="42" customFormat="1">
      <c r="A12" s="38" t="s">
        <v>8</v>
      </c>
      <c r="B12" s="39"/>
      <c r="C12" s="38" t="s">
        <v>9</v>
      </c>
      <c r="D12" s="38"/>
      <c r="E12" s="38"/>
      <c r="F12" s="38"/>
      <c r="G12" s="38"/>
      <c r="H12" s="38"/>
      <c r="I12" s="38"/>
      <c r="J12" s="40">
        <f>ROUND(SUM(J13:J13),2)</f>
        <v>192090.39</v>
      </c>
      <c r="K12" s="41"/>
    </row>
    <row r="13" spans="1:12" s="42" customFormat="1" ht="20">
      <c r="A13" s="43" t="s">
        <v>10</v>
      </c>
      <c r="B13" s="44" t="s">
        <v>469</v>
      </c>
      <c r="C13" s="45" t="s">
        <v>470</v>
      </c>
      <c r="D13" s="44" t="s">
        <v>11</v>
      </c>
      <c r="E13" s="44" t="s">
        <v>444</v>
      </c>
      <c r="F13" s="44" t="s">
        <v>12</v>
      </c>
      <c r="G13" s="46">
        <f>_xlfn.XLOOKUP(B13,QUANT!$B$12:$B$225,QUANT!$G$12:$G$225,"erro")</f>
        <v>1</v>
      </c>
      <c r="H13" s="47">
        <f>_xlfn.XLOOKUP(C13,ABC_SERV!$B$12:$B$63,ABC_SERV!$G$12:$G$63,0)</f>
        <v>155501.01</v>
      </c>
      <c r="I13" s="46">
        <f>TRUNC(H13*(IF(E13="GERAL",1+$K$6,1+$K$7)),2)</f>
        <v>192090.39</v>
      </c>
      <c r="J13" s="48">
        <f>(TRUNC(G13*I13,2))</f>
        <v>192090.39</v>
      </c>
      <c r="K13" s="49">
        <f>J13/$J$74</f>
        <v>0.12463484737060324</v>
      </c>
      <c r="L13" s="50"/>
    </row>
    <row r="14" spans="1:12" s="42" customFormat="1">
      <c r="A14" s="38">
        <v>2</v>
      </c>
      <c r="B14" s="39"/>
      <c r="C14" s="38" t="s">
        <v>14</v>
      </c>
      <c r="D14" s="38"/>
      <c r="E14" s="38"/>
      <c r="F14" s="38"/>
      <c r="G14" s="51"/>
      <c r="H14" s="52"/>
      <c r="I14" s="52"/>
      <c r="J14" s="40">
        <f>SUM(J15,J17)</f>
        <v>30614.61</v>
      </c>
      <c r="K14" s="41"/>
    </row>
    <row r="15" spans="1:12" s="42" customFormat="1">
      <c r="A15" s="53" t="s">
        <v>15</v>
      </c>
      <c r="B15" s="54"/>
      <c r="C15" s="53" t="s">
        <v>16</v>
      </c>
      <c r="D15" s="53"/>
      <c r="E15" s="53"/>
      <c r="F15" s="53"/>
      <c r="G15" s="53"/>
      <c r="H15" s="55"/>
      <c r="I15" s="55"/>
      <c r="J15" s="56">
        <f>ROUND(SUM(J16:J16),2)</f>
        <v>324.32</v>
      </c>
      <c r="K15" s="57"/>
    </row>
    <row r="16" spans="1:12" s="42" customFormat="1" ht="20">
      <c r="A16" s="58" t="s">
        <v>17</v>
      </c>
      <c r="B16" s="59" t="s">
        <v>18</v>
      </c>
      <c r="C16" s="60" t="s">
        <v>19</v>
      </c>
      <c r="D16" s="59" t="s">
        <v>11</v>
      </c>
      <c r="E16" s="59" t="s">
        <v>444</v>
      </c>
      <c r="F16" s="59" t="s">
        <v>12</v>
      </c>
      <c r="G16" s="61">
        <f>_xlfn.XLOOKUP(B16,QUANT!$B$12:$B$225,QUANT!$G$12:$G$225,"erro")</f>
        <v>1</v>
      </c>
      <c r="H16" s="62">
        <f>_xlfn.XLOOKUP(C16,ABC_SERV!$B$12:$B$63,ABC_SERV!$G$12:$G$63,0)</f>
        <v>262.55</v>
      </c>
      <c r="I16" s="46">
        <f>TRUNC(H16*(IF(E16="GERAL",1+$K$6,1+$K$7)),2)</f>
        <v>324.32</v>
      </c>
      <c r="J16" s="48">
        <f>(TRUNC(G16*I16,2))</f>
        <v>324.32</v>
      </c>
      <c r="K16" s="63">
        <f>J16/$J$74</f>
        <v>2.1042996320239674E-4</v>
      </c>
    </row>
    <row r="17" spans="1:11" s="42" customFormat="1">
      <c r="A17" s="53" t="s">
        <v>20</v>
      </c>
      <c r="B17" s="54"/>
      <c r="C17" s="53" t="s">
        <v>21</v>
      </c>
      <c r="D17" s="53"/>
      <c r="E17" s="53"/>
      <c r="F17" s="53"/>
      <c r="G17" s="53"/>
      <c r="H17" s="55"/>
      <c r="I17" s="55"/>
      <c r="J17" s="56">
        <f>ROUND(SUM(J18:J22),2)</f>
        <v>30290.29</v>
      </c>
      <c r="K17" s="57"/>
    </row>
    <row r="18" spans="1:11" s="42" customFormat="1" ht="20">
      <c r="A18" s="58" t="s">
        <v>22</v>
      </c>
      <c r="B18" s="59">
        <v>105115</v>
      </c>
      <c r="C18" s="60" t="s">
        <v>23</v>
      </c>
      <c r="D18" s="59" t="s">
        <v>24</v>
      </c>
      <c r="E18" s="59" t="s">
        <v>444</v>
      </c>
      <c r="F18" s="59" t="s">
        <v>12</v>
      </c>
      <c r="G18" s="61">
        <f>_xlfn.XLOOKUP(B18,QUANT!$B$12:$B$225,QUANT!$G$12:$G$225,"erro")</f>
        <v>2</v>
      </c>
      <c r="H18" s="62">
        <f>_xlfn.XLOOKUP(C18,ABC_SERV!$B$12:$B$63,ABC_SERV!$G$12:$G$63,0)</f>
        <v>121.25999999999999</v>
      </c>
      <c r="I18" s="46">
        <f t="shared" ref="I18:I22" si="0">TRUNC(H18*(IF(E18="GERAL",1+$K$6,1+$K$7)),2)</f>
        <v>149.79</v>
      </c>
      <c r="J18" s="48">
        <f t="shared" ref="J18:J22" si="1">(TRUNC(G18*I18,2))</f>
        <v>299.58</v>
      </c>
      <c r="K18" s="63">
        <f>J18/$J$74</f>
        <v>1.943778008638814E-4</v>
      </c>
    </row>
    <row r="19" spans="1:11" s="42" customFormat="1" ht="30">
      <c r="A19" s="58" t="s">
        <v>25</v>
      </c>
      <c r="B19" s="59">
        <v>10776</v>
      </c>
      <c r="C19" s="60" t="s">
        <v>26</v>
      </c>
      <c r="D19" s="59" t="s">
        <v>24</v>
      </c>
      <c r="E19" s="59" t="s">
        <v>444</v>
      </c>
      <c r="F19" s="59" t="s">
        <v>27</v>
      </c>
      <c r="G19" s="61">
        <f>_xlfn.XLOOKUP(B19,QUANT!$B$12:$B$225,QUANT!$G$12:$G$225,"erro")</f>
        <v>10</v>
      </c>
      <c r="H19" s="62">
        <f>_xlfn.XLOOKUP(C19,ABC_SERV!$B$12:$B$63,ABC_SERV!$G$12:$G$63,0)</f>
        <v>662.1</v>
      </c>
      <c r="I19" s="46">
        <f t="shared" si="0"/>
        <v>817.89</v>
      </c>
      <c r="J19" s="48">
        <f t="shared" si="1"/>
        <v>8178.9</v>
      </c>
      <c r="K19" s="63">
        <f>J19/$J$74</f>
        <v>5.3067514369637475E-3</v>
      </c>
    </row>
    <row r="20" spans="1:11" s="42" customFormat="1" ht="30">
      <c r="A20" s="58" t="s">
        <v>28</v>
      </c>
      <c r="B20" s="59">
        <v>10778</v>
      </c>
      <c r="C20" s="60" t="s">
        <v>29</v>
      </c>
      <c r="D20" s="59" t="s">
        <v>24</v>
      </c>
      <c r="E20" s="59" t="s">
        <v>444</v>
      </c>
      <c r="F20" s="59" t="s">
        <v>27</v>
      </c>
      <c r="G20" s="61">
        <f>_xlfn.XLOOKUP(B20,QUANT!$B$12:$B$225,QUANT!$G$12:$G$225,"erro")</f>
        <v>10</v>
      </c>
      <c r="H20" s="62">
        <f>_xlfn.XLOOKUP(C20,ABC_SERV!$B$12:$B$63,ABC_SERV!$G$12:$G$63,0)</f>
        <v>1059.3699999999999</v>
      </c>
      <c r="I20" s="46">
        <f t="shared" si="0"/>
        <v>1308.6300000000001</v>
      </c>
      <c r="J20" s="48">
        <f t="shared" si="1"/>
        <v>13086.3</v>
      </c>
      <c r="K20" s="63">
        <f>J20/$J$74</f>
        <v>8.4908412292042552E-3</v>
      </c>
    </row>
    <row r="21" spans="1:11" s="42" customFormat="1" ht="30">
      <c r="A21" s="58" t="s">
        <v>30</v>
      </c>
      <c r="B21" s="59">
        <v>103689</v>
      </c>
      <c r="C21" s="60" t="s">
        <v>31</v>
      </c>
      <c r="D21" s="59" t="s">
        <v>24</v>
      </c>
      <c r="E21" s="59" t="s">
        <v>444</v>
      </c>
      <c r="F21" s="59" t="s">
        <v>32</v>
      </c>
      <c r="G21" s="61">
        <f>_xlfn.XLOOKUP(B21,QUANT!$B$12:$B$225,QUANT!$G$12:$G$225,"erro")</f>
        <v>8</v>
      </c>
      <c r="H21" s="62">
        <f>_xlfn.XLOOKUP(C21,ABC_SERV!$B$12:$B$63,ABC_SERV!$G$12:$G$63,0)</f>
        <v>462.25</v>
      </c>
      <c r="I21" s="46">
        <f t="shared" si="0"/>
        <v>571.01</v>
      </c>
      <c r="J21" s="48">
        <f t="shared" si="1"/>
        <v>4568.08</v>
      </c>
      <c r="K21" s="63">
        <f>J21/$J$74</f>
        <v>2.9639273134731267E-3</v>
      </c>
    </row>
    <row r="22" spans="1:11" s="42" customFormat="1">
      <c r="A22" s="58" t="s">
        <v>33</v>
      </c>
      <c r="B22" s="59">
        <v>98459</v>
      </c>
      <c r="C22" s="60" t="s">
        <v>34</v>
      </c>
      <c r="D22" s="59" t="s">
        <v>24</v>
      </c>
      <c r="E22" s="59" t="s">
        <v>444</v>
      </c>
      <c r="F22" s="59" t="s">
        <v>32</v>
      </c>
      <c r="G22" s="61">
        <f>_xlfn.XLOOKUP(B22,QUANT!$B$12:$B$225,QUANT!$G$12:$G$225,"erro")</f>
        <v>36.299999999999997</v>
      </c>
      <c r="H22" s="62">
        <f>_xlfn.XLOOKUP(C22,ABC_SERV!$B$12:$B$63,ABC_SERV!$G$12:$G$63,0)</f>
        <v>92.719999999999985</v>
      </c>
      <c r="I22" s="46">
        <f t="shared" si="0"/>
        <v>114.53</v>
      </c>
      <c r="J22" s="48">
        <f t="shared" si="1"/>
        <v>4157.43</v>
      </c>
      <c r="K22" s="63">
        <f>J22/$J$74</f>
        <v>2.6974834790223861E-3</v>
      </c>
    </row>
    <row r="23" spans="1:11" s="42" customFormat="1">
      <c r="A23" s="38">
        <v>3</v>
      </c>
      <c r="B23" s="39"/>
      <c r="C23" s="38" t="s">
        <v>36</v>
      </c>
      <c r="D23" s="38"/>
      <c r="E23" s="38"/>
      <c r="F23" s="38"/>
      <c r="G23" s="38"/>
      <c r="H23" s="52"/>
      <c r="I23" s="52"/>
      <c r="J23" s="40">
        <f>ROUND(SUM(J24:J33),2)</f>
        <v>40037.65</v>
      </c>
      <c r="K23" s="41"/>
    </row>
    <row r="24" spans="1:11" s="42" customFormat="1" ht="30">
      <c r="A24" s="58" t="s">
        <v>37</v>
      </c>
      <c r="B24" s="59" t="s">
        <v>471</v>
      </c>
      <c r="C24" s="60" t="s">
        <v>472</v>
      </c>
      <c r="D24" s="59" t="s">
        <v>11</v>
      </c>
      <c r="E24" s="59" t="s">
        <v>444</v>
      </c>
      <c r="F24" s="59" t="s">
        <v>49</v>
      </c>
      <c r="G24" s="61">
        <f>_xlfn.XLOOKUP(B24,QUANT!$B$12:$B$225,QUANT!$G$12:$G$225,"erro")</f>
        <v>25</v>
      </c>
      <c r="H24" s="62">
        <f>_xlfn.XLOOKUP(C24,ABC_SERV!$B$12:$B$63,ABC_SERV!$G$12:$G$63,0)</f>
        <v>281.86</v>
      </c>
      <c r="I24" s="46">
        <f t="shared" ref="I24:I33" si="2">TRUNC(H24*(IF(E24="GERAL",1+$K$6,1+$K$7)),2)</f>
        <v>348.18</v>
      </c>
      <c r="J24" s="48">
        <f t="shared" ref="J24:J33" si="3">(TRUNC(G24*I24,2))</f>
        <v>8704.5</v>
      </c>
      <c r="K24" s="63">
        <f t="shared" ref="K24:K33" si="4">J24/$J$74</f>
        <v>5.6477787823608237E-3</v>
      </c>
    </row>
    <row r="25" spans="1:11" s="42" customFormat="1" ht="30">
      <c r="A25" s="58" t="s">
        <v>38</v>
      </c>
      <c r="B25" s="59" t="s">
        <v>471</v>
      </c>
      <c r="C25" s="60" t="s">
        <v>473</v>
      </c>
      <c r="D25" s="59" t="s">
        <v>11</v>
      </c>
      <c r="E25" s="59" t="s">
        <v>444</v>
      </c>
      <c r="F25" s="59" t="s">
        <v>49</v>
      </c>
      <c r="G25" s="61">
        <f>_xlfn.XLOOKUP(B25,QUANT!$B$12:$B$225,QUANT!$G$12:$G$225,"erro")</f>
        <v>25</v>
      </c>
      <c r="H25" s="62">
        <f>_xlfn.XLOOKUP(C25,ABC_SERV!$B$12:$B$63,ABC_SERV!$G$12:$G$63,0)</f>
        <v>281.86</v>
      </c>
      <c r="I25" s="46">
        <f t="shared" si="2"/>
        <v>348.18</v>
      </c>
      <c r="J25" s="48">
        <f t="shared" si="3"/>
        <v>8704.5</v>
      </c>
      <c r="K25" s="63">
        <f t="shared" si="4"/>
        <v>5.6477787823608237E-3</v>
      </c>
    </row>
    <row r="26" spans="1:11" s="42" customFormat="1" ht="30">
      <c r="A26" s="58" t="s">
        <v>39</v>
      </c>
      <c r="B26" s="59" t="s">
        <v>471</v>
      </c>
      <c r="C26" s="60" t="s">
        <v>474</v>
      </c>
      <c r="D26" s="59" t="s">
        <v>11</v>
      </c>
      <c r="E26" s="59" t="s">
        <v>444</v>
      </c>
      <c r="F26" s="59" t="s">
        <v>49</v>
      </c>
      <c r="G26" s="61">
        <f>_xlfn.XLOOKUP(B26,QUANT!$B$12:$B$225,QUANT!$G$12:$G$225,"erro")</f>
        <v>25</v>
      </c>
      <c r="H26" s="62">
        <f>_xlfn.XLOOKUP(C26,ABC_SERV!$B$12:$B$63,ABC_SERV!$G$12:$G$63,0)</f>
        <v>281.86</v>
      </c>
      <c r="I26" s="46">
        <f t="shared" si="2"/>
        <v>348.18</v>
      </c>
      <c r="J26" s="48">
        <f t="shared" si="3"/>
        <v>8704.5</v>
      </c>
      <c r="K26" s="63">
        <f t="shared" si="4"/>
        <v>5.6477787823608237E-3</v>
      </c>
    </row>
    <row r="27" spans="1:11" s="42" customFormat="1" ht="30">
      <c r="A27" s="58" t="s">
        <v>41</v>
      </c>
      <c r="B27" s="59" t="s">
        <v>471</v>
      </c>
      <c r="C27" s="60" t="s">
        <v>475</v>
      </c>
      <c r="D27" s="59" t="s">
        <v>11</v>
      </c>
      <c r="E27" s="59" t="s">
        <v>444</v>
      </c>
      <c r="F27" s="59" t="s">
        <v>49</v>
      </c>
      <c r="G27" s="61">
        <f>QUANT!G45</f>
        <v>29.7</v>
      </c>
      <c r="H27" s="62">
        <f>_xlfn.XLOOKUP(C27,ABC_SERV!$B$12:$B$63,ABC_SERV!$G$12:$G$63,0)</f>
        <v>281.86</v>
      </c>
      <c r="I27" s="46">
        <f t="shared" si="2"/>
        <v>348.18</v>
      </c>
      <c r="J27" s="48">
        <f t="shared" si="3"/>
        <v>10340.94</v>
      </c>
      <c r="K27" s="63">
        <f t="shared" si="4"/>
        <v>6.7095573004384334E-3</v>
      </c>
    </row>
    <row r="28" spans="1:11" s="42" customFormat="1" ht="20">
      <c r="A28" s="58" t="s">
        <v>42</v>
      </c>
      <c r="B28" s="59">
        <v>99814</v>
      </c>
      <c r="C28" s="60" t="s">
        <v>565</v>
      </c>
      <c r="D28" s="59" t="s">
        <v>24</v>
      </c>
      <c r="E28" s="59" t="s">
        <v>444</v>
      </c>
      <c r="F28" s="59" t="s">
        <v>32</v>
      </c>
      <c r="G28" s="61">
        <f>_xlfn.XLOOKUP(B28,QUANT!$B$12:$B$225,QUANT!$G$12:$G$225,"erro")</f>
        <v>184.99199999999996</v>
      </c>
      <c r="H28" s="62">
        <f>_xlfn.XLOOKUP(C28,ABC_SERV!$B$12:$B$63,ABC_SERV!$G$12:$G$63,0)</f>
        <v>1.85</v>
      </c>
      <c r="I28" s="46">
        <f t="shared" si="2"/>
        <v>2.2799999999999998</v>
      </c>
      <c r="J28" s="48">
        <f t="shared" si="3"/>
        <v>421.78</v>
      </c>
      <c r="K28" s="63">
        <f t="shared" si="4"/>
        <v>2.7366536099995956E-4</v>
      </c>
    </row>
    <row r="29" spans="1:11" s="42" customFormat="1" ht="20">
      <c r="A29" s="58" t="s">
        <v>43</v>
      </c>
      <c r="B29" s="59">
        <v>99814</v>
      </c>
      <c r="C29" s="60" t="s">
        <v>566</v>
      </c>
      <c r="D29" s="59" t="s">
        <v>24</v>
      </c>
      <c r="E29" s="59" t="s">
        <v>444</v>
      </c>
      <c r="F29" s="59" t="s">
        <v>32</v>
      </c>
      <c r="G29" s="61">
        <f>_xlfn.XLOOKUP(B29,QUANT!$B$12:$B$225,QUANT!$G$12:$G$225,"erro")</f>
        <v>184.99199999999996</v>
      </c>
      <c r="H29" s="62">
        <f>_xlfn.XLOOKUP(C29,ABC_SERV!$B$12:$B$63,ABC_SERV!$G$12:$G$63,0)</f>
        <v>1.85</v>
      </c>
      <c r="I29" s="46">
        <f t="shared" si="2"/>
        <v>2.2799999999999998</v>
      </c>
      <c r="J29" s="48">
        <f t="shared" si="3"/>
        <v>421.78</v>
      </c>
      <c r="K29" s="63">
        <f t="shared" si="4"/>
        <v>2.7366536099995956E-4</v>
      </c>
    </row>
    <row r="30" spans="1:11" s="42" customFormat="1" ht="20">
      <c r="A30" s="58" t="s">
        <v>44</v>
      </c>
      <c r="B30" s="59">
        <v>99814</v>
      </c>
      <c r="C30" s="60" t="s">
        <v>567</v>
      </c>
      <c r="D30" s="59" t="s">
        <v>24</v>
      </c>
      <c r="E30" s="59" t="s">
        <v>444</v>
      </c>
      <c r="F30" s="59" t="s">
        <v>32</v>
      </c>
      <c r="G30" s="61">
        <f>_xlfn.XLOOKUP(B30,QUANT!$B$12:$B$225,QUANT!$G$12:$G$225,"erro")</f>
        <v>184.99199999999996</v>
      </c>
      <c r="H30" s="62">
        <f>_xlfn.XLOOKUP(C30,ABC_SERV!$B$12:$B$63,ABC_SERV!$G$12:$G$63,0)</f>
        <v>1.85</v>
      </c>
      <c r="I30" s="46">
        <f t="shared" si="2"/>
        <v>2.2799999999999998</v>
      </c>
      <c r="J30" s="48">
        <f t="shared" si="3"/>
        <v>421.78</v>
      </c>
      <c r="K30" s="63">
        <f t="shared" si="4"/>
        <v>2.7366536099995956E-4</v>
      </c>
    </row>
    <row r="31" spans="1:11" s="42" customFormat="1" ht="20">
      <c r="A31" s="58" t="s">
        <v>45</v>
      </c>
      <c r="B31" s="59">
        <v>99814</v>
      </c>
      <c r="C31" s="60" t="s">
        <v>568</v>
      </c>
      <c r="D31" s="59" t="s">
        <v>24</v>
      </c>
      <c r="E31" s="59" t="s">
        <v>444</v>
      </c>
      <c r="F31" s="59" t="s">
        <v>32</v>
      </c>
      <c r="G31" s="61">
        <f>QUANT!G60</f>
        <v>226.47040000000001</v>
      </c>
      <c r="H31" s="62">
        <f>_xlfn.XLOOKUP(C31,ABC_SERV!$B$12:$B$63,ABC_SERV!$G$12:$G$63,0)</f>
        <v>1.85</v>
      </c>
      <c r="I31" s="46">
        <f t="shared" si="2"/>
        <v>2.2799999999999998</v>
      </c>
      <c r="J31" s="48">
        <f t="shared" si="3"/>
        <v>516.35</v>
      </c>
      <c r="K31" s="63">
        <f t="shared" si="4"/>
        <v>3.3502562746533536E-4</v>
      </c>
    </row>
    <row r="32" spans="1:11" s="42" customFormat="1" ht="21" customHeight="1">
      <c r="A32" s="58" t="s">
        <v>776</v>
      </c>
      <c r="B32" s="59" t="s">
        <v>853</v>
      </c>
      <c r="C32" s="557" t="s">
        <v>854</v>
      </c>
      <c r="D32" s="59" t="s">
        <v>855</v>
      </c>
      <c r="E32" s="59" t="s">
        <v>444</v>
      </c>
      <c r="F32" s="59" t="s">
        <v>40</v>
      </c>
      <c r="G32" s="61">
        <f>_xlfn.XLOOKUP(B32,QUANT!$B$12:$B$225,QUANT!$G$12:$G$225,"erro")</f>
        <v>9.7999999999999989</v>
      </c>
      <c r="H32" s="62">
        <f>_xlfn.XLOOKUP(C32,ABC_SERV!$B$12:$B$63,ABC_SERV!$G$12:$G$63,0)</f>
        <v>60.78</v>
      </c>
      <c r="I32" s="46">
        <f t="shared" si="2"/>
        <v>75.08</v>
      </c>
      <c r="J32" s="48">
        <f t="shared" ref="J32" si="5">(TRUNC(G32*I32,2))</f>
        <v>735.78</v>
      </c>
      <c r="K32" s="63">
        <f t="shared" si="4"/>
        <v>4.7739935349364661E-4</v>
      </c>
    </row>
    <row r="33" spans="1:11" s="42" customFormat="1">
      <c r="A33" s="58" t="s">
        <v>777</v>
      </c>
      <c r="B33" s="59">
        <v>210000</v>
      </c>
      <c r="C33" s="557" t="s">
        <v>862</v>
      </c>
      <c r="D33" s="59" t="s">
        <v>855</v>
      </c>
      <c r="E33" s="59" t="s">
        <v>444</v>
      </c>
      <c r="F33" s="59" t="s">
        <v>863</v>
      </c>
      <c r="G33" s="61">
        <f>_xlfn.XLOOKUP(B33,QUANT!$B$12:$B$225,QUANT!$G$12:$G$225,"erro")</f>
        <v>2</v>
      </c>
      <c r="H33" s="62">
        <f>_xlfn.XLOOKUP(C33,ABC_SERV!$B$12:$B$63,ABC_SERV!$G$12:$G$63,0)</f>
        <v>431.37</v>
      </c>
      <c r="I33" s="46">
        <f t="shared" si="2"/>
        <v>532.87</v>
      </c>
      <c r="J33" s="48">
        <f t="shared" si="3"/>
        <v>1065.74</v>
      </c>
      <c r="K33" s="63">
        <f t="shared" si="4"/>
        <v>6.9148874254847776E-4</v>
      </c>
    </row>
    <row r="34" spans="1:11" s="42" customFormat="1">
      <c r="A34" s="38">
        <v>4</v>
      </c>
      <c r="B34" s="39"/>
      <c r="C34" s="38" t="s">
        <v>51</v>
      </c>
      <c r="D34" s="38"/>
      <c r="E34" s="38"/>
      <c r="F34" s="38"/>
      <c r="G34" s="38"/>
      <c r="H34" s="52"/>
      <c r="I34" s="52"/>
      <c r="J34" s="40">
        <f>ROUND(SUM(J35:J48),2)</f>
        <v>65898.34</v>
      </c>
      <c r="K34" s="41"/>
    </row>
    <row r="35" spans="1:11" s="42" customFormat="1" ht="40">
      <c r="A35" s="58" t="s">
        <v>47</v>
      </c>
      <c r="B35" s="59" t="s">
        <v>476</v>
      </c>
      <c r="C35" s="60" t="s">
        <v>477</v>
      </c>
      <c r="D35" s="59" t="s">
        <v>24</v>
      </c>
      <c r="E35" s="59" t="s">
        <v>444</v>
      </c>
      <c r="F35" s="59" t="s">
        <v>32</v>
      </c>
      <c r="G35" s="61">
        <f>_xlfn.XLOOKUP(B35,QUANT!$B$12:$B$225,QUANT!$G$12:$G$225,"erro")</f>
        <v>40.949999999999996</v>
      </c>
      <c r="H35" s="62">
        <f>_xlfn.XLOOKUP(C35,ABC_SERV!$B$12:$B$63,ABC_SERV!$G$12:$G$63,0)</f>
        <v>148.5</v>
      </c>
      <c r="I35" s="46">
        <f t="shared" ref="I35:I48" si="6">TRUNC(H35*(IF(E35="GERAL",1+$K$6,1+$K$7)),2)</f>
        <v>183.44</v>
      </c>
      <c r="J35" s="48">
        <f t="shared" ref="J35:J48" si="7">(TRUNC(G35*I35,2))</f>
        <v>7511.86</v>
      </c>
      <c r="K35" s="63">
        <f>J35/$J$74</f>
        <v>4.8739529581325724E-3</v>
      </c>
    </row>
    <row r="36" spans="1:11" s="42" customFormat="1" ht="40">
      <c r="A36" s="58" t="s">
        <v>48</v>
      </c>
      <c r="B36" s="59" t="s">
        <v>476</v>
      </c>
      <c r="C36" s="60" t="s">
        <v>478</v>
      </c>
      <c r="D36" s="59" t="s">
        <v>24</v>
      </c>
      <c r="E36" s="59" t="s">
        <v>444</v>
      </c>
      <c r="F36" s="59" t="s">
        <v>32</v>
      </c>
      <c r="G36" s="61">
        <f>_xlfn.XLOOKUP(B36,QUANT!$B$12:$B$225,QUANT!$G$12:$G$225,"erro")</f>
        <v>40.949999999999996</v>
      </c>
      <c r="H36" s="62">
        <f>_xlfn.XLOOKUP(C36,ABC_SERV!$B$12:$B$63,ABC_SERV!$G$12:$G$63,0)</f>
        <v>148.5</v>
      </c>
      <c r="I36" s="46">
        <f t="shared" si="6"/>
        <v>183.44</v>
      </c>
      <c r="J36" s="48">
        <f t="shared" si="7"/>
        <v>7511.86</v>
      </c>
      <c r="K36" s="63">
        <f>J36/$J$74</f>
        <v>4.8739529581325724E-3</v>
      </c>
    </row>
    <row r="37" spans="1:11" s="42" customFormat="1" ht="20">
      <c r="A37" s="58" t="s">
        <v>494</v>
      </c>
      <c r="B37" s="59" t="s">
        <v>479</v>
      </c>
      <c r="C37" s="60" t="s">
        <v>480</v>
      </c>
      <c r="D37" s="59" t="s">
        <v>24</v>
      </c>
      <c r="E37" s="59" t="s">
        <v>444</v>
      </c>
      <c r="F37" s="59" t="s">
        <v>32</v>
      </c>
      <c r="G37" s="61">
        <f>_xlfn.XLOOKUP(B37,QUANT!$B$12:$B$225,QUANT!$G$12:$G$225,"erro")</f>
        <v>175.84199999999996</v>
      </c>
      <c r="H37" s="62">
        <f>_xlfn.XLOOKUP(C37,ABC_SERV!$B$12:$B$63,ABC_SERV!$G$12:$G$63,0)</f>
        <v>10.02</v>
      </c>
      <c r="I37" s="46">
        <f t="shared" si="6"/>
        <v>12.37</v>
      </c>
      <c r="J37" s="48">
        <f t="shared" si="7"/>
        <v>2175.16</v>
      </c>
      <c r="K37" s="63">
        <f t="shared" ref="K37:K48" si="8">J37/$J$74</f>
        <v>1.4113185704221919E-3</v>
      </c>
    </row>
    <row r="38" spans="1:11" s="42" customFormat="1" ht="20">
      <c r="A38" s="58" t="s">
        <v>495</v>
      </c>
      <c r="B38" s="59" t="s">
        <v>479</v>
      </c>
      <c r="C38" s="60" t="s">
        <v>481</v>
      </c>
      <c r="D38" s="59" t="s">
        <v>24</v>
      </c>
      <c r="E38" s="59" t="s">
        <v>444</v>
      </c>
      <c r="F38" s="59" t="s">
        <v>32</v>
      </c>
      <c r="G38" s="61">
        <f>_xlfn.XLOOKUP(B38,QUANT!$B$12:$B$225,QUANT!$G$12:$G$225,"erro")</f>
        <v>175.84199999999996</v>
      </c>
      <c r="H38" s="62">
        <f>_xlfn.XLOOKUP(C38,ABC_SERV!$B$12:$B$63,ABC_SERV!$G$12:$G$63,0)</f>
        <v>10.02</v>
      </c>
      <c r="I38" s="46">
        <f t="shared" si="6"/>
        <v>12.37</v>
      </c>
      <c r="J38" s="48">
        <f t="shared" si="7"/>
        <v>2175.16</v>
      </c>
      <c r="K38" s="63">
        <f t="shared" si="8"/>
        <v>1.4113185704221919E-3</v>
      </c>
    </row>
    <row r="39" spans="1:11" s="42" customFormat="1" ht="20">
      <c r="A39" s="58" t="s">
        <v>496</v>
      </c>
      <c r="B39" s="59" t="s">
        <v>479</v>
      </c>
      <c r="C39" s="60" t="s">
        <v>482</v>
      </c>
      <c r="D39" s="59" t="s">
        <v>24</v>
      </c>
      <c r="E39" s="59" t="s">
        <v>444</v>
      </c>
      <c r="F39" s="59" t="s">
        <v>32</v>
      </c>
      <c r="G39" s="61">
        <f>_xlfn.XLOOKUP(B39,QUANT!$B$12:$B$225,QUANT!$G$12:$G$225,"erro")</f>
        <v>175.84199999999996</v>
      </c>
      <c r="H39" s="62">
        <f>_xlfn.XLOOKUP(C39,ABC_SERV!$B$12:$B$63,ABC_SERV!$G$12:$G$63,0)</f>
        <v>10.02</v>
      </c>
      <c r="I39" s="46">
        <f t="shared" si="6"/>
        <v>12.37</v>
      </c>
      <c r="J39" s="48">
        <f t="shared" si="7"/>
        <v>2175.16</v>
      </c>
      <c r="K39" s="63">
        <f t="shared" si="8"/>
        <v>1.4113185704221919E-3</v>
      </c>
    </row>
    <row r="40" spans="1:11" s="42" customFormat="1" ht="20">
      <c r="A40" s="58" t="s">
        <v>497</v>
      </c>
      <c r="B40" s="59" t="s">
        <v>479</v>
      </c>
      <c r="C40" s="60" t="s">
        <v>483</v>
      </c>
      <c r="D40" s="59" t="s">
        <v>24</v>
      </c>
      <c r="E40" s="59" t="s">
        <v>444</v>
      </c>
      <c r="F40" s="59" t="s">
        <v>32</v>
      </c>
      <c r="G40" s="61">
        <f>QUANT!G104</f>
        <v>215.49040000000002</v>
      </c>
      <c r="H40" s="62">
        <f>_xlfn.XLOOKUP(C40,ABC_SERV!$B$12:$B$63,ABC_SERV!$G$12:$G$63,0)</f>
        <v>10.02</v>
      </c>
      <c r="I40" s="46">
        <f t="shared" si="6"/>
        <v>12.37</v>
      </c>
      <c r="J40" s="48">
        <f t="shared" si="7"/>
        <v>2665.61</v>
      </c>
      <c r="K40" s="63">
        <f t="shared" si="8"/>
        <v>1.7295393876786531E-3</v>
      </c>
    </row>
    <row r="41" spans="1:11" s="42" customFormat="1" ht="30">
      <c r="A41" s="58" t="s">
        <v>498</v>
      </c>
      <c r="B41" s="59" t="s">
        <v>484</v>
      </c>
      <c r="C41" s="60" t="s">
        <v>485</v>
      </c>
      <c r="D41" s="59" t="s">
        <v>11</v>
      </c>
      <c r="E41" s="59" t="s">
        <v>444</v>
      </c>
      <c r="F41" s="59" t="s">
        <v>32</v>
      </c>
      <c r="G41" s="61">
        <f>_xlfn.XLOOKUP(B41,QUANT!$B$12:$B$225,QUANT!$G$12:$G$225,"erro")</f>
        <v>10.0625</v>
      </c>
      <c r="H41" s="62">
        <f>_xlfn.XLOOKUP(C41,ABC_SERV!$B$12:$B$63,ABC_SERV!$G$12:$G$63,0)</f>
        <v>734.86999999999989</v>
      </c>
      <c r="I41" s="46">
        <f t="shared" si="6"/>
        <v>907.78</v>
      </c>
      <c r="J41" s="48">
        <f t="shared" si="7"/>
        <v>9134.5300000000007</v>
      </c>
      <c r="K41" s="63">
        <f t="shared" si="8"/>
        <v>5.9267970269215259E-3</v>
      </c>
    </row>
    <row r="42" spans="1:11" s="42" customFormat="1" ht="30">
      <c r="A42" s="58" t="s">
        <v>499</v>
      </c>
      <c r="B42" s="59" t="s">
        <v>484</v>
      </c>
      <c r="C42" s="60" t="s">
        <v>486</v>
      </c>
      <c r="D42" s="59" t="s">
        <v>11</v>
      </c>
      <c r="E42" s="59" t="s">
        <v>444</v>
      </c>
      <c r="F42" s="59" t="s">
        <v>32</v>
      </c>
      <c r="G42" s="61">
        <f>_xlfn.XLOOKUP(B42,QUANT!$B$12:$B$225,QUANT!$G$12:$G$225,"erro")</f>
        <v>10.0625</v>
      </c>
      <c r="H42" s="62">
        <f>_xlfn.XLOOKUP(C42,ABC_SERV!$B$12:$B$63,ABC_SERV!$G$12:$G$63,0)</f>
        <v>734.86999999999989</v>
      </c>
      <c r="I42" s="46">
        <f t="shared" si="6"/>
        <v>907.78</v>
      </c>
      <c r="J42" s="48">
        <f t="shared" si="7"/>
        <v>9134.5300000000007</v>
      </c>
      <c r="K42" s="63">
        <f t="shared" si="8"/>
        <v>5.9267970269215259E-3</v>
      </c>
    </row>
    <row r="43" spans="1:11" s="42" customFormat="1" ht="30">
      <c r="A43" s="58" t="s">
        <v>500</v>
      </c>
      <c r="B43" s="59" t="s">
        <v>484</v>
      </c>
      <c r="C43" s="60" t="s">
        <v>487</v>
      </c>
      <c r="D43" s="59" t="s">
        <v>11</v>
      </c>
      <c r="E43" s="59" t="s">
        <v>444</v>
      </c>
      <c r="F43" s="59" t="s">
        <v>32</v>
      </c>
      <c r="G43" s="61">
        <f>_xlfn.XLOOKUP(B43,QUANT!$B$12:$B$225,QUANT!$G$12:$G$225,"erro")</f>
        <v>10.0625</v>
      </c>
      <c r="H43" s="62">
        <f>_xlfn.XLOOKUP(C43,ABC_SERV!$B$12:$B$63,ABC_SERV!$G$12:$G$63,0)</f>
        <v>734.86999999999989</v>
      </c>
      <c r="I43" s="46">
        <f t="shared" si="6"/>
        <v>907.78</v>
      </c>
      <c r="J43" s="48">
        <f t="shared" si="7"/>
        <v>9134.5300000000007</v>
      </c>
      <c r="K43" s="63">
        <f t="shared" si="8"/>
        <v>5.9267970269215259E-3</v>
      </c>
    </row>
    <row r="44" spans="1:11" s="42" customFormat="1" ht="20">
      <c r="A44" s="58" t="s">
        <v>501</v>
      </c>
      <c r="B44" s="59" t="s">
        <v>484</v>
      </c>
      <c r="C44" s="60" t="s">
        <v>488</v>
      </c>
      <c r="D44" s="59" t="s">
        <v>11</v>
      </c>
      <c r="E44" s="59" t="s">
        <v>444</v>
      </c>
      <c r="F44" s="59" t="s">
        <v>32</v>
      </c>
      <c r="G44" s="61">
        <f>QUANT!G124</f>
        <v>12.075000000000001</v>
      </c>
      <c r="H44" s="62">
        <f>_xlfn.XLOOKUP(C44,ABC_SERV!$B$12:$B$63,ABC_SERV!$G$12:$G$63,0)</f>
        <v>734.86999999999989</v>
      </c>
      <c r="I44" s="46">
        <f t="shared" si="6"/>
        <v>907.78</v>
      </c>
      <c r="J44" s="48">
        <f t="shared" si="7"/>
        <v>10961.44</v>
      </c>
      <c r="K44" s="63">
        <f t="shared" si="8"/>
        <v>7.1121590276433146E-3</v>
      </c>
    </row>
    <row r="45" spans="1:11" s="42" customFormat="1" ht="20">
      <c r="A45" s="58" t="s">
        <v>502</v>
      </c>
      <c r="B45" s="59" t="s">
        <v>489</v>
      </c>
      <c r="C45" s="60" t="s">
        <v>490</v>
      </c>
      <c r="D45" s="59" t="s">
        <v>11</v>
      </c>
      <c r="E45" s="59" t="s">
        <v>444</v>
      </c>
      <c r="F45" s="59" t="s">
        <v>49</v>
      </c>
      <c r="G45" s="61">
        <f>_xlfn.XLOOKUP(B45,QUANT!$B$12:$B$225,QUANT!$G$12:$G$225,"erro")</f>
        <v>4</v>
      </c>
      <c r="H45" s="62">
        <f>_xlfn.XLOOKUP(C45,ABC_SERV!$B$12:$B$63,ABC_SERV!$G$12:$G$63,0)</f>
        <v>159.91</v>
      </c>
      <c r="I45" s="46">
        <f t="shared" si="6"/>
        <v>197.53</v>
      </c>
      <c r="J45" s="48">
        <f t="shared" si="7"/>
        <v>790.12</v>
      </c>
      <c r="K45" s="63">
        <f t="shared" si="8"/>
        <v>5.1265701321373243E-4</v>
      </c>
    </row>
    <row r="46" spans="1:11" s="42" customFormat="1" ht="20">
      <c r="A46" s="58" t="s">
        <v>503</v>
      </c>
      <c r="B46" s="59" t="s">
        <v>489</v>
      </c>
      <c r="C46" s="60" t="s">
        <v>491</v>
      </c>
      <c r="D46" s="59" t="s">
        <v>11</v>
      </c>
      <c r="E46" s="59" t="s">
        <v>444</v>
      </c>
      <c r="F46" s="59" t="s">
        <v>49</v>
      </c>
      <c r="G46" s="61">
        <f>_xlfn.XLOOKUP(B46,QUANT!$B$12:$B$225,QUANT!$G$12:$G$225,"erro")</f>
        <v>4</v>
      </c>
      <c r="H46" s="62">
        <f>_xlfn.XLOOKUP(C46,ABC_SERV!$B$12:$B$63,ABC_SERV!$G$12:$G$63,0)</f>
        <v>159.91</v>
      </c>
      <c r="I46" s="46">
        <f t="shared" si="6"/>
        <v>197.53</v>
      </c>
      <c r="J46" s="48">
        <f t="shared" si="7"/>
        <v>790.12</v>
      </c>
      <c r="K46" s="63">
        <f t="shared" si="8"/>
        <v>5.1265701321373243E-4</v>
      </c>
    </row>
    <row r="47" spans="1:11" s="42" customFormat="1" ht="20">
      <c r="A47" s="58" t="s">
        <v>504</v>
      </c>
      <c r="B47" s="59" t="s">
        <v>489</v>
      </c>
      <c r="C47" s="60" t="s">
        <v>492</v>
      </c>
      <c r="D47" s="59" t="s">
        <v>11</v>
      </c>
      <c r="E47" s="59" t="s">
        <v>444</v>
      </c>
      <c r="F47" s="59" t="s">
        <v>49</v>
      </c>
      <c r="G47" s="61">
        <f>_xlfn.XLOOKUP(B47,QUANT!$B$12:$B$225,QUANT!$G$12:$G$225,"erro")</f>
        <v>4</v>
      </c>
      <c r="H47" s="62">
        <f>_xlfn.XLOOKUP(C47,ABC_SERV!$B$12:$B$63,ABC_SERV!$G$12:$G$63,0)</f>
        <v>159.91</v>
      </c>
      <c r="I47" s="46">
        <f t="shared" si="6"/>
        <v>197.53</v>
      </c>
      <c r="J47" s="48">
        <f t="shared" si="7"/>
        <v>790.12</v>
      </c>
      <c r="K47" s="63">
        <f t="shared" si="8"/>
        <v>5.1265701321373243E-4</v>
      </c>
    </row>
    <row r="48" spans="1:11" s="42" customFormat="1" ht="20">
      <c r="A48" s="58" t="s">
        <v>505</v>
      </c>
      <c r="B48" s="59" t="s">
        <v>489</v>
      </c>
      <c r="C48" s="60" t="s">
        <v>493</v>
      </c>
      <c r="D48" s="59" t="s">
        <v>11</v>
      </c>
      <c r="E48" s="59" t="s">
        <v>444</v>
      </c>
      <c r="F48" s="59" t="s">
        <v>49</v>
      </c>
      <c r="G48" s="61">
        <f>QUANT!G144</f>
        <v>4.8000000000000007</v>
      </c>
      <c r="H48" s="62">
        <f>_xlfn.XLOOKUP(C48,ABC_SERV!$B$12:$B$63,ABC_SERV!$G$12:$G$63,0)</f>
        <v>159.91</v>
      </c>
      <c r="I48" s="46">
        <f t="shared" si="6"/>
        <v>197.53</v>
      </c>
      <c r="J48" s="48">
        <f t="shared" si="7"/>
        <v>948.14</v>
      </c>
      <c r="K48" s="63">
        <f t="shared" si="8"/>
        <v>6.1518582051899495E-4</v>
      </c>
    </row>
    <row r="49" spans="1:11" s="42" customFormat="1">
      <c r="A49" s="38">
        <v>5</v>
      </c>
      <c r="B49" s="39"/>
      <c r="C49" s="38" t="s">
        <v>59</v>
      </c>
      <c r="D49" s="38"/>
      <c r="E49" s="38"/>
      <c r="F49" s="38"/>
      <c r="G49" s="38"/>
      <c r="H49" s="52"/>
      <c r="I49" s="52"/>
      <c r="J49" s="40">
        <f>ROUND(SUM(J50:J51),2)</f>
        <v>967570.05</v>
      </c>
      <c r="K49" s="41"/>
    </row>
    <row r="50" spans="1:11" s="42" customFormat="1" ht="20">
      <c r="A50" s="58" t="s">
        <v>52</v>
      </c>
      <c r="B50" s="59" t="s">
        <v>506</v>
      </c>
      <c r="C50" s="60" t="s">
        <v>697</v>
      </c>
      <c r="D50" s="59" t="s">
        <v>11</v>
      </c>
      <c r="E50" s="59" t="s">
        <v>445</v>
      </c>
      <c r="F50" s="7" t="s">
        <v>12</v>
      </c>
      <c r="G50" s="61">
        <f>_xlfn.XLOOKUP(B50,QUANT!$B$12:$B$225,QUANT!$G$12:$G$225,"erro")</f>
        <v>3</v>
      </c>
      <c r="H50" s="62">
        <f>_xlfn.XLOOKUP(C50,ABC_SERV!$B$12:$B$63,ABC_SERV!$G$12:$G$63,0)</f>
        <v>199855.84</v>
      </c>
      <c r="I50" s="46">
        <f t="shared" ref="I50:I51" si="9">TRUNC(H50*(IF(E50="GERAL",1+$K$6,1+$K$7)),2)</f>
        <v>230373.82</v>
      </c>
      <c r="J50" s="48">
        <f t="shared" ref="J50:J51" si="10">(TRUNC(G50*I50,2))</f>
        <v>691121.46</v>
      </c>
      <c r="K50" s="63">
        <f>J50/$J$74</f>
        <v>0.44842335778301279</v>
      </c>
    </row>
    <row r="51" spans="1:11" s="42" customFormat="1" ht="20">
      <c r="A51" s="58" t="s">
        <v>53</v>
      </c>
      <c r="B51" s="59" t="s">
        <v>508</v>
      </c>
      <c r="C51" s="60" t="s">
        <v>669</v>
      </c>
      <c r="D51" s="59" t="s">
        <v>11</v>
      </c>
      <c r="E51" s="59" t="s">
        <v>445</v>
      </c>
      <c r="F51" s="7" t="s">
        <v>12</v>
      </c>
      <c r="G51" s="61">
        <f>_xlfn.XLOOKUP(B51,QUANT!$B$12:$B$225,QUANT!$G$12:$G$225,"erro")</f>
        <v>1</v>
      </c>
      <c r="H51" s="62">
        <f>_xlfn.XLOOKUP(C51,ABC_SERV!$B$12:$B$63,ABC_SERV!$G$12:$G$63,0)</f>
        <v>239827.01</v>
      </c>
      <c r="I51" s="46">
        <f t="shared" si="9"/>
        <v>276448.59000000003</v>
      </c>
      <c r="J51" s="48">
        <f t="shared" si="10"/>
        <v>276448.59000000003</v>
      </c>
      <c r="K51" s="63">
        <f>J51/$J$74</f>
        <v>0.17936934700621135</v>
      </c>
    </row>
    <row r="52" spans="1:11" s="42" customFormat="1">
      <c r="A52" s="38">
        <v>6</v>
      </c>
      <c r="B52" s="39"/>
      <c r="C52" s="38" t="s">
        <v>510</v>
      </c>
      <c r="D52" s="38"/>
      <c r="E52" s="38"/>
      <c r="F52" s="38"/>
      <c r="G52" s="38"/>
      <c r="H52" s="52"/>
      <c r="I52" s="52"/>
      <c r="J52" s="40">
        <f>ROUND(SUM(J53:J54),2)</f>
        <v>235722.23999999999</v>
      </c>
      <c r="K52" s="41"/>
    </row>
    <row r="53" spans="1:11" s="42" customFormat="1" ht="20">
      <c r="A53" s="58" t="s">
        <v>733</v>
      </c>
      <c r="B53" s="59" t="s">
        <v>511</v>
      </c>
      <c r="C53" s="60" t="s">
        <v>512</v>
      </c>
      <c r="D53" s="59" t="s">
        <v>11</v>
      </c>
      <c r="E53" s="59" t="s">
        <v>444</v>
      </c>
      <c r="F53" s="7" t="s">
        <v>12</v>
      </c>
      <c r="G53" s="61">
        <f>_xlfn.XLOOKUP(B53,QUANT!$B$12:$B$225,QUANT!$G$12:$G$225,"erro")</f>
        <v>3</v>
      </c>
      <c r="H53" s="62">
        <f>_xlfn.XLOOKUP(C53,ABC_SERV!$B$12:$B$63,ABC_SERV!$G$12:$G$63,0)</f>
        <v>45433.78</v>
      </c>
      <c r="I53" s="46">
        <f t="shared" ref="I53:I54" si="11">TRUNC(H53*(IF(E53="GERAL",1+$K$6,1+$K$7)),2)</f>
        <v>56124.34</v>
      </c>
      <c r="J53" s="48">
        <f t="shared" ref="J53:J54" si="12">(TRUNC(G53*I53,2))</f>
        <v>168373.02</v>
      </c>
      <c r="K53" s="63">
        <f>J53/$J$74</f>
        <v>0.10924620252490259</v>
      </c>
    </row>
    <row r="54" spans="1:11" s="42" customFormat="1" ht="20">
      <c r="A54" s="58" t="s">
        <v>734</v>
      </c>
      <c r="B54" s="59" t="s">
        <v>513</v>
      </c>
      <c r="C54" s="60" t="s">
        <v>514</v>
      </c>
      <c r="D54" s="59" t="s">
        <v>11</v>
      </c>
      <c r="E54" s="59" t="s">
        <v>444</v>
      </c>
      <c r="F54" s="7" t="s">
        <v>12</v>
      </c>
      <c r="G54" s="61">
        <f>_xlfn.XLOOKUP(B54,QUANT!$B$12:$B$225,QUANT!$G$12:$G$225,"erro")</f>
        <v>1</v>
      </c>
      <c r="H54" s="62">
        <f>_xlfn.XLOOKUP(C54,ABC_SERV!$B$12:$B$63,ABC_SERV!$G$12:$G$63,0)</f>
        <v>54520.54</v>
      </c>
      <c r="I54" s="46">
        <f t="shared" si="11"/>
        <v>67349.22</v>
      </c>
      <c r="J54" s="48">
        <f t="shared" si="12"/>
        <v>67349.22</v>
      </c>
      <c r="K54" s="63">
        <f>J54/$J$74</f>
        <v>4.3698488795973489E-2</v>
      </c>
    </row>
    <row r="55" spans="1:11" s="42" customFormat="1">
      <c r="A55" s="38">
        <v>7</v>
      </c>
      <c r="B55" s="39"/>
      <c r="C55" s="38" t="s">
        <v>515</v>
      </c>
      <c r="D55" s="38"/>
      <c r="E55" s="38"/>
      <c r="F55" s="64"/>
      <c r="G55" s="38"/>
      <c r="H55" s="52"/>
      <c r="I55" s="52"/>
      <c r="J55" s="40">
        <f>ROUND(SUM(J56:J72),2)</f>
        <v>9292.1</v>
      </c>
      <c r="K55" s="41"/>
    </row>
    <row r="56" spans="1:11" s="42" customFormat="1" ht="20">
      <c r="A56" s="58" t="s">
        <v>60</v>
      </c>
      <c r="B56" s="59" t="s">
        <v>529</v>
      </c>
      <c r="C56" s="60" t="s">
        <v>530</v>
      </c>
      <c r="D56" s="59" t="s">
        <v>24</v>
      </c>
      <c r="E56" s="59" t="s">
        <v>444</v>
      </c>
      <c r="F56" s="65" t="s">
        <v>12</v>
      </c>
      <c r="G56" s="66">
        <f>_xlfn.XLOOKUP(B56,QUANT!$B$12:$B$225,QUANT!$G$12:$G$225,"erro")</f>
        <v>4</v>
      </c>
      <c r="H56" s="62">
        <f>_xlfn.XLOOKUP(C56,ABC_SERV!$B$12:$B$63,ABC_SERV!$G$12:$G$63,0)</f>
        <v>67.489999999999995</v>
      </c>
      <c r="I56" s="46">
        <f t="shared" ref="I56:I72" si="13">TRUNC(H56*(IF(E56="GERAL",1+$K$6,1+$K$7)),2)</f>
        <v>83.37</v>
      </c>
      <c r="J56" s="48">
        <f t="shared" ref="J56:J72" si="14">(TRUNC(G56*I56,2))</f>
        <v>333.48</v>
      </c>
      <c r="K56" s="63">
        <f>J56/$J$74</f>
        <v>2.1637328604074763E-4</v>
      </c>
    </row>
    <row r="57" spans="1:11" s="42" customFormat="1" ht="30">
      <c r="A57" s="58" t="s">
        <v>61</v>
      </c>
      <c r="B57" s="59" t="s">
        <v>531</v>
      </c>
      <c r="C57" s="60" t="s">
        <v>532</v>
      </c>
      <c r="D57" s="59" t="s">
        <v>24</v>
      </c>
      <c r="E57" s="59" t="s">
        <v>444</v>
      </c>
      <c r="F57" s="65" t="s">
        <v>12</v>
      </c>
      <c r="G57" s="66">
        <f>_xlfn.XLOOKUP(B57,QUANT!$B$12:$B$225,QUANT!$G$12:$G$225,"erro")</f>
        <v>6</v>
      </c>
      <c r="H57" s="62">
        <f>_xlfn.XLOOKUP(C57,ABC_SERV!$B$12:$B$63,ABC_SERV!$G$12:$G$63,0)</f>
        <v>103.15</v>
      </c>
      <c r="I57" s="46">
        <f t="shared" si="13"/>
        <v>127.42</v>
      </c>
      <c r="J57" s="48">
        <f t="shared" si="14"/>
        <v>764.52</v>
      </c>
      <c r="K57" s="63">
        <f t="shared" ref="K57:K72" si="15">J57/$J$74</f>
        <v>4.9604685331615796E-4</v>
      </c>
    </row>
    <row r="58" spans="1:11" s="42" customFormat="1" ht="30">
      <c r="A58" s="58" t="s">
        <v>62</v>
      </c>
      <c r="B58" s="59" t="s">
        <v>531</v>
      </c>
      <c r="C58" s="60" t="s">
        <v>533</v>
      </c>
      <c r="D58" s="59" t="s">
        <v>24</v>
      </c>
      <c r="E58" s="59" t="s">
        <v>444</v>
      </c>
      <c r="F58" s="65" t="s">
        <v>12</v>
      </c>
      <c r="G58" s="66">
        <f>_xlfn.XLOOKUP(B58,QUANT!$B$12:$B$225,QUANT!$G$12:$G$225,"erro")</f>
        <v>6</v>
      </c>
      <c r="H58" s="62">
        <f>_xlfn.XLOOKUP(C58,ABC_SERV!$B$12:$B$63,ABC_SERV!$G$12:$G$63,0)</f>
        <v>103.15</v>
      </c>
      <c r="I58" s="46">
        <f t="shared" si="13"/>
        <v>127.42</v>
      </c>
      <c r="J58" s="48">
        <f t="shared" si="14"/>
        <v>764.52</v>
      </c>
      <c r="K58" s="63">
        <f t="shared" si="15"/>
        <v>4.9604685331615796E-4</v>
      </c>
    </row>
    <row r="59" spans="1:11" s="42" customFormat="1" ht="30">
      <c r="A59" s="58" t="s">
        <v>516</v>
      </c>
      <c r="B59" s="59" t="s">
        <v>531</v>
      </c>
      <c r="C59" s="60" t="s">
        <v>534</v>
      </c>
      <c r="D59" s="59" t="s">
        <v>24</v>
      </c>
      <c r="E59" s="67" t="s">
        <v>444</v>
      </c>
      <c r="F59" s="65" t="s">
        <v>12</v>
      </c>
      <c r="G59" s="66">
        <f>_xlfn.XLOOKUP(B59,QUANT!$B$12:$B$225,QUANT!$G$12:$G$225,"erro")</f>
        <v>6</v>
      </c>
      <c r="H59" s="62">
        <f>_xlfn.XLOOKUP(C59,ABC_SERV!$B$12:$B$63,ABC_SERV!$G$12:$G$63,0)</f>
        <v>103.15</v>
      </c>
      <c r="I59" s="46">
        <f t="shared" si="13"/>
        <v>127.42</v>
      </c>
      <c r="J59" s="48">
        <f t="shared" si="14"/>
        <v>764.52</v>
      </c>
      <c r="K59" s="63">
        <f t="shared" si="15"/>
        <v>4.9604685331615796E-4</v>
      </c>
    </row>
    <row r="60" spans="1:11" s="42" customFormat="1" ht="30">
      <c r="A60" s="58" t="s">
        <v>517</v>
      </c>
      <c r="B60" s="59" t="s">
        <v>531</v>
      </c>
      <c r="C60" s="60" t="s">
        <v>535</v>
      </c>
      <c r="D60" s="59" t="s">
        <v>24</v>
      </c>
      <c r="E60" s="67" t="s">
        <v>444</v>
      </c>
      <c r="F60" s="65" t="s">
        <v>12</v>
      </c>
      <c r="G60" s="66">
        <f>QUANT!G171</f>
        <v>7</v>
      </c>
      <c r="H60" s="62">
        <f>_xlfn.XLOOKUP(C60,ABC_SERV!$B$12:$B$63,ABC_SERV!$G$12:$G$63,0)</f>
        <v>103.15</v>
      </c>
      <c r="I60" s="46">
        <f t="shared" si="13"/>
        <v>127.42</v>
      </c>
      <c r="J60" s="48">
        <f t="shared" si="14"/>
        <v>891.94</v>
      </c>
      <c r="K60" s="63">
        <f t="shared" si="15"/>
        <v>5.7872132886885102E-4</v>
      </c>
    </row>
    <row r="61" spans="1:11" s="42" customFormat="1" ht="30">
      <c r="A61" s="58" t="s">
        <v>518</v>
      </c>
      <c r="B61" s="59" t="s">
        <v>536</v>
      </c>
      <c r="C61" s="60" t="s">
        <v>537</v>
      </c>
      <c r="D61" s="59" t="s">
        <v>24</v>
      </c>
      <c r="E61" s="67" t="s">
        <v>444</v>
      </c>
      <c r="F61" s="65" t="s">
        <v>49</v>
      </c>
      <c r="G61" s="66">
        <f>_xlfn.XLOOKUP(B61,QUANT!$B$12:$B$225,QUANT!$G$12:$G$225,"erro")</f>
        <v>22.45</v>
      </c>
      <c r="H61" s="62">
        <f>_xlfn.XLOOKUP(C61,ABC_SERV!$B$12:$B$63,ABC_SERV!$G$12:$G$63,0)</f>
        <v>24.479999999999997</v>
      </c>
      <c r="I61" s="46">
        <f t="shared" si="13"/>
        <v>30.24</v>
      </c>
      <c r="J61" s="48">
        <f t="shared" si="14"/>
        <v>678.88</v>
      </c>
      <c r="K61" s="63">
        <f t="shared" si="15"/>
        <v>4.4048067778380335E-4</v>
      </c>
    </row>
    <row r="62" spans="1:11" s="42" customFormat="1" ht="30">
      <c r="A62" s="58" t="s">
        <v>519</v>
      </c>
      <c r="B62" s="59" t="s">
        <v>536</v>
      </c>
      <c r="C62" s="60" t="s">
        <v>589</v>
      </c>
      <c r="D62" s="59" t="s">
        <v>24</v>
      </c>
      <c r="E62" s="67" t="s">
        <v>444</v>
      </c>
      <c r="F62" s="65" t="s">
        <v>49</v>
      </c>
      <c r="G62" s="66">
        <f>_xlfn.XLOOKUP(B62,QUANT!$B$12:$B$225,QUANT!$G$12:$G$225,"erro")</f>
        <v>22.45</v>
      </c>
      <c r="H62" s="62">
        <f>_xlfn.XLOOKUP(C62,ABC_SERV!$B$12:$B$63,ABC_SERV!$G$12:$G$63,0)</f>
        <v>24.479999999999997</v>
      </c>
      <c r="I62" s="46">
        <f t="shared" si="13"/>
        <v>30.24</v>
      </c>
      <c r="J62" s="48">
        <f t="shared" si="14"/>
        <v>678.88</v>
      </c>
      <c r="K62" s="63">
        <f t="shared" si="15"/>
        <v>4.4048067778380335E-4</v>
      </c>
    </row>
    <row r="63" spans="1:11" s="42" customFormat="1" ht="30">
      <c r="A63" s="58" t="s">
        <v>520</v>
      </c>
      <c r="B63" s="59" t="s">
        <v>536</v>
      </c>
      <c r="C63" s="60" t="s">
        <v>538</v>
      </c>
      <c r="D63" s="59" t="s">
        <v>24</v>
      </c>
      <c r="E63" s="67" t="s">
        <v>444</v>
      </c>
      <c r="F63" s="65" t="s">
        <v>49</v>
      </c>
      <c r="G63" s="66">
        <f>_xlfn.XLOOKUP(B63,QUANT!$B$12:$B$225,QUANT!$G$12:$G$225,"erro")</f>
        <v>22.45</v>
      </c>
      <c r="H63" s="62">
        <f>_xlfn.XLOOKUP(C63,ABC_SERV!$B$12:$B$63,ABC_SERV!$G$12:$G$63,0)</f>
        <v>24.479999999999997</v>
      </c>
      <c r="I63" s="46">
        <f t="shared" si="13"/>
        <v>30.24</v>
      </c>
      <c r="J63" s="48">
        <f t="shared" si="14"/>
        <v>678.88</v>
      </c>
      <c r="K63" s="63">
        <f t="shared" si="15"/>
        <v>4.4048067778380335E-4</v>
      </c>
    </row>
    <row r="64" spans="1:11" s="42" customFormat="1" ht="30">
      <c r="A64" s="58" t="s">
        <v>521</v>
      </c>
      <c r="B64" s="59" t="s">
        <v>536</v>
      </c>
      <c r="C64" s="60" t="s">
        <v>539</v>
      </c>
      <c r="D64" s="59" t="s">
        <v>24</v>
      </c>
      <c r="E64" s="67" t="s">
        <v>444</v>
      </c>
      <c r="F64" s="65" t="s">
        <v>49</v>
      </c>
      <c r="G64" s="66">
        <f>QUANT!G187</f>
        <v>28.4</v>
      </c>
      <c r="H64" s="62">
        <f>_xlfn.XLOOKUP(C64,ABC_SERV!$B$12:$B$63,ABC_SERV!$G$12:$G$63,0)</f>
        <v>24.479999999999997</v>
      </c>
      <c r="I64" s="46">
        <f t="shared" si="13"/>
        <v>30.24</v>
      </c>
      <c r="J64" s="48">
        <f t="shared" si="14"/>
        <v>858.81</v>
      </c>
      <c r="K64" s="63">
        <f t="shared" si="15"/>
        <v>5.5722544615765396E-4</v>
      </c>
    </row>
    <row r="65" spans="1:13" s="42" customFormat="1" ht="30">
      <c r="A65" s="58" t="s">
        <v>522</v>
      </c>
      <c r="B65" s="59" t="s">
        <v>540</v>
      </c>
      <c r="C65" s="60" t="s">
        <v>541</v>
      </c>
      <c r="D65" s="59" t="s">
        <v>24</v>
      </c>
      <c r="E65" s="67" t="s">
        <v>444</v>
      </c>
      <c r="F65" s="65" t="s">
        <v>12</v>
      </c>
      <c r="G65" s="66">
        <f>_xlfn.XLOOKUP(B65,QUANT!$B$12:$B$225,QUANT!$G$12:$G$225,"erro")</f>
        <v>8</v>
      </c>
      <c r="H65" s="62">
        <f>_xlfn.XLOOKUP(C65,ABC_SERV!$B$12:$B$63,ABC_SERV!$G$12:$G$63,0)</f>
        <v>24.36</v>
      </c>
      <c r="I65" s="46">
        <f t="shared" si="13"/>
        <v>30.09</v>
      </c>
      <c r="J65" s="48">
        <f t="shared" si="14"/>
        <v>240.72</v>
      </c>
      <c r="K65" s="63">
        <f t="shared" si="15"/>
        <v>1.5618740978688006E-4</v>
      </c>
    </row>
    <row r="66" spans="1:13" s="42" customFormat="1" ht="30">
      <c r="A66" s="58" t="s">
        <v>523</v>
      </c>
      <c r="B66" s="59" t="s">
        <v>540</v>
      </c>
      <c r="C66" s="60" t="s">
        <v>542</v>
      </c>
      <c r="D66" s="59" t="s">
        <v>24</v>
      </c>
      <c r="E66" s="67" t="s">
        <v>444</v>
      </c>
      <c r="F66" s="65" t="s">
        <v>12</v>
      </c>
      <c r="G66" s="66">
        <f>_xlfn.XLOOKUP(B66,QUANT!$B$12:$B$225,QUANT!$G$12:$G$225,"erro")</f>
        <v>8</v>
      </c>
      <c r="H66" s="62">
        <f>_xlfn.XLOOKUP(C66,ABC_SERV!$B$12:$B$63,ABC_SERV!$G$12:$G$63,0)</f>
        <v>24.36</v>
      </c>
      <c r="I66" s="46">
        <f t="shared" si="13"/>
        <v>30.09</v>
      </c>
      <c r="J66" s="48">
        <f t="shared" si="14"/>
        <v>240.72</v>
      </c>
      <c r="K66" s="63">
        <f t="shared" si="15"/>
        <v>1.5618740978688006E-4</v>
      </c>
    </row>
    <row r="67" spans="1:13" s="42" customFormat="1" ht="30">
      <c r="A67" s="58" t="s">
        <v>524</v>
      </c>
      <c r="B67" s="59" t="s">
        <v>540</v>
      </c>
      <c r="C67" s="60" t="s">
        <v>543</v>
      </c>
      <c r="D67" s="59" t="s">
        <v>24</v>
      </c>
      <c r="E67" s="67" t="s">
        <v>444</v>
      </c>
      <c r="F67" s="65" t="s">
        <v>12</v>
      </c>
      <c r="G67" s="66">
        <f>_xlfn.XLOOKUP(B67,QUANT!$B$12:$B$225,QUANT!$G$12:$G$225,"erro")</f>
        <v>8</v>
      </c>
      <c r="H67" s="62">
        <f>_xlfn.XLOOKUP(C67,ABC_SERV!$B$12:$B$63,ABC_SERV!$G$12:$G$63,0)</f>
        <v>24.36</v>
      </c>
      <c r="I67" s="46">
        <f t="shared" si="13"/>
        <v>30.09</v>
      </c>
      <c r="J67" s="48">
        <f t="shared" si="14"/>
        <v>240.72</v>
      </c>
      <c r="K67" s="63">
        <f t="shared" si="15"/>
        <v>1.5618740978688006E-4</v>
      </c>
    </row>
    <row r="68" spans="1:13" s="42" customFormat="1" ht="30">
      <c r="A68" s="58" t="s">
        <v>525</v>
      </c>
      <c r="B68" s="59" t="s">
        <v>540</v>
      </c>
      <c r="C68" s="60" t="s">
        <v>544</v>
      </c>
      <c r="D68" s="59" t="s">
        <v>24</v>
      </c>
      <c r="E68" s="67" t="s">
        <v>444</v>
      </c>
      <c r="F68" s="65" t="s">
        <v>12</v>
      </c>
      <c r="G68" s="66">
        <f>QUANT!G203</f>
        <v>9</v>
      </c>
      <c r="H68" s="62">
        <f>_xlfn.XLOOKUP(C68,ABC_SERV!$B$12:$B$63,ABC_SERV!$G$12:$G$63,0)</f>
        <v>24.36</v>
      </c>
      <c r="I68" s="46">
        <f t="shared" si="13"/>
        <v>30.09</v>
      </c>
      <c r="J68" s="48">
        <f t="shared" si="14"/>
        <v>270.81</v>
      </c>
      <c r="K68" s="63">
        <f t="shared" si="15"/>
        <v>1.7571083601024008E-4</v>
      </c>
    </row>
    <row r="69" spans="1:13" s="42" customFormat="1" ht="30">
      <c r="A69" s="58" t="s">
        <v>526</v>
      </c>
      <c r="B69" s="59" t="s">
        <v>545</v>
      </c>
      <c r="C69" s="60" t="s">
        <v>546</v>
      </c>
      <c r="D69" s="59" t="s">
        <v>24</v>
      </c>
      <c r="E69" s="67" t="s">
        <v>444</v>
      </c>
      <c r="F69" s="65" t="s">
        <v>49</v>
      </c>
      <c r="G69" s="66">
        <f>_xlfn.XLOOKUP(B69,QUANT!$B$12:$B$225,QUANT!$G$12:$G$225,"erro")</f>
        <v>68.25</v>
      </c>
      <c r="H69" s="62">
        <f>_xlfn.XLOOKUP(C69,ABC_SERV!$B$12:$B$63,ABC_SERV!$G$12:$G$63,0)</f>
        <v>5.25</v>
      </c>
      <c r="I69" s="46">
        <f t="shared" si="13"/>
        <v>6.48</v>
      </c>
      <c r="J69" s="48">
        <f t="shared" si="14"/>
        <v>442.26</v>
      </c>
      <c r="K69" s="63">
        <f t="shared" si="15"/>
        <v>2.8695348891801919E-4</v>
      </c>
    </row>
    <row r="70" spans="1:13" s="42" customFormat="1" ht="30">
      <c r="A70" s="58" t="s">
        <v>527</v>
      </c>
      <c r="B70" s="59" t="s">
        <v>545</v>
      </c>
      <c r="C70" s="60" t="s">
        <v>547</v>
      </c>
      <c r="D70" s="59" t="s">
        <v>24</v>
      </c>
      <c r="E70" s="67" t="s">
        <v>444</v>
      </c>
      <c r="F70" s="65" t="s">
        <v>49</v>
      </c>
      <c r="G70" s="66">
        <f>_xlfn.XLOOKUP(B70,QUANT!$B$12:$B$225,QUANT!$G$12:$G$225,"erro")</f>
        <v>68.25</v>
      </c>
      <c r="H70" s="62">
        <f>_xlfn.XLOOKUP(C70,ABC_SERV!$B$12:$B$63,ABC_SERV!$G$12:$G$63,0)</f>
        <v>5.25</v>
      </c>
      <c r="I70" s="46">
        <f t="shared" si="13"/>
        <v>6.48</v>
      </c>
      <c r="J70" s="48">
        <f t="shared" si="14"/>
        <v>442.26</v>
      </c>
      <c r="K70" s="63">
        <f t="shared" si="15"/>
        <v>2.8695348891801919E-4</v>
      </c>
    </row>
    <row r="71" spans="1:13" s="42" customFormat="1" ht="30">
      <c r="A71" s="58" t="s">
        <v>528</v>
      </c>
      <c r="B71" s="59" t="s">
        <v>545</v>
      </c>
      <c r="C71" s="60" t="s">
        <v>548</v>
      </c>
      <c r="D71" s="59" t="s">
        <v>24</v>
      </c>
      <c r="E71" s="67" t="s">
        <v>444</v>
      </c>
      <c r="F71" s="65" t="s">
        <v>49</v>
      </c>
      <c r="G71" s="66">
        <f>_xlfn.XLOOKUP(B71,QUANT!$B$12:$B$225,QUANT!$G$12:$G$225,"erro")</f>
        <v>68.25</v>
      </c>
      <c r="H71" s="62">
        <f>_xlfn.XLOOKUP(C71,ABC_SERV!$B$12:$B$63,ABC_SERV!$G$12:$G$63,0)</f>
        <v>5.25</v>
      </c>
      <c r="I71" s="46">
        <f t="shared" si="13"/>
        <v>6.48</v>
      </c>
      <c r="J71" s="48">
        <f t="shared" si="14"/>
        <v>442.26</v>
      </c>
      <c r="K71" s="63">
        <f t="shared" si="15"/>
        <v>2.8695348891801919E-4</v>
      </c>
    </row>
    <row r="72" spans="1:13" s="42" customFormat="1" ht="30">
      <c r="A72" s="58" t="s">
        <v>588</v>
      </c>
      <c r="B72" s="59" t="s">
        <v>545</v>
      </c>
      <c r="C72" s="60" t="s">
        <v>549</v>
      </c>
      <c r="D72" s="59" t="s">
        <v>24</v>
      </c>
      <c r="E72" s="67" t="s">
        <v>444</v>
      </c>
      <c r="F72" s="65" t="s">
        <v>49</v>
      </c>
      <c r="G72" s="66">
        <f>QUANT!G222</f>
        <v>86.1</v>
      </c>
      <c r="H72" s="62">
        <f>_xlfn.XLOOKUP(C72,ABC_SERV!$B$12:$B$63,ABC_SERV!$G$12:$G$63,0)</f>
        <v>5.25</v>
      </c>
      <c r="I72" s="46">
        <f t="shared" si="13"/>
        <v>6.48</v>
      </c>
      <c r="J72" s="48">
        <f t="shared" si="14"/>
        <v>557.91999999999996</v>
      </c>
      <c r="K72" s="63">
        <f t="shared" si="15"/>
        <v>3.6199767226776389E-4</v>
      </c>
    </row>
    <row r="73" spans="1:13" ht="5.15" customHeight="1">
      <c r="A73" s="68"/>
      <c r="B73" s="68"/>
      <c r="C73" s="68"/>
      <c r="D73" s="68"/>
      <c r="E73" s="68"/>
      <c r="F73" s="69"/>
      <c r="G73" s="70"/>
      <c r="H73" s="70"/>
      <c r="I73" s="70"/>
      <c r="J73" s="71"/>
    </row>
    <row r="74" spans="1:13" ht="33" customHeight="1">
      <c r="A74" s="479"/>
      <c r="B74" s="480"/>
      <c r="C74" s="480"/>
      <c r="D74" s="480"/>
      <c r="E74" s="481"/>
      <c r="F74" s="481"/>
      <c r="G74" s="482"/>
      <c r="H74" s="482"/>
      <c r="I74" s="484" t="s">
        <v>769</v>
      </c>
      <c r="J74" s="485">
        <f>SUM(J55,J52,J49,J34,J23,J14,J12)</f>
        <v>1541225.3800000004</v>
      </c>
      <c r="K74" s="483">
        <f>SUM(K12:K72)</f>
        <v>0.99999999999999967</v>
      </c>
      <c r="M74" s="73"/>
    </row>
    <row r="75" spans="1:13" ht="15" customHeight="1">
      <c r="A75" s="35"/>
      <c r="B75" s="35"/>
      <c r="C75" s="35"/>
      <c r="D75" s="35"/>
      <c r="E75" s="35"/>
      <c r="F75" s="74"/>
      <c r="G75" s="2"/>
      <c r="H75" s="2"/>
      <c r="I75" s="2"/>
      <c r="J75" s="6"/>
    </row>
    <row r="76" spans="1:13" ht="15" customHeight="1">
      <c r="A76" s="35"/>
      <c r="B76" s="35"/>
      <c r="C76" s="35"/>
      <c r="D76" s="35"/>
      <c r="E76" s="35"/>
      <c r="F76" s="74"/>
      <c r="G76" s="2"/>
      <c r="H76" s="2"/>
      <c r="I76" s="2"/>
      <c r="J76" s="6"/>
    </row>
    <row r="77" spans="1:13" ht="15" customHeight="1">
      <c r="A77" s="35"/>
      <c r="B77" s="35"/>
      <c r="C77" s="35"/>
      <c r="D77" s="35"/>
      <c r="E77" s="35"/>
      <c r="F77" s="74"/>
      <c r="G77" s="2"/>
      <c r="H77" s="2"/>
      <c r="I77" s="2"/>
      <c r="J77" s="6"/>
    </row>
  </sheetData>
  <phoneticPr fontId="11" type="noConversion"/>
  <conditionalFormatting sqref="H2:H4 J5:J9 H10:H31 H34:H1048576">
    <cfRule type="cellIs" dxfId="58" priority="25" operator="equal">
      <formula>0</formula>
    </cfRule>
  </conditionalFormatting>
  <conditionalFormatting sqref="I3:I11 I13 I73:I1048576">
    <cfRule type="cellIs" dxfId="57" priority="26" operator="equal">
      <formula>0</formula>
    </cfRule>
  </conditionalFormatting>
  <conditionalFormatting sqref="I14">
    <cfRule type="cellIs" dxfId="56" priority="24" operator="equal">
      <formula>0</formula>
    </cfRule>
  </conditionalFormatting>
  <conditionalFormatting sqref="I12">
    <cfRule type="cellIs" dxfId="55" priority="23" operator="equal">
      <formula>0</formula>
    </cfRule>
  </conditionalFormatting>
  <conditionalFormatting sqref="I23">
    <cfRule type="cellIs" dxfId="54" priority="22" operator="equal">
      <formula>0</formula>
    </cfRule>
  </conditionalFormatting>
  <conditionalFormatting sqref="I34">
    <cfRule type="cellIs" dxfId="53" priority="21" operator="equal">
      <formula>0</formula>
    </cfRule>
  </conditionalFormatting>
  <conditionalFormatting sqref="I49">
    <cfRule type="cellIs" dxfId="52" priority="20" operator="equal">
      <formula>0</formula>
    </cfRule>
  </conditionalFormatting>
  <conditionalFormatting sqref="I52">
    <cfRule type="cellIs" dxfId="51" priority="19" operator="equal">
      <formula>0</formula>
    </cfRule>
  </conditionalFormatting>
  <conditionalFormatting sqref="I55">
    <cfRule type="cellIs" dxfId="50" priority="18" operator="equal">
      <formula>0</formula>
    </cfRule>
  </conditionalFormatting>
  <conditionalFormatting sqref="I15">
    <cfRule type="cellIs" dxfId="49" priority="17" operator="equal">
      <formula>0</formula>
    </cfRule>
  </conditionalFormatting>
  <conditionalFormatting sqref="I17">
    <cfRule type="cellIs" dxfId="48" priority="16" operator="equal">
      <formula>0</formula>
    </cfRule>
  </conditionalFormatting>
  <conditionalFormatting sqref="I16">
    <cfRule type="cellIs" dxfId="47" priority="15" operator="equal">
      <formula>0</formula>
    </cfRule>
  </conditionalFormatting>
  <conditionalFormatting sqref="I18:I22">
    <cfRule type="cellIs" dxfId="46" priority="14" operator="equal">
      <formula>0</formula>
    </cfRule>
  </conditionalFormatting>
  <conditionalFormatting sqref="I24:I31">
    <cfRule type="cellIs" dxfId="45" priority="13" operator="equal">
      <formula>0</formula>
    </cfRule>
  </conditionalFormatting>
  <conditionalFormatting sqref="I35:I48">
    <cfRule type="cellIs" dxfId="44" priority="12" operator="equal">
      <formula>0</formula>
    </cfRule>
  </conditionalFormatting>
  <conditionalFormatting sqref="I50:I51">
    <cfRule type="cellIs" dxfId="43" priority="11" operator="equal">
      <formula>0</formula>
    </cfRule>
  </conditionalFormatting>
  <conditionalFormatting sqref="I53:I54">
    <cfRule type="cellIs" dxfId="42" priority="10" operator="equal">
      <formula>0</formula>
    </cfRule>
  </conditionalFormatting>
  <conditionalFormatting sqref="I56:I72">
    <cfRule type="cellIs" dxfId="41" priority="9" operator="equal">
      <formula>0</formula>
    </cfRule>
  </conditionalFormatting>
  <conditionalFormatting sqref="H32">
    <cfRule type="cellIs" dxfId="40" priority="5" operator="equal">
      <formula>0</formula>
    </cfRule>
  </conditionalFormatting>
  <conditionalFormatting sqref="I32">
    <cfRule type="cellIs" dxfId="39" priority="4" operator="equal">
      <formula>0</formula>
    </cfRule>
  </conditionalFormatting>
  <conditionalFormatting sqref="I33">
    <cfRule type="cellIs" dxfId="38" priority="2" operator="equal">
      <formula>0</formula>
    </cfRule>
  </conditionalFormatting>
  <conditionalFormatting sqref="H33">
    <cfRule type="cellIs" dxfId="37" priority="1" operator="equal">
      <formula>0</formula>
    </cfRule>
  </conditionalFormatting>
  <printOptions horizontalCentered="1"/>
  <pageMargins left="0.51181102362204722" right="0.51181102362204722" top="0.51181102362204722" bottom="0.70866141732283472" header="0" footer="0.19685039370078741"/>
  <pageSetup paperSize="9" scale="84" orientation="landscape" r:id="rId1"/>
  <headerFooter>
    <oddFooter>&amp;L&amp;9&amp;A&amp;R&amp;9Página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outlinePr summaryBelow="0"/>
  </sheetPr>
  <dimension ref="A1:I247"/>
  <sheetViews>
    <sheetView view="pageBreakPreview" topLeftCell="A230" zoomScale="79" zoomScaleNormal="160" zoomScaleSheetLayoutView="100" workbookViewId="0">
      <selection activeCell="B243" sqref="B243"/>
    </sheetView>
  </sheetViews>
  <sheetFormatPr defaultRowHeight="14"/>
  <cols>
    <col min="1" max="1" width="10.83203125" style="75" customWidth="1"/>
    <col min="2" max="2" width="45.83203125" style="76" customWidth="1"/>
    <col min="3" max="3" width="9" style="75" customWidth="1"/>
    <col min="4" max="4" width="7.75" style="75" customWidth="1"/>
    <col min="5" max="5" width="9.83203125" style="75" customWidth="1"/>
    <col min="6" max="6" width="11.58203125" style="75" customWidth="1"/>
    <col min="7" max="7" width="10.75" style="75" customWidth="1"/>
    <col min="8" max="8" width="2.08203125" style="75" bestFit="1" customWidth="1"/>
    <col min="9" max="9" width="20.6640625" style="77" bestFit="1" customWidth="1"/>
    <col min="10" max="16384" width="8.6640625" style="75"/>
  </cols>
  <sheetData>
    <row r="1" spans="1:9" ht="50.15" customHeight="1"/>
    <row r="2" spans="1:9" ht="25" customHeight="1">
      <c r="A2" s="14" t="s">
        <v>336</v>
      </c>
      <c r="B2" s="78"/>
      <c r="C2" s="14"/>
      <c r="D2" s="14"/>
      <c r="E2" s="14"/>
      <c r="F2" s="15"/>
      <c r="G2" s="15"/>
    </row>
    <row r="3" spans="1:9" ht="5.15" customHeight="1">
      <c r="A3" s="17"/>
      <c r="B3" s="79"/>
      <c r="C3" s="17"/>
      <c r="D3" s="17"/>
      <c r="E3" s="17"/>
      <c r="F3" s="12"/>
      <c r="G3" s="12"/>
    </row>
    <row r="4" spans="1:9">
      <c r="A4" s="18" t="s">
        <v>321</v>
      </c>
      <c r="B4" s="19" t="str">
        <f>RESUMO!B4</f>
        <v>SUBSTITUIÇÃO DE ELEVADORES NA SEDE DA JUSTIÇA FEDERAL NA PARAÍBA - R2</v>
      </c>
      <c r="C4" s="19"/>
      <c r="D4" s="19"/>
      <c r="E4" s="19"/>
      <c r="F4" s="19"/>
      <c r="G4" s="80"/>
    </row>
    <row r="5" spans="1:9">
      <c r="A5" s="26" t="s">
        <v>325</v>
      </c>
      <c r="B5" s="22" t="str">
        <f>RESUMO!B5</f>
        <v>R2 - 15/04/2025</v>
      </c>
      <c r="C5" s="27"/>
      <c r="D5" s="21" t="s">
        <v>334</v>
      </c>
      <c r="E5" s="24"/>
      <c r="F5" s="21" t="s">
        <v>329</v>
      </c>
      <c r="G5" s="25">
        <f>RESUMO!$F$5</f>
        <v>45762</v>
      </c>
    </row>
    <row r="6" spans="1:9">
      <c r="A6" s="26" t="s">
        <v>322</v>
      </c>
      <c r="B6" s="27" t="str">
        <f>RESUMO!B6</f>
        <v>RUA JOÃO TEIXEIRA DE CARVALHO, 480, PEDRO GONDIM, JOÃO PESSOA/PB</v>
      </c>
      <c r="C6" s="27"/>
      <c r="D6" s="29" t="str">
        <f>RESUMO!$C$6</f>
        <v>SINAPI</v>
      </c>
      <c r="E6" s="30" t="str">
        <f>RESUMO!$D$6</f>
        <v>2025/02</v>
      </c>
      <c r="F6" s="26" t="s">
        <v>443</v>
      </c>
      <c r="G6" s="30">
        <f>RESUMO!$F$6</f>
        <v>0.23530000000000001</v>
      </c>
    </row>
    <row r="7" spans="1:9">
      <c r="A7" s="26" t="s">
        <v>323</v>
      </c>
      <c r="B7" s="27" t="str">
        <f>RESUMO!B7</f>
        <v>JUSTIÇA FEDERAL NA PARAÍBA</v>
      </c>
      <c r="C7" s="27"/>
      <c r="D7" s="29" t="str">
        <f>RESUMO!$C$7</f>
        <v>SICRO</v>
      </c>
      <c r="E7" s="30" t="str">
        <f>RESUMO!$D$7</f>
        <v>2025/01</v>
      </c>
      <c r="F7" s="26" t="s">
        <v>330</v>
      </c>
      <c r="G7" s="30">
        <f>RESUMO!$F$7</f>
        <v>0.1527</v>
      </c>
    </row>
    <row r="8" spans="1:9">
      <c r="A8" s="26" t="s">
        <v>328</v>
      </c>
      <c r="B8" s="27" t="str">
        <f>RESUMO!B8</f>
        <v>JOSÉ MENDONÇA FILHO SEGUNDO</v>
      </c>
      <c r="C8" s="27"/>
      <c r="D8" s="29" t="str">
        <f>RESUMO!$C$8</f>
        <v>SBC</v>
      </c>
      <c r="E8" s="30" t="str">
        <f>RESUMO!$D$8</f>
        <v>2025/02</v>
      </c>
      <c r="F8" s="26" t="s">
        <v>331</v>
      </c>
      <c r="G8" s="30">
        <f>RESUMO!$F$8</f>
        <v>1.1359999999999999</v>
      </c>
    </row>
    <row r="9" spans="1:9">
      <c r="A9" s="31" t="s">
        <v>324</v>
      </c>
      <c r="B9" s="32" t="str">
        <f>RESUMO!B9</f>
        <v>ENGENHEIRO MECÂNICO - CREA 060136183-0</v>
      </c>
      <c r="C9" s="32"/>
      <c r="D9" s="31" t="s">
        <v>325</v>
      </c>
      <c r="E9" s="34" t="str">
        <f>RESUMO!$D$9</f>
        <v>R2</v>
      </c>
      <c r="F9" s="31" t="s">
        <v>332</v>
      </c>
      <c r="G9" s="34">
        <f>RESUMO!$F$9</f>
        <v>0.6984999999999999</v>
      </c>
    </row>
    <row r="10" spans="1:9" ht="5.15" customHeight="1">
      <c r="A10" s="81"/>
      <c r="B10" s="82"/>
      <c r="C10" s="82"/>
      <c r="D10" s="82"/>
      <c r="E10" s="83"/>
      <c r="F10" s="83"/>
      <c r="G10" s="83"/>
    </row>
    <row r="11" spans="1:9" s="86" customFormat="1" ht="21">
      <c r="A11" s="84" t="s">
        <v>469</v>
      </c>
      <c r="B11" s="85" t="s">
        <v>681</v>
      </c>
      <c r="C11" s="85"/>
      <c r="D11" s="85"/>
      <c r="E11" s="85"/>
      <c r="F11" s="85"/>
      <c r="G11" s="85"/>
      <c r="I11" s="87"/>
    </row>
    <row r="12" spans="1:9" s="86" customFormat="1" ht="21">
      <c r="A12" s="88" t="s">
        <v>65</v>
      </c>
      <c r="B12" s="89"/>
      <c r="C12" s="90" t="s">
        <v>4</v>
      </c>
      <c r="D12" s="90" t="s">
        <v>66</v>
      </c>
      <c r="E12" s="91" t="s">
        <v>67</v>
      </c>
      <c r="F12" s="90" t="s">
        <v>765</v>
      </c>
      <c r="G12" s="90" t="s">
        <v>69</v>
      </c>
      <c r="I12" s="87"/>
    </row>
    <row r="13" spans="1:9" s="86" customFormat="1" ht="20">
      <c r="A13" s="92">
        <v>93572</v>
      </c>
      <c r="B13" s="93" t="s">
        <v>70</v>
      </c>
      <c r="C13" s="94" t="s">
        <v>24</v>
      </c>
      <c r="D13" s="94" t="s">
        <v>27</v>
      </c>
      <c r="E13" s="496">
        <v>9</v>
      </c>
      <c r="F13" s="111">
        <f>_xlfn.XLOOKUP(A13,COMP_AUX!$F$11:$F$631,COMP_AUX!$G$11:$G$631,_xlfn.XLOOKUP(A13,INSUMOS!$A$12:$A$100,INSUMOS!$F$12:$F$100))</f>
        <v>4275.25</v>
      </c>
      <c r="G13" s="95">
        <f>ROUND(ROUND(E13,8)*F13,2)</f>
        <v>38477.25</v>
      </c>
      <c r="H13" s="96" t="s">
        <v>753</v>
      </c>
      <c r="I13" s="87" t="s">
        <v>754</v>
      </c>
    </row>
    <row r="14" spans="1:9" s="86" customFormat="1" ht="20">
      <c r="A14" s="92">
        <v>93567</v>
      </c>
      <c r="B14" s="93" t="s">
        <v>71</v>
      </c>
      <c r="C14" s="94" t="s">
        <v>24</v>
      </c>
      <c r="D14" s="94" t="s">
        <v>27</v>
      </c>
      <c r="E14" s="496">
        <v>2</v>
      </c>
      <c r="F14" s="111">
        <f>_xlfn.XLOOKUP(A14,COMP_AUX!$F$11:$F$631,COMP_AUX!$G$11:$G$631,_xlfn.XLOOKUP(A14,INSUMOS!$A$12:$A$100,INSUMOS!$F$12:$F$100))</f>
        <v>23965.329999999998</v>
      </c>
      <c r="G14" s="95">
        <f>ROUND(ROUND(E14,8)*F14,2)</f>
        <v>47930.66</v>
      </c>
      <c r="H14" s="96" t="s">
        <v>753</v>
      </c>
      <c r="I14" s="87" t="s">
        <v>755</v>
      </c>
    </row>
    <row r="15" spans="1:9" s="86" customFormat="1" ht="20">
      <c r="A15" s="92">
        <v>100321</v>
      </c>
      <c r="B15" s="93" t="s">
        <v>72</v>
      </c>
      <c r="C15" s="94" t="s">
        <v>24</v>
      </c>
      <c r="D15" s="94" t="s">
        <v>27</v>
      </c>
      <c r="E15" s="496">
        <v>4</v>
      </c>
      <c r="F15" s="111">
        <f>_xlfn.XLOOKUP(A15,COMP_AUX!$F$11:$F$631,COMP_AUX!$G$11:$G$631,_xlfn.XLOOKUP(A15,INSUMOS!$A$12:$A$100,INSUMOS!$F$12:$F$100))</f>
        <v>5290.61</v>
      </c>
      <c r="G15" s="95">
        <f>ROUND(ROUND(E15,8)*F15,2)</f>
        <v>21162.44</v>
      </c>
      <c r="H15" s="96" t="s">
        <v>753</v>
      </c>
      <c r="I15" s="87" t="s">
        <v>756</v>
      </c>
    </row>
    <row r="16" spans="1:9" s="86" customFormat="1" ht="10.5">
      <c r="A16" s="97"/>
      <c r="B16" s="98"/>
      <c r="C16" s="98"/>
      <c r="D16" s="98"/>
      <c r="E16" s="99" t="s">
        <v>602</v>
      </c>
      <c r="F16" s="100"/>
      <c r="G16" s="101">
        <f>SUM(G13:G15)</f>
        <v>107570.35</v>
      </c>
      <c r="I16" s="87"/>
    </row>
    <row r="17" spans="1:9" s="86" customFormat="1" ht="21">
      <c r="A17" s="88" t="s">
        <v>73</v>
      </c>
      <c r="B17" s="89"/>
      <c r="C17" s="90" t="s">
        <v>4</v>
      </c>
      <c r="D17" s="90" t="s">
        <v>66</v>
      </c>
      <c r="E17" s="91" t="s">
        <v>67</v>
      </c>
      <c r="F17" s="90" t="s">
        <v>765</v>
      </c>
      <c r="G17" s="90" t="s">
        <v>69</v>
      </c>
    </row>
    <row r="18" spans="1:9" s="86" customFormat="1" ht="20">
      <c r="A18" s="92" t="s">
        <v>74</v>
      </c>
      <c r="B18" s="93" t="s">
        <v>75</v>
      </c>
      <c r="C18" s="94" t="s">
        <v>76</v>
      </c>
      <c r="D18" s="94" t="s">
        <v>27</v>
      </c>
      <c r="E18" s="496">
        <v>2</v>
      </c>
      <c r="F18" s="111">
        <f>_xlfn.XLOOKUP(A18,COMP_AUX!$F$11:$F$631,COMP_AUX!$G$11:$G$631,_xlfn.XLOOKUP(A18,INSUMOS!$A$12:$A$100,INSUMOS!$F$12:$F$100))</f>
        <v>23965.329999999998</v>
      </c>
      <c r="G18" s="95">
        <f>ROUND(ROUND(E18,8)*F18,2)</f>
        <v>47930.66</v>
      </c>
      <c r="H18" s="96" t="s">
        <v>753</v>
      </c>
      <c r="I18" s="87" t="s">
        <v>755</v>
      </c>
    </row>
    <row r="19" spans="1:9" s="86" customFormat="1" ht="10.5">
      <c r="A19" s="97"/>
      <c r="B19" s="98"/>
      <c r="C19" s="98"/>
      <c r="D19" s="98"/>
      <c r="E19" s="99" t="s">
        <v>77</v>
      </c>
      <c r="F19" s="100"/>
      <c r="G19" s="101">
        <f>SUM(G18:G18)</f>
        <v>47930.66</v>
      </c>
      <c r="I19" s="87"/>
    </row>
    <row r="20" spans="1:9" s="86" customFormat="1" ht="10.5">
      <c r="A20" s="97"/>
      <c r="B20" s="98"/>
      <c r="C20" s="98"/>
      <c r="D20" s="98"/>
      <c r="E20" s="102" t="s">
        <v>78</v>
      </c>
      <c r="F20" s="103" t="str">
        <f>A11</f>
        <v>JFPB-26707094</v>
      </c>
      <c r="G20" s="104">
        <f>SUM(G16,G19)</f>
        <v>155501.01</v>
      </c>
      <c r="I20" s="87"/>
    </row>
    <row r="21" spans="1:9" s="86" customFormat="1" ht="10">
      <c r="A21" s="97"/>
      <c r="B21" s="98"/>
      <c r="C21" s="98"/>
      <c r="D21" s="98"/>
      <c r="E21" s="105"/>
      <c r="F21" s="106"/>
      <c r="G21" s="106"/>
      <c r="I21" s="87"/>
    </row>
    <row r="22" spans="1:9" s="86" customFormat="1" ht="21">
      <c r="A22" s="84" t="s">
        <v>18</v>
      </c>
      <c r="B22" s="85" t="s">
        <v>337</v>
      </c>
      <c r="C22" s="85"/>
      <c r="D22" s="85"/>
      <c r="E22" s="84"/>
      <c r="F22" s="85"/>
      <c r="G22" s="85"/>
      <c r="I22" s="87"/>
    </row>
    <row r="23" spans="1:9" s="86" customFormat="1" ht="21">
      <c r="A23" s="88" t="s">
        <v>79</v>
      </c>
      <c r="B23" s="89"/>
      <c r="C23" s="90" t="s">
        <v>4</v>
      </c>
      <c r="D23" s="90" t="s">
        <v>66</v>
      </c>
      <c r="E23" s="91" t="s">
        <v>67</v>
      </c>
      <c r="F23" s="90" t="s">
        <v>765</v>
      </c>
      <c r="G23" s="90" t="s">
        <v>69</v>
      </c>
      <c r="I23" s="87"/>
    </row>
    <row r="24" spans="1:9" s="86" customFormat="1" ht="10">
      <c r="A24" s="107" t="s">
        <v>80</v>
      </c>
      <c r="B24" s="108" t="s">
        <v>81</v>
      </c>
      <c r="C24" s="109" t="s">
        <v>76</v>
      </c>
      <c r="D24" s="109" t="s">
        <v>12</v>
      </c>
      <c r="E24" s="497">
        <v>1</v>
      </c>
      <c r="F24" s="111">
        <f>_xlfn.XLOOKUP(A24,COMP_AUX!$F$11:$F$631,COMP_AUX!$G$11:$G$631,_xlfn.XLOOKUP(A24,INSUMOS!$A$12:$A$100,INSUMOS!$F$12:$F$100))</f>
        <v>262.55</v>
      </c>
      <c r="G24" s="111">
        <f>ROUND(ROUND(E24,8)*F24,2)</f>
        <v>262.55</v>
      </c>
      <c r="I24" s="87"/>
    </row>
    <row r="25" spans="1:9" s="86" customFormat="1" ht="10.5">
      <c r="A25" s="97"/>
      <c r="B25" s="98"/>
      <c r="C25" s="98"/>
      <c r="D25" s="98"/>
      <c r="E25" s="99" t="s">
        <v>82</v>
      </c>
      <c r="F25" s="100"/>
      <c r="G25" s="101">
        <f>SUM(G24:G24)</f>
        <v>262.55</v>
      </c>
      <c r="I25" s="87"/>
    </row>
    <row r="26" spans="1:9" s="86" customFormat="1" ht="21">
      <c r="A26" s="97"/>
      <c r="B26" s="98"/>
      <c r="C26" s="98"/>
      <c r="D26" s="98"/>
      <c r="E26" s="102" t="s">
        <v>78</v>
      </c>
      <c r="F26" s="103" t="str">
        <f>A22</f>
        <v>JCA-ART-002-2024</v>
      </c>
      <c r="G26" s="104">
        <f>SUM(G25)</f>
        <v>262.55</v>
      </c>
      <c r="I26" s="87"/>
    </row>
    <row r="27" spans="1:9" s="86" customFormat="1" ht="10">
      <c r="A27" s="97"/>
      <c r="B27" s="98"/>
      <c r="C27" s="98"/>
      <c r="D27" s="98"/>
      <c r="E27" s="105"/>
      <c r="F27" s="106"/>
      <c r="G27" s="106"/>
      <c r="I27" s="87"/>
    </row>
    <row r="28" spans="1:9" s="86" customFormat="1" ht="21">
      <c r="A28" s="84">
        <v>105115</v>
      </c>
      <c r="B28" s="85" t="s">
        <v>338</v>
      </c>
      <c r="C28" s="85"/>
      <c r="D28" s="85"/>
      <c r="E28" s="84"/>
      <c r="F28" s="85"/>
      <c r="G28" s="85"/>
      <c r="I28" s="87"/>
    </row>
    <row r="29" spans="1:9" s="86" customFormat="1" ht="21">
      <c r="A29" s="88" t="s">
        <v>83</v>
      </c>
      <c r="B29" s="89"/>
      <c r="C29" s="90" t="s">
        <v>4</v>
      </c>
      <c r="D29" s="90" t="s">
        <v>66</v>
      </c>
      <c r="E29" s="91" t="s">
        <v>67</v>
      </c>
      <c r="F29" s="90" t="s">
        <v>765</v>
      </c>
      <c r="G29" s="90" t="s">
        <v>69</v>
      </c>
      <c r="I29" s="87"/>
    </row>
    <row r="30" spans="1:9" s="86" customFormat="1" ht="40">
      <c r="A30" s="107">
        <v>5930</v>
      </c>
      <c r="B30" s="108" t="s">
        <v>84</v>
      </c>
      <c r="C30" s="109" t="s">
        <v>24</v>
      </c>
      <c r="D30" s="109" t="s">
        <v>63</v>
      </c>
      <c r="E30" s="497">
        <v>0.42859999999999998</v>
      </c>
      <c r="F30" s="111">
        <f>_xlfn.XLOOKUP(A30,COMP_AUX!$F$11:$F$631,COMP_AUX!$G$11:$G$631,_xlfn.XLOOKUP(A30,INSUMOS!$A$12:$A$100,INSUMOS!$F$12:$F$100))</f>
        <v>70</v>
      </c>
      <c r="G30" s="111">
        <f>TRUNC(TRUNC(E30,8)*F30,2)</f>
        <v>30</v>
      </c>
      <c r="I30" s="87"/>
    </row>
    <row r="31" spans="1:9" s="86" customFormat="1" ht="40">
      <c r="A31" s="107">
        <v>5928</v>
      </c>
      <c r="B31" s="108" t="s">
        <v>85</v>
      </c>
      <c r="C31" s="109" t="s">
        <v>24</v>
      </c>
      <c r="D31" s="109" t="s">
        <v>64</v>
      </c>
      <c r="E31" s="497">
        <v>0.17080000000000001</v>
      </c>
      <c r="F31" s="111">
        <f>_xlfn.XLOOKUP(A31,COMP_AUX!$F$11:$F$631,COMP_AUX!$G$11:$G$631,_xlfn.XLOOKUP(A31,INSUMOS!$A$12:$A$100,INSUMOS!$F$12:$F$100))</f>
        <v>283.27999999999997</v>
      </c>
      <c r="G31" s="111">
        <f>TRUNC(TRUNC(E31,8)*F31,2)</f>
        <v>48.38</v>
      </c>
      <c r="I31" s="87"/>
    </row>
    <row r="32" spans="1:9" s="86" customFormat="1" ht="10.5">
      <c r="A32" s="97"/>
      <c r="B32" s="98"/>
      <c r="C32" s="98"/>
      <c r="D32" s="98"/>
      <c r="E32" s="99" t="s">
        <v>597</v>
      </c>
      <c r="F32" s="100"/>
      <c r="G32" s="101">
        <f>SUM(G30:G31)</f>
        <v>78.38</v>
      </c>
      <c r="I32" s="87"/>
    </row>
    <row r="33" spans="1:9" s="86" customFormat="1" ht="21">
      <c r="A33" s="88" t="s">
        <v>65</v>
      </c>
      <c r="B33" s="89"/>
      <c r="C33" s="90" t="s">
        <v>4</v>
      </c>
      <c r="D33" s="90" t="s">
        <v>66</v>
      </c>
      <c r="E33" s="91" t="s">
        <v>67</v>
      </c>
      <c r="F33" s="90" t="s">
        <v>765</v>
      </c>
      <c r="G33" s="90" t="s">
        <v>69</v>
      </c>
      <c r="I33" s="87"/>
    </row>
    <row r="34" spans="1:9" s="86" customFormat="1" ht="10">
      <c r="A34" s="107">
        <v>88239</v>
      </c>
      <c r="B34" s="108" t="s">
        <v>86</v>
      </c>
      <c r="C34" s="109" t="s">
        <v>24</v>
      </c>
      <c r="D34" s="109" t="s">
        <v>87</v>
      </c>
      <c r="E34" s="497">
        <v>0.74199999999999999</v>
      </c>
      <c r="F34" s="111">
        <f>_xlfn.XLOOKUP(A34,COMP_AUX!$F$11:$F$631,COMP_AUX!$G$11:$G$631,_xlfn.XLOOKUP(A34,INSUMOS!$A$12:$A$100,INSUMOS!$F$12:$F$100))</f>
        <v>20.89</v>
      </c>
      <c r="G34" s="111">
        <f>TRUNC(TRUNC(E34,8)*F34,2)</f>
        <v>15.5</v>
      </c>
      <c r="I34" s="87"/>
    </row>
    <row r="35" spans="1:9" s="86" customFormat="1" ht="10">
      <c r="A35" s="107">
        <v>88262</v>
      </c>
      <c r="B35" s="108" t="s">
        <v>88</v>
      </c>
      <c r="C35" s="109" t="s">
        <v>24</v>
      </c>
      <c r="D35" s="109" t="s">
        <v>87</v>
      </c>
      <c r="E35" s="497">
        <v>1.1140000000000001</v>
      </c>
      <c r="F35" s="111">
        <f>_xlfn.XLOOKUP(A35,COMP_AUX!$F$11:$F$631,COMP_AUX!$G$11:$G$631,_xlfn.XLOOKUP(A35,INSUMOS!$A$12:$A$100,INSUMOS!$F$12:$F$100))</f>
        <v>24.580000000000002</v>
      </c>
      <c r="G35" s="111">
        <f>TRUNC(TRUNC(E35,8)*F35,2)</f>
        <v>27.38</v>
      </c>
      <c r="I35" s="87"/>
    </row>
    <row r="36" spans="1:9" s="86" customFormat="1" ht="10.5">
      <c r="A36" s="97"/>
      <c r="B36" s="98"/>
      <c r="C36" s="98"/>
      <c r="D36" s="98"/>
      <c r="E36" s="99" t="s">
        <v>602</v>
      </c>
      <c r="F36" s="100"/>
      <c r="G36" s="101">
        <f>SUM(G34:G35)</f>
        <v>42.879999999999995</v>
      </c>
      <c r="I36" s="87"/>
    </row>
    <row r="37" spans="1:9" s="86" customFormat="1" ht="10.5">
      <c r="A37" s="97"/>
      <c r="B37" s="98"/>
      <c r="C37" s="98"/>
      <c r="D37" s="98"/>
      <c r="E37" s="102" t="s">
        <v>78</v>
      </c>
      <c r="F37" s="103">
        <f>A28</f>
        <v>105115</v>
      </c>
      <c r="G37" s="104">
        <f>SUM(G32,G36)</f>
        <v>121.25999999999999</v>
      </c>
      <c r="I37" s="87"/>
    </row>
    <row r="38" spans="1:9" s="86" customFormat="1" ht="10">
      <c r="A38" s="97"/>
      <c r="B38" s="98"/>
      <c r="C38" s="98"/>
      <c r="D38" s="98"/>
      <c r="E38" s="105"/>
      <c r="F38" s="106"/>
      <c r="G38" s="106"/>
      <c r="I38" s="87"/>
    </row>
    <row r="39" spans="1:9" s="86" customFormat="1" ht="31.5">
      <c r="A39" s="84">
        <v>10776</v>
      </c>
      <c r="B39" s="85" t="s">
        <v>339</v>
      </c>
      <c r="C39" s="85"/>
      <c r="D39" s="85"/>
      <c r="E39" s="84"/>
      <c r="F39" s="85"/>
      <c r="G39" s="85"/>
      <c r="I39" s="87"/>
    </row>
    <row r="40" spans="1:9" s="86" customFormat="1" ht="21">
      <c r="A40" s="88" t="s">
        <v>89</v>
      </c>
      <c r="B40" s="89"/>
      <c r="C40" s="90" t="s">
        <v>4</v>
      </c>
      <c r="D40" s="90" t="s">
        <v>66</v>
      </c>
      <c r="E40" s="91" t="s">
        <v>67</v>
      </c>
      <c r="F40" s="90" t="s">
        <v>765</v>
      </c>
      <c r="G40" s="90" t="s">
        <v>69</v>
      </c>
      <c r="I40" s="87"/>
    </row>
    <row r="41" spans="1:9" s="86" customFormat="1" ht="30">
      <c r="A41" s="107">
        <v>10776</v>
      </c>
      <c r="B41" s="108" t="s">
        <v>26</v>
      </c>
      <c r="C41" s="109" t="s">
        <v>24</v>
      </c>
      <c r="D41" s="109" t="s">
        <v>27</v>
      </c>
      <c r="E41" s="497">
        <v>1</v>
      </c>
      <c r="F41" s="111">
        <f>_xlfn.XLOOKUP(A41,COMP_AUX!$F$11:$F$631,COMP_AUX!$G$11:$G$631,_xlfn.XLOOKUP(A41,INSUMOS!$A$12:$A$100,INSUMOS!$F$12:$F$100))</f>
        <v>662.1</v>
      </c>
      <c r="G41" s="111">
        <f>TRUNC(TRUNC(E41,8)*F41,2)</f>
        <v>662.1</v>
      </c>
      <c r="I41" s="87"/>
    </row>
    <row r="42" spans="1:9" s="86" customFormat="1" ht="10.5">
      <c r="A42" s="97"/>
      <c r="B42" s="98"/>
      <c r="C42" s="98"/>
      <c r="D42" s="98"/>
      <c r="E42" s="99" t="s">
        <v>90</v>
      </c>
      <c r="F42" s="100"/>
      <c r="G42" s="101">
        <f>SUM(G41:G41)</f>
        <v>662.1</v>
      </c>
      <c r="I42" s="87"/>
    </row>
    <row r="43" spans="1:9" s="86" customFormat="1" ht="10.5">
      <c r="A43" s="97"/>
      <c r="B43" s="98"/>
      <c r="C43" s="98"/>
      <c r="D43" s="98"/>
      <c r="E43" s="102" t="s">
        <v>78</v>
      </c>
      <c r="F43" s="103">
        <f>A39</f>
        <v>10776</v>
      </c>
      <c r="G43" s="104">
        <f>SUM(G42)</f>
        <v>662.1</v>
      </c>
      <c r="I43" s="87"/>
    </row>
    <row r="44" spans="1:9" s="86" customFormat="1" ht="10">
      <c r="A44" s="97"/>
      <c r="B44" s="98"/>
      <c r="C44" s="98"/>
      <c r="D44" s="98"/>
      <c r="E44" s="105"/>
      <c r="F44" s="106"/>
      <c r="G44" s="106"/>
      <c r="I44" s="87"/>
    </row>
    <row r="45" spans="1:9" s="86" customFormat="1" ht="31.5">
      <c r="A45" s="84">
        <v>10778</v>
      </c>
      <c r="B45" s="85" t="s">
        <v>340</v>
      </c>
      <c r="C45" s="85"/>
      <c r="D45" s="85"/>
      <c r="E45" s="84"/>
      <c r="F45" s="85"/>
      <c r="G45" s="85"/>
      <c r="I45" s="87"/>
    </row>
    <row r="46" spans="1:9" s="86" customFormat="1" ht="21">
      <c r="A46" s="88" t="s">
        <v>89</v>
      </c>
      <c r="B46" s="89"/>
      <c r="C46" s="90" t="s">
        <v>4</v>
      </c>
      <c r="D46" s="90" t="s">
        <v>66</v>
      </c>
      <c r="E46" s="91" t="s">
        <v>67</v>
      </c>
      <c r="F46" s="90" t="s">
        <v>765</v>
      </c>
      <c r="G46" s="90" t="s">
        <v>69</v>
      </c>
      <c r="I46" s="87"/>
    </row>
    <row r="47" spans="1:9" s="86" customFormat="1" ht="30">
      <c r="A47" s="107">
        <v>10778</v>
      </c>
      <c r="B47" s="108" t="s">
        <v>29</v>
      </c>
      <c r="C47" s="109" t="s">
        <v>24</v>
      </c>
      <c r="D47" s="109" t="s">
        <v>27</v>
      </c>
      <c r="E47" s="497">
        <v>1</v>
      </c>
      <c r="F47" s="111">
        <f>_xlfn.XLOOKUP(A47,COMP_AUX!$F$11:$F$631,COMP_AUX!$G$11:$G$631,_xlfn.XLOOKUP(A47,INSUMOS!$A$12:$A$100,INSUMOS!$F$12:$F$100))</f>
        <v>1059.3699999999999</v>
      </c>
      <c r="G47" s="111">
        <f>TRUNC(TRUNC(E47,8)*F47,2)</f>
        <v>1059.3699999999999</v>
      </c>
      <c r="I47" s="87"/>
    </row>
    <row r="48" spans="1:9" s="86" customFormat="1" ht="10.5">
      <c r="A48" s="97"/>
      <c r="B48" s="98"/>
      <c r="C48" s="98"/>
      <c r="D48" s="98"/>
      <c r="E48" s="99" t="s">
        <v>90</v>
      </c>
      <c r="F48" s="100"/>
      <c r="G48" s="101">
        <f>SUM(G47:G47)</f>
        <v>1059.3699999999999</v>
      </c>
      <c r="I48" s="87"/>
    </row>
    <row r="49" spans="1:9" s="86" customFormat="1" ht="10.5">
      <c r="A49" s="97"/>
      <c r="B49" s="98"/>
      <c r="C49" s="98"/>
      <c r="D49" s="98"/>
      <c r="E49" s="102" t="s">
        <v>78</v>
      </c>
      <c r="F49" s="103">
        <f>A45</f>
        <v>10778</v>
      </c>
      <c r="G49" s="104">
        <f>SUM(G48)</f>
        <v>1059.3699999999999</v>
      </c>
      <c r="I49" s="87"/>
    </row>
    <row r="50" spans="1:9" s="86" customFormat="1" ht="10">
      <c r="A50" s="97"/>
      <c r="B50" s="98"/>
      <c r="C50" s="98"/>
      <c r="D50" s="98"/>
      <c r="E50" s="105"/>
      <c r="F50" s="106"/>
      <c r="G50" s="106"/>
      <c r="I50" s="87"/>
    </row>
    <row r="51" spans="1:9" s="86" customFormat="1" ht="21">
      <c r="A51" s="84">
        <v>103689</v>
      </c>
      <c r="B51" s="85" t="s">
        <v>341</v>
      </c>
      <c r="C51" s="85"/>
      <c r="D51" s="85"/>
      <c r="E51" s="84"/>
      <c r="F51" s="85"/>
      <c r="G51" s="85"/>
      <c r="I51" s="87"/>
    </row>
    <row r="52" spans="1:9" s="86" customFormat="1" ht="21">
      <c r="A52" s="88" t="s">
        <v>79</v>
      </c>
      <c r="B52" s="89"/>
      <c r="C52" s="90" t="s">
        <v>4</v>
      </c>
      <c r="D52" s="90" t="s">
        <v>66</v>
      </c>
      <c r="E52" s="91" t="s">
        <v>67</v>
      </c>
      <c r="F52" s="90" t="s">
        <v>765</v>
      </c>
      <c r="G52" s="90" t="s">
        <v>69</v>
      </c>
      <c r="I52" s="87"/>
    </row>
    <row r="53" spans="1:9" s="86" customFormat="1" ht="30">
      <c r="A53" s="107">
        <v>4813</v>
      </c>
      <c r="B53" s="108" t="s">
        <v>91</v>
      </c>
      <c r="C53" s="109" t="s">
        <v>24</v>
      </c>
      <c r="D53" s="109" t="s">
        <v>32</v>
      </c>
      <c r="E53" s="497">
        <v>1</v>
      </c>
      <c r="F53" s="111">
        <f>_xlfn.XLOOKUP(A53,COMP_AUX!$F$11:$F$631,COMP_AUX!$G$11:$G$631,_xlfn.XLOOKUP(A53,INSUMOS!$A$12:$A$100,INSUMOS!$F$12:$F$100))</f>
        <v>400</v>
      </c>
      <c r="G53" s="111">
        <f>TRUNC(TRUNC(E53,8)*F53,2)</f>
        <v>400</v>
      </c>
      <c r="I53" s="87"/>
    </row>
    <row r="54" spans="1:9" s="86" customFormat="1" ht="10">
      <c r="A54" s="107">
        <v>5065</v>
      </c>
      <c r="B54" s="108" t="s">
        <v>92</v>
      </c>
      <c r="C54" s="109" t="s">
        <v>24</v>
      </c>
      <c r="D54" s="109" t="s">
        <v>54</v>
      </c>
      <c r="E54" s="497">
        <v>1.1299999999999999E-2</v>
      </c>
      <c r="F54" s="111">
        <f>_xlfn.XLOOKUP(A54,COMP_AUX!$F$11:$F$631,COMP_AUX!$G$11:$G$631,_xlfn.XLOOKUP(A54,INSUMOS!$A$12:$A$100,INSUMOS!$F$12:$F$100))</f>
        <v>38.700000000000003</v>
      </c>
      <c r="G54" s="111">
        <f>TRUNC(TRUNC(E54,8)*F54,2)</f>
        <v>0.43</v>
      </c>
      <c r="I54" s="87"/>
    </row>
    <row r="55" spans="1:9" s="86" customFormat="1" ht="10">
      <c r="A55" s="107">
        <v>5069</v>
      </c>
      <c r="B55" s="108" t="s">
        <v>93</v>
      </c>
      <c r="C55" s="109" t="s">
        <v>24</v>
      </c>
      <c r="D55" s="109" t="s">
        <v>54</v>
      </c>
      <c r="E55" s="497">
        <v>1.32E-2</v>
      </c>
      <c r="F55" s="111">
        <f>_xlfn.XLOOKUP(A55,COMP_AUX!$F$11:$F$631,COMP_AUX!$G$11:$G$631,_xlfn.XLOOKUP(A55,INSUMOS!$A$12:$A$100,INSUMOS!$F$12:$F$100))</f>
        <v>20.74</v>
      </c>
      <c r="G55" s="111">
        <f>TRUNC(TRUNC(E55,8)*F55,2)</f>
        <v>0.27</v>
      </c>
      <c r="I55" s="87"/>
    </row>
    <row r="56" spans="1:9" s="86" customFormat="1" ht="20">
      <c r="A56" s="107">
        <v>4509</v>
      </c>
      <c r="B56" s="108" t="s">
        <v>94</v>
      </c>
      <c r="C56" s="109" t="s">
        <v>24</v>
      </c>
      <c r="D56" s="109" t="s">
        <v>49</v>
      </c>
      <c r="E56" s="497">
        <v>3.2082999999999999</v>
      </c>
      <c r="F56" s="111">
        <f>_xlfn.XLOOKUP(A56,COMP_AUX!$F$11:$F$631,COMP_AUX!$G$11:$G$631,_xlfn.XLOOKUP(A56,INSUMOS!$A$12:$A$100,INSUMOS!$F$12:$F$100))</f>
        <v>5.69</v>
      </c>
      <c r="G56" s="111">
        <f>TRUNC(TRUNC(E56,8)*F56,2)</f>
        <v>18.25</v>
      </c>
      <c r="I56" s="87"/>
    </row>
    <row r="57" spans="1:9" s="86" customFormat="1" ht="10.5">
      <c r="A57" s="97"/>
      <c r="B57" s="98"/>
      <c r="C57" s="98"/>
      <c r="D57" s="98"/>
      <c r="E57" s="99" t="s">
        <v>82</v>
      </c>
      <c r="F57" s="100"/>
      <c r="G57" s="101">
        <f>SUM(G53:G56)</f>
        <v>418.95</v>
      </c>
      <c r="I57" s="87"/>
    </row>
    <row r="58" spans="1:9" s="86" customFormat="1" ht="21">
      <c r="A58" s="88" t="s">
        <v>65</v>
      </c>
      <c r="B58" s="89"/>
      <c r="C58" s="90" t="s">
        <v>4</v>
      </c>
      <c r="D58" s="90" t="s">
        <v>66</v>
      </c>
      <c r="E58" s="91" t="s">
        <v>67</v>
      </c>
      <c r="F58" s="90" t="s">
        <v>765</v>
      </c>
      <c r="G58" s="90" t="s">
        <v>69</v>
      </c>
      <c r="I58" s="87"/>
    </row>
    <row r="59" spans="1:9" s="86" customFormat="1" ht="10">
      <c r="A59" s="107">
        <v>88262</v>
      </c>
      <c r="B59" s="108" t="s">
        <v>88</v>
      </c>
      <c r="C59" s="109" t="s">
        <v>24</v>
      </c>
      <c r="D59" s="109" t="s">
        <v>87</v>
      </c>
      <c r="E59" s="497">
        <v>0.37290000000000001</v>
      </c>
      <c r="F59" s="111">
        <f>_xlfn.XLOOKUP(A59,COMP_AUX!$F$11:$F$631,COMP_AUX!$G$11:$G$631,_xlfn.XLOOKUP(A59,INSUMOS!$A$12:$A$100,INSUMOS!$F$12:$F$100))</f>
        <v>24.580000000000002</v>
      </c>
      <c r="G59" s="111">
        <f>TRUNC(TRUNC(E59,8)*F59,2)</f>
        <v>9.16</v>
      </c>
      <c r="I59" s="87"/>
    </row>
    <row r="60" spans="1:9" s="86" customFormat="1" ht="10">
      <c r="A60" s="107">
        <v>88316</v>
      </c>
      <c r="B60" s="108" t="s">
        <v>96</v>
      </c>
      <c r="C60" s="109" t="s">
        <v>24</v>
      </c>
      <c r="D60" s="109" t="s">
        <v>87</v>
      </c>
      <c r="E60" s="497">
        <v>1.1186</v>
      </c>
      <c r="F60" s="111">
        <f>_xlfn.XLOOKUP(A60,COMP_AUX!$F$11:$F$631,COMP_AUX!$G$11:$G$631,_xlfn.XLOOKUP(A60,INSUMOS!$A$12:$A$100,INSUMOS!$F$12:$F$100))</f>
        <v>20.27</v>
      </c>
      <c r="G60" s="111">
        <f>TRUNC(TRUNC(E60,8)*F60,2)</f>
        <v>22.67</v>
      </c>
      <c r="I60" s="87"/>
    </row>
    <row r="61" spans="1:9" s="86" customFormat="1" ht="10.5">
      <c r="A61" s="97"/>
      <c r="B61" s="98"/>
      <c r="C61" s="98"/>
      <c r="D61" s="98"/>
      <c r="E61" s="99" t="s">
        <v>602</v>
      </c>
      <c r="F61" s="100"/>
      <c r="G61" s="101">
        <f>SUM(G59:G60)</f>
        <v>31.830000000000002</v>
      </c>
      <c r="I61" s="87"/>
    </row>
    <row r="62" spans="1:9" s="86" customFormat="1" ht="21">
      <c r="A62" s="88" t="s">
        <v>73</v>
      </c>
      <c r="B62" s="89"/>
      <c r="C62" s="90" t="s">
        <v>4</v>
      </c>
      <c r="D62" s="90" t="s">
        <v>66</v>
      </c>
      <c r="E62" s="91" t="s">
        <v>67</v>
      </c>
      <c r="F62" s="90" t="s">
        <v>765</v>
      </c>
      <c r="G62" s="90" t="s">
        <v>69</v>
      </c>
      <c r="I62" s="87"/>
    </row>
    <row r="63" spans="1:9" s="86" customFormat="1" ht="10">
      <c r="A63" s="107">
        <v>102234</v>
      </c>
      <c r="B63" s="108" t="s">
        <v>97</v>
      </c>
      <c r="C63" s="109" t="s">
        <v>24</v>
      </c>
      <c r="D63" s="109" t="s">
        <v>32</v>
      </c>
      <c r="E63" s="497">
        <v>0.5</v>
      </c>
      <c r="F63" s="111">
        <f>_xlfn.XLOOKUP(A63,COMP_AUX!$F$11:$F$631,COMP_AUX!$G$11:$G$631,_xlfn.XLOOKUP(A63,INSUMOS!$A$12:$A$100,INSUMOS!$F$12:$F$100))</f>
        <v>22.95</v>
      </c>
      <c r="G63" s="111">
        <f>TRUNC(TRUNC(E63,8)*F63,2)</f>
        <v>11.47</v>
      </c>
      <c r="I63" s="87"/>
    </row>
    <row r="64" spans="1:9" s="86" customFormat="1" ht="10.5">
      <c r="A64" s="97"/>
      <c r="B64" s="98"/>
      <c r="C64" s="98"/>
      <c r="D64" s="98"/>
      <c r="E64" s="99" t="s">
        <v>77</v>
      </c>
      <c r="F64" s="100"/>
      <c r="G64" s="101">
        <f>SUM(G63:G63)</f>
        <v>11.47</v>
      </c>
      <c r="I64" s="87"/>
    </row>
    <row r="65" spans="1:9" s="86" customFormat="1" ht="10.5">
      <c r="A65" s="97"/>
      <c r="B65" s="98"/>
      <c r="C65" s="98"/>
      <c r="D65" s="98"/>
      <c r="E65" s="102" t="s">
        <v>78</v>
      </c>
      <c r="F65" s="103">
        <f>A51</f>
        <v>103689</v>
      </c>
      <c r="G65" s="104">
        <f>SUM(G57,G61,G64)</f>
        <v>462.25</v>
      </c>
      <c r="I65" s="87"/>
    </row>
    <row r="66" spans="1:9" s="86" customFormat="1" ht="10">
      <c r="A66" s="97"/>
      <c r="B66" s="98"/>
      <c r="C66" s="98"/>
      <c r="D66" s="98"/>
      <c r="E66" s="105"/>
      <c r="F66" s="106"/>
      <c r="G66" s="106"/>
      <c r="I66" s="87"/>
    </row>
    <row r="67" spans="1:9" s="86" customFormat="1" ht="10.5">
      <c r="A67" s="84">
        <v>98459</v>
      </c>
      <c r="B67" s="85" t="s">
        <v>342</v>
      </c>
      <c r="C67" s="85"/>
      <c r="D67" s="85"/>
      <c r="E67" s="84"/>
      <c r="F67" s="85"/>
      <c r="G67" s="85"/>
      <c r="I67" s="87"/>
    </row>
    <row r="68" spans="1:9" s="86" customFormat="1" ht="21">
      <c r="A68" s="88" t="s">
        <v>83</v>
      </c>
      <c r="B68" s="89"/>
      <c r="C68" s="90" t="s">
        <v>4</v>
      </c>
      <c r="D68" s="90" t="s">
        <v>66</v>
      </c>
      <c r="E68" s="91" t="s">
        <v>67</v>
      </c>
      <c r="F68" s="90" t="s">
        <v>765</v>
      </c>
      <c r="G68" s="90" t="s">
        <v>69</v>
      </c>
      <c r="I68" s="87"/>
    </row>
    <row r="69" spans="1:9" s="86" customFormat="1" ht="20">
      <c r="A69" s="107">
        <v>91693</v>
      </c>
      <c r="B69" s="108" t="s">
        <v>98</v>
      </c>
      <c r="C69" s="109" t="s">
        <v>24</v>
      </c>
      <c r="D69" s="109" t="s">
        <v>63</v>
      </c>
      <c r="E69" s="497">
        <v>2.64E-2</v>
      </c>
      <c r="F69" s="111">
        <f>_xlfn.XLOOKUP(A69,COMP_AUX!$F$11:$F$631,COMP_AUX!$G$11:$G$631,_xlfn.XLOOKUP(A69,INSUMOS!$A$12:$A$100,INSUMOS!$F$12:$F$100))</f>
        <v>23.89</v>
      </c>
      <c r="G69" s="111">
        <f>TRUNC(TRUNC(E69,8)*F69,2)</f>
        <v>0.63</v>
      </c>
      <c r="I69" s="87"/>
    </row>
    <row r="70" spans="1:9" s="86" customFormat="1" ht="20">
      <c r="A70" s="107">
        <v>91692</v>
      </c>
      <c r="B70" s="108" t="s">
        <v>99</v>
      </c>
      <c r="C70" s="109" t="s">
        <v>24</v>
      </c>
      <c r="D70" s="109" t="s">
        <v>64</v>
      </c>
      <c r="E70" s="497">
        <v>6.6E-3</v>
      </c>
      <c r="F70" s="111">
        <f>_xlfn.XLOOKUP(A70,COMP_AUX!$F$11:$F$631,COMP_AUX!$G$11:$G$631,_xlfn.XLOOKUP(A70,INSUMOS!$A$12:$A$100,INSUMOS!$F$12:$F$100))</f>
        <v>24.96</v>
      </c>
      <c r="G70" s="111">
        <f>TRUNC(TRUNC(E70,8)*F70,2)</f>
        <v>0.16</v>
      </c>
      <c r="I70" s="87"/>
    </row>
    <row r="71" spans="1:9" s="86" customFormat="1" ht="10.5">
      <c r="A71" s="97"/>
      <c r="B71" s="98"/>
      <c r="C71" s="98"/>
      <c r="D71" s="98"/>
      <c r="E71" s="99" t="s">
        <v>597</v>
      </c>
      <c r="F71" s="100"/>
      <c r="G71" s="101">
        <f>SUM(G69:G70)</f>
        <v>0.79</v>
      </c>
      <c r="I71" s="87"/>
    </row>
    <row r="72" spans="1:9" s="86" customFormat="1" ht="21">
      <c r="A72" s="88" t="s">
        <v>79</v>
      </c>
      <c r="B72" s="89"/>
      <c r="C72" s="90" t="s">
        <v>4</v>
      </c>
      <c r="D72" s="90" t="s">
        <v>66</v>
      </c>
      <c r="E72" s="91" t="s">
        <v>67</v>
      </c>
      <c r="F72" s="90" t="s">
        <v>765</v>
      </c>
      <c r="G72" s="90" t="s">
        <v>69</v>
      </c>
      <c r="I72" s="87"/>
    </row>
    <row r="73" spans="1:9" s="86" customFormat="1" ht="20">
      <c r="A73" s="107">
        <v>4491</v>
      </c>
      <c r="B73" s="108" t="s">
        <v>100</v>
      </c>
      <c r="C73" s="109" t="s">
        <v>24</v>
      </c>
      <c r="D73" s="109" t="s">
        <v>49</v>
      </c>
      <c r="E73" s="497">
        <v>1.2273000000000001</v>
      </c>
      <c r="F73" s="111">
        <f>_xlfn.XLOOKUP(A73,COMP_AUX!$F$11:$F$631,COMP_AUX!$G$11:$G$631,_xlfn.XLOOKUP(A73,INSUMOS!$A$12:$A$100,INSUMOS!$F$12:$F$100))</f>
        <v>11.21</v>
      </c>
      <c r="G73" s="111">
        <f>TRUNC(TRUNC(E73,8)*F73,2)</f>
        <v>13.75</v>
      </c>
      <c r="I73" s="87"/>
    </row>
    <row r="74" spans="1:9" s="86" customFormat="1" ht="10">
      <c r="A74" s="107">
        <v>5061</v>
      </c>
      <c r="B74" s="108" t="s">
        <v>101</v>
      </c>
      <c r="C74" s="109" t="s">
        <v>24</v>
      </c>
      <c r="D74" s="109" t="s">
        <v>54</v>
      </c>
      <c r="E74" s="497">
        <v>6.8000000000000005E-2</v>
      </c>
      <c r="F74" s="111">
        <f>_xlfn.XLOOKUP(A74,COMP_AUX!$F$11:$F$631,COMP_AUX!$G$11:$G$631,_xlfn.XLOOKUP(A74,INSUMOS!$A$12:$A$100,INSUMOS!$F$12:$F$100))</f>
        <v>20</v>
      </c>
      <c r="G74" s="111">
        <f>TRUNC(TRUNC(E74,8)*F74,2)</f>
        <v>1.36</v>
      </c>
      <c r="I74" s="87"/>
    </row>
    <row r="75" spans="1:9" s="86" customFormat="1" ht="20">
      <c r="A75" s="107">
        <v>6194</v>
      </c>
      <c r="B75" s="108" t="s">
        <v>102</v>
      </c>
      <c r="C75" s="109" t="s">
        <v>24</v>
      </c>
      <c r="D75" s="109" t="s">
        <v>49</v>
      </c>
      <c r="E75" s="497">
        <v>2</v>
      </c>
      <c r="F75" s="111">
        <f>_xlfn.XLOOKUP(A75,COMP_AUX!$F$11:$F$631,COMP_AUX!$G$11:$G$631,_xlfn.XLOOKUP(A75,INSUMOS!$A$12:$A$100,INSUMOS!$F$12:$F$100))</f>
        <v>8</v>
      </c>
      <c r="G75" s="111">
        <f>TRUNC(TRUNC(E75,8)*F75,2)</f>
        <v>16</v>
      </c>
      <c r="I75" s="87"/>
    </row>
    <row r="76" spans="1:9" s="86" customFormat="1" ht="30">
      <c r="A76" s="107">
        <v>7243</v>
      </c>
      <c r="B76" s="108" t="s">
        <v>103</v>
      </c>
      <c r="C76" s="109" t="s">
        <v>24</v>
      </c>
      <c r="D76" s="109" t="s">
        <v>32</v>
      </c>
      <c r="E76" s="497">
        <v>0.58530000000000004</v>
      </c>
      <c r="F76" s="111">
        <f>_xlfn.XLOOKUP(A76,COMP_AUX!$F$11:$F$631,COMP_AUX!$G$11:$G$631,_xlfn.XLOOKUP(A76,INSUMOS!$A$12:$A$100,INSUMOS!$F$12:$F$100))</f>
        <v>50.74</v>
      </c>
      <c r="G76" s="111">
        <f>TRUNC(TRUNC(E76,8)*F76,2)</f>
        <v>29.69</v>
      </c>
      <c r="I76" s="87"/>
    </row>
    <row r="77" spans="1:9" s="86" customFormat="1" ht="10.5">
      <c r="A77" s="97"/>
      <c r="B77" s="98"/>
      <c r="C77" s="98"/>
      <c r="D77" s="98"/>
      <c r="E77" s="99" t="s">
        <v>82</v>
      </c>
      <c r="F77" s="100"/>
      <c r="G77" s="101">
        <f>SUM(G73:G76)</f>
        <v>60.8</v>
      </c>
      <c r="I77" s="87"/>
    </row>
    <row r="78" spans="1:9" s="86" customFormat="1" ht="21">
      <c r="A78" s="88" t="s">
        <v>65</v>
      </c>
      <c r="B78" s="89"/>
      <c r="C78" s="90" t="s">
        <v>4</v>
      </c>
      <c r="D78" s="90" t="s">
        <v>66</v>
      </c>
      <c r="E78" s="91" t="s">
        <v>67</v>
      </c>
      <c r="F78" s="90" t="s">
        <v>765</v>
      </c>
      <c r="G78" s="90" t="s">
        <v>69</v>
      </c>
      <c r="I78" s="87"/>
    </row>
    <row r="79" spans="1:9" s="86" customFormat="1" ht="10">
      <c r="A79" s="107">
        <v>88239</v>
      </c>
      <c r="B79" s="108" t="s">
        <v>86</v>
      </c>
      <c r="C79" s="109" t="s">
        <v>24</v>
      </c>
      <c r="D79" s="109" t="s">
        <v>87</v>
      </c>
      <c r="E79" s="497">
        <v>0.49199999999999999</v>
      </c>
      <c r="F79" s="111">
        <f>_xlfn.XLOOKUP(A79,COMP_AUX!$F$11:$F$631,COMP_AUX!$G$11:$G$631,_xlfn.XLOOKUP(A79,INSUMOS!$A$12:$A$100,INSUMOS!$F$12:$F$100))</f>
        <v>20.89</v>
      </c>
      <c r="G79" s="111">
        <f>TRUNC(TRUNC(E79,8)*F79,2)</f>
        <v>10.27</v>
      </c>
      <c r="I79" s="87"/>
    </row>
    <row r="80" spans="1:9" s="86" customFormat="1" ht="10">
      <c r="A80" s="107">
        <v>88262</v>
      </c>
      <c r="B80" s="108" t="s">
        <v>88</v>
      </c>
      <c r="C80" s="109" t="s">
        <v>24</v>
      </c>
      <c r="D80" s="109" t="s">
        <v>87</v>
      </c>
      <c r="E80" s="497">
        <v>0.73499999999999999</v>
      </c>
      <c r="F80" s="111">
        <f>_xlfn.XLOOKUP(A80,COMP_AUX!$F$11:$F$631,COMP_AUX!$G$11:$G$631,_xlfn.XLOOKUP(A80,INSUMOS!$A$12:$A$100,INSUMOS!$F$12:$F$100))</f>
        <v>24.580000000000002</v>
      </c>
      <c r="G80" s="111">
        <f>TRUNC(TRUNC(E80,8)*F80,2)</f>
        <v>18.059999999999999</v>
      </c>
      <c r="I80" s="87"/>
    </row>
    <row r="81" spans="1:9" s="86" customFormat="1" ht="10.5">
      <c r="A81" s="97"/>
      <c r="B81" s="98"/>
      <c r="C81" s="98"/>
      <c r="D81" s="98"/>
      <c r="E81" s="99" t="s">
        <v>602</v>
      </c>
      <c r="F81" s="100"/>
      <c r="G81" s="101">
        <f>SUM(G79:G80)</f>
        <v>28.33</v>
      </c>
      <c r="I81" s="87"/>
    </row>
    <row r="82" spans="1:9" s="86" customFormat="1" ht="21">
      <c r="A82" s="88" t="s">
        <v>73</v>
      </c>
      <c r="B82" s="89"/>
      <c r="C82" s="90" t="s">
        <v>4</v>
      </c>
      <c r="D82" s="90" t="s">
        <v>66</v>
      </c>
      <c r="E82" s="91" t="s">
        <v>67</v>
      </c>
      <c r="F82" s="90" t="s">
        <v>765</v>
      </c>
      <c r="G82" s="90" t="s">
        <v>69</v>
      </c>
      <c r="I82" s="87"/>
    </row>
    <row r="83" spans="1:9" s="86" customFormat="1" ht="30">
      <c r="A83" s="107">
        <v>94974</v>
      </c>
      <c r="B83" s="108" t="s">
        <v>104</v>
      </c>
      <c r="C83" s="109" t="s">
        <v>24</v>
      </c>
      <c r="D83" s="109" t="s">
        <v>40</v>
      </c>
      <c r="E83" s="497">
        <v>6.1000000000000004E-3</v>
      </c>
      <c r="F83" s="111">
        <f>_xlfn.XLOOKUP(A83,COMP_AUX!$F$11:$F$631,COMP_AUX!$G$11:$G$631,_xlfn.XLOOKUP(A83,INSUMOS!$A$12:$A$100,INSUMOS!$F$12:$F$100))</f>
        <v>459.57999999999993</v>
      </c>
      <c r="G83" s="111">
        <f>TRUNC(TRUNC(E83,8)*F83,2)</f>
        <v>2.8</v>
      </c>
      <c r="I83" s="87"/>
    </row>
    <row r="84" spans="1:9" s="86" customFormat="1" ht="10.5">
      <c r="A84" s="97"/>
      <c r="B84" s="98"/>
      <c r="C84" s="98"/>
      <c r="D84" s="98"/>
      <c r="E84" s="99" t="s">
        <v>77</v>
      </c>
      <c r="F84" s="100"/>
      <c r="G84" s="101">
        <f>SUM(G83:G83)</f>
        <v>2.8</v>
      </c>
      <c r="I84" s="87"/>
    </row>
    <row r="85" spans="1:9" s="86" customFormat="1" ht="10.5">
      <c r="A85" s="97"/>
      <c r="B85" s="98"/>
      <c r="C85" s="98"/>
      <c r="D85" s="98"/>
      <c r="E85" s="102" t="s">
        <v>78</v>
      </c>
      <c r="F85" s="103">
        <f>A67</f>
        <v>98459</v>
      </c>
      <c r="G85" s="104">
        <f>SUM(G71,G77,G81,G84)</f>
        <v>92.719999999999985</v>
      </c>
      <c r="I85" s="87"/>
    </row>
    <row r="86" spans="1:9" s="86" customFormat="1" ht="10">
      <c r="A86" s="97"/>
      <c r="B86" s="98"/>
      <c r="C86" s="98"/>
      <c r="D86" s="98"/>
      <c r="E86" s="105"/>
      <c r="F86" s="106"/>
      <c r="G86" s="106"/>
      <c r="I86" s="87"/>
    </row>
    <row r="87" spans="1:9" s="86" customFormat="1" ht="31.5">
      <c r="A87" s="84" t="s">
        <v>471</v>
      </c>
      <c r="B87" s="85" t="s">
        <v>682</v>
      </c>
      <c r="C87" s="85"/>
      <c r="D87" s="85"/>
      <c r="E87" s="84"/>
      <c r="F87" s="85"/>
      <c r="G87" s="85"/>
      <c r="I87" s="87"/>
    </row>
    <row r="88" spans="1:9" s="86" customFormat="1" ht="21">
      <c r="A88" s="88" t="s">
        <v>65</v>
      </c>
      <c r="B88" s="89"/>
      <c r="C88" s="90" t="s">
        <v>4</v>
      </c>
      <c r="D88" s="90" t="s">
        <v>66</v>
      </c>
      <c r="E88" s="91" t="s">
        <v>67</v>
      </c>
      <c r="F88" s="90" t="s">
        <v>765</v>
      </c>
      <c r="G88" s="90" t="s">
        <v>69</v>
      </c>
      <c r="I88" s="87"/>
    </row>
    <row r="89" spans="1:9" s="86" customFormat="1" ht="20">
      <c r="A89" s="107">
        <v>88279</v>
      </c>
      <c r="B89" s="108" t="s">
        <v>108</v>
      </c>
      <c r="C89" s="109" t="s">
        <v>24</v>
      </c>
      <c r="D89" s="109" t="s">
        <v>87</v>
      </c>
      <c r="E89" s="497">
        <v>6.2930000000000001</v>
      </c>
      <c r="F89" s="111">
        <f>_xlfn.XLOOKUP(A89,COMP_AUX!$F$11:$F$631,COMP_AUX!$G$11:$G$631,_xlfn.XLOOKUP(A89,INSUMOS!$A$12:$A$100,INSUMOS!$F$12:$F$100))</f>
        <v>24.520000000000003</v>
      </c>
      <c r="G89" s="111">
        <f>ROUND(ROUND(E89,8)*F89,2)</f>
        <v>154.30000000000001</v>
      </c>
      <c r="I89" s="87"/>
    </row>
    <row r="90" spans="1:9" s="86" customFormat="1" ht="10">
      <c r="A90" s="107">
        <v>88316</v>
      </c>
      <c r="B90" s="108" t="s">
        <v>96</v>
      </c>
      <c r="C90" s="109" t="s">
        <v>24</v>
      </c>
      <c r="D90" s="109" t="s">
        <v>87</v>
      </c>
      <c r="E90" s="497">
        <v>6.2930000000000001</v>
      </c>
      <c r="F90" s="111">
        <f>_xlfn.XLOOKUP(A90,COMP_AUX!$F$11:$F$631,COMP_AUX!$G$11:$G$631,_xlfn.XLOOKUP(A90,INSUMOS!$A$12:$A$100,INSUMOS!$F$12:$F$100))</f>
        <v>20.27</v>
      </c>
      <c r="G90" s="111">
        <f>ROUND(ROUND(E90,8)*F90,2)</f>
        <v>127.56</v>
      </c>
      <c r="I90" s="87"/>
    </row>
    <row r="91" spans="1:9" s="86" customFormat="1" ht="10.5">
      <c r="A91" s="97"/>
      <c r="B91" s="98"/>
      <c r="C91" s="98"/>
      <c r="D91" s="98"/>
      <c r="E91" s="99" t="s">
        <v>602</v>
      </c>
      <c r="F91" s="100"/>
      <c r="G91" s="101">
        <f>SUM(G89:G90)</f>
        <v>281.86</v>
      </c>
      <c r="I91" s="87"/>
    </row>
    <row r="92" spans="1:9" s="86" customFormat="1" ht="10.5">
      <c r="A92" s="97"/>
      <c r="B92" s="98"/>
      <c r="C92" s="98"/>
      <c r="D92" s="98"/>
      <c r="E92" s="102" t="s">
        <v>78</v>
      </c>
      <c r="F92" s="103" t="str">
        <f>A87</f>
        <v>JFPB-15141637</v>
      </c>
      <c r="G92" s="104">
        <f>SUM(G91)</f>
        <v>281.86</v>
      </c>
      <c r="I92" s="87"/>
    </row>
    <row r="93" spans="1:9" s="86" customFormat="1" ht="10">
      <c r="A93" s="97"/>
      <c r="B93" s="98"/>
      <c r="C93" s="98"/>
      <c r="D93" s="98"/>
      <c r="E93" s="105"/>
      <c r="F93" s="106"/>
      <c r="G93" s="106"/>
      <c r="I93" s="87"/>
    </row>
    <row r="94" spans="1:9" s="86" customFormat="1" ht="21">
      <c r="A94" s="84">
        <v>99814</v>
      </c>
      <c r="B94" s="85" t="s">
        <v>683</v>
      </c>
      <c r="C94" s="85"/>
      <c r="D94" s="85"/>
      <c r="E94" s="84"/>
      <c r="F94" s="85"/>
      <c r="G94" s="85"/>
      <c r="I94" s="87"/>
    </row>
    <row r="95" spans="1:9" s="86" customFormat="1" ht="21">
      <c r="A95" s="88" t="s">
        <v>83</v>
      </c>
      <c r="B95" s="89"/>
      <c r="C95" s="90" t="s">
        <v>4</v>
      </c>
      <c r="D95" s="90" t="s">
        <v>66</v>
      </c>
      <c r="E95" s="91" t="s">
        <v>67</v>
      </c>
      <c r="F95" s="90" t="s">
        <v>765</v>
      </c>
      <c r="G95" s="90" t="s">
        <v>69</v>
      </c>
      <c r="I95" s="87"/>
    </row>
    <row r="96" spans="1:9" s="86" customFormat="1" ht="30">
      <c r="A96" s="107">
        <v>99833</v>
      </c>
      <c r="B96" s="108" t="s">
        <v>654</v>
      </c>
      <c r="C96" s="109" t="s">
        <v>24</v>
      </c>
      <c r="D96" s="109" t="s">
        <v>64</v>
      </c>
      <c r="E96" s="497">
        <v>1.4999999999999999E-2</v>
      </c>
      <c r="F96" s="111">
        <f>_xlfn.XLOOKUP(A96,COMP_AUX!$F$11:$F$631,COMP_AUX!$G$11:$G$631,_xlfn.XLOOKUP(A96,INSUMOS!$A$12:$A$100,INSUMOS!$F$12:$F$100))</f>
        <v>3.5</v>
      </c>
      <c r="G96" s="111">
        <f>TRUNC(TRUNC(E96,8)*F96,2)</f>
        <v>0.05</v>
      </c>
      <c r="I96" s="87"/>
    </row>
    <row r="97" spans="1:9" s="86" customFormat="1" ht="10.5">
      <c r="A97" s="97"/>
      <c r="B97" s="98"/>
      <c r="C97" s="98"/>
      <c r="D97" s="98"/>
      <c r="E97" s="99" t="s">
        <v>597</v>
      </c>
      <c r="F97" s="100"/>
      <c r="G97" s="101">
        <f>SUM(G96:G96)</f>
        <v>0.05</v>
      </c>
      <c r="I97" s="87"/>
    </row>
    <row r="98" spans="1:9" s="86" customFormat="1" ht="21">
      <c r="A98" s="88" t="s">
        <v>65</v>
      </c>
      <c r="B98" s="89"/>
      <c r="C98" s="90" t="s">
        <v>4</v>
      </c>
      <c r="D98" s="90" t="s">
        <v>66</v>
      </c>
      <c r="E98" s="91" t="s">
        <v>67</v>
      </c>
      <c r="F98" s="90" t="s">
        <v>765</v>
      </c>
      <c r="G98" s="90" t="s">
        <v>69</v>
      </c>
      <c r="I98" s="87"/>
    </row>
    <row r="99" spans="1:9" s="86" customFormat="1" ht="10">
      <c r="A99" s="107">
        <v>88316</v>
      </c>
      <c r="B99" s="108" t="s">
        <v>96</v>
      </c>
      <c r="C99" s="109" t="s">
        <v>24</v>
      </c>
      <c r="D99" s="109" t="s">
        <v>87</v>
      </c>
      <c r="E99" s="110">
        <v>8.8999999999999996E-2</v>
      </c>
      <c r="F99" s="111">
        <f>_xlfn.XLOOKUP(A99,COMP_AUX!$F$11:$F$631,COMP_AUX!$G$11:$G$631,_xlfn.XLOOKUP(A99,INSUMOS!$A$12:$A$100,INSUMOS!$F$12:$F$100))</f>
        <v>20.27</v>
      </c>
      <c r="G99" s="111">
        <f>TRUNC(TRUNC(E99,8)*F99,2)</f>
        <v>1.8</v>
      </c>
      <c r="I99" s="87"/>
    </row>
    <row r="100" spans="1:9" s="86" customFormat="1" ht="10.5">
      <c r="A100" s="97"/>
      <c r="B100" s="98"/>
      <c r="C100" s="98"/>
      <c r="D100" s="98"/>
      <c r="E100" s="99" t="s">
        <v>602</v>
      </c>
      <c r="F100" s="100"/>
      <c r="G100" s="101">
        <f>SUM(G99:G99)</f>
        <v>1.8</v>
      </c>
      <c r="I100" s="87"/>
    </row>
    <row r="101" spans="1:9" s="86" customFormat="1" ht="10.5">
      <c r="A101" s="97"/>
      <c r="B101" s="98"/>
      <c r="C101" s="98"/>
      <c r="D101" s="98"/>
      <c r="E101" s="102" t="s">
        <v>78</v>
      </c>
      <c r="F101" s="103">
        <f>A94</f>
        <v>99814</v>
      </c>
      <c r="G101" s="104">
        <f>SUM(G97,G100)</f>
        <v>1.85</v>
      </c>
      <c r="I101" s="87"/>
    </row>
    <row r="102" spans="1:9" s="86" customFormat="1" ht="10">
      <c r="A102" s="97"/>
      <c r="B102" s="98"/>
      <c r="C102" s="98"/>
      <c r="D102" s="98"/>
      <c r="E102" s="105"/>
      <c r="F102" s="106"/>
      <c r="G102" s="106"/>
      <c r="I102" s="87"/>
    </row>
    <row r="103" spans="1:9" s="86" customFormat="1" ht="31.5">
      <c r="A103" s="84">
        <v>89480</v>
      </c>
      <c r="B103" s="85" t="s">
        <v>684</v>
      </c>
      <c r="C103" s="85"/>
      <c r="D103" s="85"/>
      <c r="E103" s="84"/>
      <c r="F103" s="85"/>
      <c r="G103" s="85"/>
      <c r="I103" s="87"/>
    </row>
    <row r="104" spans="1:9" s="86" customFormat="1" ht="21">
      <c r="A104" s="88" t="s">
        <v>79</v>
      </c>
      <c r="B104" s="89"/>
      <c r="C104" s="90" t="s">
        <v>4</v>
      </c>
      <c r="D104" s="90" t="s">
        <v>66</v>
      </c>
      <c r="E104" s="91" t="s">
        <v>67</v>
      </c>
      <c r="F104" s="90" t="s">
        <v>765</v>
      </c>
      <c r="G104" s="90" t="s">
        <v>69</v>
      </c>
      <c r="I104" s="87"/>
    </row>
    <row r="105" spans="1:9" s="86" customFormat="1" ht="20">
      <c r="A105" s="107">
        <v>34564</v>
      </c>
      <c r="B105" s="108" t="s">
        <v>655</v>
      </c>
      <c r="C105" s="109" t="s">
        <v>24</v>
      </c>
      <c r="D105" s="109" t="s">
        <v>12</v>
      </c>
      <c r="E105" s="497">
        <v>15.19</v>
      </c>
      <c r="F105" s="111">
        <f>_xlfn.XLOOKUP(A105,COMP_AUX!$F$11:$F$631,COMP_AUX!$G$11:$G$631,_xlfn.XLOOKUP(A105,INSUMOS!$A$12:$A$100,INSUMOS!$F$12:$F$100))</f>
        <v>4.95</v>
      </c>
      <c r="G105" s="111">
        <f>TRUNC(TRUNC(E105,8)*F105,2)</f>
        <v>75.19</v>
      </c>
      <c r="I105" s="87"/>
    </row>
    <row r="106" spans="1:9" s="86" customFormat="1" ht="20">
      <c r="A106" s="107">
        <v>38599</v>
      </c>
      <c r="B106" s="108" t="s">
        <v>656</v>
      </c>
      <c r="C106" s="109" t="s">
        <v>24</v>
      </c>
      <c r="D106" s="109" t="s">
        <v>12</v>
      </c>
      <c r="E106" s="497">
        <v>1.27</v>
      </c>
      <c r="F106" s="111">
        <f>_xlfn.XLOOKUP(A106,COMP_AUX!$F$11:$F$631,COMP_AUX!$G$11:$G$631,_xlfn.XLOOKUP(A106,INSUMOS!$A$12:$A$100,INSUMOS!$F$12:$F$100))</f>
        <v>5.77</v>
      </c>
      <c r="G106" s="111">
        <f>TRUNC(TRUNC(E106,8)*F106,2)</f>
        <v>7.32</v>
      </c>
      <c r="I106" s="87"/>
    </row>
    <row r="107" spans="1:9" s="86" customFormat="1" ht="20">
      <c r="A107" s="107">
        <v>38592</v>
      </c>
      <c r="B107" s="108" t="s">
        <v>657</v>
      </c>
      <c r="C107" s="109" t="s">
        <v>24</v>
      </c>
      <c r="D107" s="109" t="s">
        <v>12</v>
      </c>
      <c r="E107" s="497">
        <v>1.52</v>
      </c>
      <c r="F107" s="111">
        <f>_xlfn.XLOOKUP(A107,COMP_AUX!$F$11:$F$631,COMP_AUX!$G$11:$G$631,_xlfn.XLOOKUP(A107,INSUMOS!$A$12:$A$100,INSUMOS!$F$12:$F$100))</f>
        <v>2.91</v>
      </c>
      <c r="G107" s="111">
        <f>TRUNC(TRUNC(E107,8)*F107,2)</f>
        <v>4.42</v>
      </c>
      <c r="I107" s="87"/>
    </row>
    <row r="108" spans="1:9" s="86" customFormat="1" ht="10.5">
      <c r="A108" s="97"/>
      <c r="B108" s="98"/>
      <c r="C108" s="98"/>
      <c r="D108" s="98"/>
      <c r="E108" s="99" t="s">
        <v>82</v>
      </c>
      <c r="F108" s="100"/>
      <c r="G108" s="101">
        <f>SUM(G105:G107)</f>
        <v>86.929999999999993</v>
      </c>
      <c r="I108" s="87"/>
    </row>
    <row r="109" spans="1:9" s="86" customFormat="1" ht="21">
      <c r="A109" s="88" t="s">
        <v>65</v>
      </c>
      <c r="B109" s="89"/>
      <c r="C109" s="90" t="s">
        <v>4</v>
      </c>
      <c r="D109" s="90" t="s">
        <v>66</v>
      </c>
      <c r="E109" s="91" t="s">
        <v>67</v>
      </c>
      <c r="F109" s="90" t="s">
        <v>765</v>
      </c>
      <c r="G109" s="90" t="s">
        <v>69</v>
      </c>
      <c r="I109" s="87"/>
    </row>
    <row r="110" spans="1:9" s="86" customFormat="1" ht="10">
      <c r="A110" s="107">
        <v>88309</v>
      </c>
      <c r="B110" s="108" t="s">
        <v>105</v>
      </c>
      <c r="C110" s="109" t="s">
        <v>24</v>
      </c>
      <c r="D110" s="109" t="s">
        <v>87</v>
      </c>
      <c r="E110" s="497">
        <v>1.1299999999999999</v>
      </c>
      <c r="F110" s="111">
        <f>_xlfn.XLOOKUP(A110,COMP_AUX!$F$11:$F$631,COMP_AUX!$G$11:$G$631,_xlfn.XLOOKUP(A110,INSUMOS!$A$12:$A$100,INSUMOS!$F$12:$F$100))</f>
        <v>25.21</v>
      </c>
      <c r="G110" s="111">
        <f>TRUNC(TRUNC(E110,8)*F110,2)</f>
        <v>28.48</v>
      </c>
      <c r="I110" s="87"/>
    </row>
    <row r="111" spans="1:9" s="86" customFormat="1" ht="10">
      <c r="A111" s="107">
        <v>88316</v>
      </c>
      <c r="B111" s="108" t="s">
        <v>96</v>
      </c>
      <c r="C111" s="109" t="s">
        <v>24</v>
      </c>
      <c r="D111" s="109" t="s">
        <v>87</v>
      </c>
      <c r="E111" s="497">
        <v>1.1299999999999999</v>
      </c>
      <c r="F111" s="111">
        <f>_xlfn.XLOOKUP(A111,COMP_AUX!$F$11:$F$631,COMP_AUX!$G$11:$G$631,_xlfn.XLOOKUP(A111,INSUMOS!$A$12:$A$100,INSUMOS!$F$12:$F$100))</f>
        <v>20.27</v>
      </c>
      <c r="G111" s="111">
        <f>TRUNC(TRUNC(E111,8)*F111,2)</f>
        <v>22.9</v>
      </c>
      <c r="I111" s="87"/>
    </row>
    <row r="112" spans="1:9" s="86" customFormat="1" ht="10.5">
      <c r="A112" s="97"/>
      <c r="B112" s="98"/>
      <c r="C112" s="98"/>
      <c r="D112" s="98"/>
      <c r="E112" s="99" t="s">
        <v>602</v>
      </c>
      <c r="F112" s="100"/>
      <c r="G112" s="101">
        <f>SUM(G110:G111)</f>
        <v>51.379999999999995</v>
      </c>
      <c r="I112" s="87"/>
    </row>
    <row r="113" spans="1:9" s="86" customFormat="1" ht="21">
      <c r="A113" s="88" t="s">
        <v>73</v>
      </c>
      <c r="B113" s="89"/>
      <c r="C113" s="90" t="s">
        <v>4</v>
      </c>
      <c r="D113" s="90" t="s">
        <v>66</v>
      </c>
      <c r="E113" s="91" t="s">
        <v>67</v>
      </c>
      <c r="F113" s="90" t="s">
        <v>765</v>
      </c>
      <c r="G113" s="90" t="s">
        <v>69</v>
      </c>
      <c r="I113" s="87"/>
    </row>
    <row r="114" spans="1:9" s="86" customFormat="1" ht="30">
      <c r="A114" s="107">
        <v>88626</v>
      </c>
      <c r="B114" s="108" t="s">
        <v>658</v>
      </c>
      <c r="C114" s="109" t="s">
        <v>24</v>
      </c>
      <c r="D114" s="109" t="s">
        <v>40</v>
      </c>
      <c r="E114" s="497">
        <v>1.8700000000000001E-2</v>
      </c>
      <c r="F114" s="111">
        <f>_xlfn.XLOOKUP(A114,COMP_AUX!$F$11:$F$631,COMP_AUX!$G$11:$G$631,_xlfn.XLOOKUP(A114,INSUMOS!$A$12:$A$100,INSUMOS!$F$12:$F$100))</f>
        <v>545.34999999999991</v>
      </c>
      <c r="G114" s="111">
        <f>TRUNC(TRUNC(E114,8)*F114,2)</f>
        <v>10.19</v>
      </c>
      <c r="I114" s="87"/>
    </row>
    <row r="115" spans="1:9" s="86" customFormat="1" ht="10.5">
      <c r="A115" s="97"/>
      <c r="B115" s="98"/>
      <c r="C115" s="98"/>
      <c r="D115" s="98"/>
      <c r="E115" s="99" t="s">
        <v>77</v>
      </c>
      <c r="F115" s="100"/>
      <c r="G115" s="101">
        <f>SUM(G114:G114)</f>
        <v>10.19</v>
      </c>
      <c r="I115" s="87"/>
    </row>
    <row r="116" spans="1:9" s="86" customFormat="1" ht="10.5">
      <c r="A116" s="97"/>
      <c r="B116" s="98"/>
      <c r="C116" s="98"/>
      <c r="D116" s="98"/>
      <c r="E116" s="102" t="s">
        <v>78</v>
      </c>
      <c r="F116" s="103">
        <f>A103</f>
        <v>89480</v>
      </c>
      <c r="G116" s="104">
        <f>SUM(G108,G112,G115)</f>
        <v>148.5</v>
      </c>
      <c r="I116" s="87"/>
    </row>
    <row r="117" spans="1:9" s="86" customFormat="1" ht="10">
      <c r="A117" s="97"/>
      <c r="B117" s="98"/>
      <c r="C117" s="98"/>
      <c r="D117" s="98"/>
      <c r="E117" s="105"/>
      <c r="F117" s="106"/>
      <c r="G117" s="106"/>
      <c r="I117" s="87"/>
    </row>
    <row r="118" spans="1:9" s="86" customFormat="1" ht="21">
      <c r="A118" s="84">
        <v>104642</v>
      </c>
      <c r="B118" s="85" t="s">
        <v>685</v>
      </c>
      <c r="C118" s="85"/>
      <c r="D118" s="85"/>
      <c r="E118" s="84"/>
      <c r="F118" s="85"/>
      <c r="G118" s="85"/>
      <c r="I118" s="87"/>
    </row>
    <row r="119" spans="1:9" s="86" customFormat="1" ht="21">
      <c r="A119" s="88" t="s">
        <v>79</v>
      </c>
      <c r="B119" s="89"/>
      <c r="C119" s="90" t="s">
        <v>4</v>
      </c>
      <c r="D119" s="90" t="s">
        <v>66</v>
      </c>
      <c r="E119" s="91" t="s">
        <v>67</v>
      </c>
      <c r="F119" s="90" t="s">
        <v>765</v>
      </c>
      <c r="G119" s="90" t="s">
        <v>69</v>
      </c>
      <c r="I119" s="87"/>
    </row>
    <row r="120" spans="1:9" s="86" customFormat="1" ht="10">
      <c r="A120" s="107">
        <v>35692</v>
      </c>
      <c r="B120" s="108" t="s">
        <v>659</v>
      </c>
      <c r="C120" s="109" t="s">
        <v>24</v>
      </c>
      <c r="D120" s="109" t="s">
        <v>112</v>
      </c>
      <c r="E120" s="497">
        <v>0.23669999999999999</v>
      </c>
      <c r="F120" s="111">
        <f>_xlfn.XLOOKUP(A120,COMP_AUX!$F$11:$F$631,COMP_AUX!$G$11:$G$631,_xlfn.XLOOKUP(A120,INSUMOS!$A$12:$A$100,INSUMOS!$F$12:$F$100))</f>
        <v>19.399999999999999</v>
      </c>
      <c r="G120" s="111">
        <f>TRUNC(TRUNC(E120,8)*F120,2)</f>
        <v>4.59</v>
      </c>
      <c r="I120" s="87"/>
    </row>
    <row r="121" spans="1:9" s="86" customFormat="1" ht="10.5">
      <c r="A121" s="97"/>
      <c r="B121" s="98"/>
      <c r="C121" s="98"/>
      <c r="D121" s="98"/>
      <c r="E121" s="99" t="s">
        <v>82</v>
      </c>
      <c r="F121" s="100"/>
      <c r="G121" s="101">
        <f>SUM(G120:G120)</f>
        <v>4.59</v>
      </c>
      <c r="I121" s="87"/>
    </row>
    <row r="122" spans="1:9" s="86" customFormat="1" ht="21">
      <c r="A122" s="88" t="s">
        <v>65</v>
      </c>
      <c r="B122" s="89"/>
      <c r="C122" s="90" t="s">
        <v>4</v>
      </c>
      <c r="D122" s="90" t="s">
        <v>66</v>
      </c>
      <c r="E122" s="91" t="s">
        <v>67</v>
      </c>
      <c r="F122" s="90" t="s">
        <v>765</v>
      </c>
      <c r="G122" s="90" t="s">
        <v>69</v>
      </c>
      <c r="I122" s="87"/>
    </row>
    <row r="123" spans="1:9" s="86" customFormat="1" ht="10">
      <c r="A123" s="107">
        <v>88310</v>
      </c>
      <c r="B123" s="108" t="s">
        <v>114</v>
      </c>
      <c r="C123" s="109" t="s">
        <v>24</v>
      </c>
      <c r="D123" s="109" t="s">
        <v>87</v>
      </c>
      <c r="E123" s="497">
        <v>0.16309999999999999</v>
      </c>
      <c r="F123" s="111">
        <f>_xlfn.XLOOKUP(A123,COMP_AUX!$F$11:$F$631,COMP_AUX!$G$11:$G$631,_xlfn.XLOOKUP(A123,INSUMOS!$A$12:$A$100,INSUMOS!$F$12:$F$100))</f>
        <v>26.59</v>
      </c>
      <c r="G123" s="111">
        <f>TRUNC(TRUNC(E123,8)*F123,2)</f>
        <v>4.33</v>
      </c>
      <c r="I123" s="87"/>
    </row>
    <row r="124" spans="1:9" s="86" customFormat="1" ht="10">
      <c r="A124" s="107">
        <v>88316</v>
      </c>
      <c r="B124" s="108" t="s">
        <v>96</v>
      </c>
      <c r="C124" s="109" t="s">
        <v>24</v>
      </c>
      <c r="D124" s="109" t="s">
        <v>87</v>
      </c>
      <c r="E124" s="497">
        <v>5.4399999999999997E-2</v>
      </c>
      <c r="F124" s="111">
        <f>_xlfn.XLOOKUP(A124,COMP_AUX!$F$11:$F$631,COMP_AUX!$G$11:$G$631,_xlfn.XLOOKUP(A124,INSUMOS!$A$12:$A$100,INSUMOS!$F$12:$F$100))</f>
        <v>20.27</v>
      </c>
      <c r="G124" s="111">
        <f>TRUNC(TRUNC(E124,8)*F124,2)</f>
        <v>1.1000000000000001</v>
      </c>
      <c r="I124" s="87"/>
    </row>
    <row r="125" spans="1:9" s="86" customFormat="1" ht="10.5">
      <c r="A125" s="97"/>
      <c r="B125" s="98"/>
      <c r="C125" s="98"/>
      <c r="D125" s="98"/>
      <c r="E125" s="99" t="s">
        <v>602</v>
      </c>
      <c r="F125" s="100"/>
      <c r="G125" s="101">
        <f>SUM(G123:G124)</f>
        <v>5.43</v>
      </c>
      <c r="I125" s="87"/>
    </row>
    <row r="126" spans="1:9" s="86" customFormat="1" ht="10.5">
      <c r="A126" s="97"/>
      <c r="B126" s="98"/>
      <c r="C126" s="98"/>
      <c r="D126" s="98"/>
      <c r="E126" s="102" t="s">
        <v>78</v>
      </c>
      <c r="F126" s="103">
        <f>A118</f>
        <v>104642</v>
      </c>
      <c r="G126" s="104">
        <f>SUM(G121,G125)</f>
        <v>10.02</v>
      </c>
      <c r="I126" s="87"/>
    </row>
    <row r="127" spans="1:9" s="86" customFormat="1" ht="10">
      <c r="A127" s="97"/>
      <c r="B127" s="98"/>
      <c r="C127" s="98"/>
      <c r="D127" s="98"/>
      <c r="E127" s="105"/>
      <c r="F127" s="106"/>
      <c r="G127" s="106"/>
      <c r="I127" s="87"/>
    </row>
    <row r="128" spans="1:9" s="86" customFormat="1" ht="31.5">
      <c r="A128" s="84" t="s">
        <v>484</v>
      </c>
      <c r="B128" s="85" t="s">
        <v>686</v>
      </c>
      <c r="C128" s="85"/>
      <c r="D128" s="85"/>
      <c r="E128" s="84"/>
      <c r="F128" s="85"/>
      <c r="G128" s="85"/>
      <c r="I128" s="87"/>
    </row>
    <row r="129" spans="1:9" s="86" customFormat="1" ht="21">
      <c r="A129" s="88" t="s">
        <v>83</v>
      </c>
      <c r="B129" s="89"/>
      <c r="C129" s="90" t="s">
        <v>4</v>
      </c>
      <c r="D129" s="90" t="s">
        <v>66</v>
      </c>
      <c r="E129" s="91" t="s">
        <v>67</v>
      </c>
      <c r="F129" s="90" t="s">
        <v>765</v>
      </c>
      <c r="G129" s="90" t="s">
        <v>69</v>
      </c>
      <c r="I129" s="87"/>
    </row>
    <row r="130" spans="1:9" s="86" customFormat="1" ht="20">
      <c r="A130" s="107">
        <v>91693</v>
      </c>
      <c r="B130" s="108" t="s">
        <v>98</v>
      </c>
      <c r="C130" s="109" t="s">
        <v>24</v>
      </c>
      <c r="D130" s="109" t="s">
        <v>63</v>
      </c>
      <c r="E130" s="497">
        <v>1.3160000000000001</v>
      </c>
      <c r="F130" s="111">
        <f>_xlfn.XLOOKUP(A130,COMP_AUX!$F$11:$F$631,COMP_AUX!$G$11:$G$631,_xlfn.XLOOKUP(A130,INSUMOS!$A$12:$A$100,INSUMOS!$F$12:$F$100))</f>
        <v>23.89</v>
      </c>
      <c r="G130" s="111">
        <f>ROUND(ROUND(E130,8)*F130,2)</f>
        <v>31.44</v>
      </c>
      <c r="I130" s="87"/>
    </row>
    <row r="131" spans="1:9" s="86" customFormat="1" ht="20">
      <c r="A131" s="107">
        <v>91692</v>
      </c>
      <c r="B131" s="108" t="s">
        <v>99</v>
      </c>
      <c r="C131" s="109" t="s">
        <v>24</v>
      </c>
      <c r="D131" s="109" t="s">
        <v>64</v>
      </c>
      <c r="E131" s="497">
        <v>8.8999999999999996E-2</v>
      </c>
      <c r="F131" s="111">
        <f>_xlfn.XLOOKUP(A131,COMP_AUX!$F$11:$F$631,COMP_AUX!$G$11:$G$631,_xlfn.XLOOKUP(A131,INSUMOS!$A$12:$A$100,INSUMOS!$F$12:$F$100))</f>
        <v>24.96</v>
      </c>
      <c r="G131" s="111">
        <f>ROUND(ROUND(E131,8)*F131,2)</f>
        <v>2.2200000000000002</v>
      </c>
      <c r="I131" s="87"/>
    </row>
    <row r="132" spans="1:9" s="86" customFormat="1" ht="10.5">
      <c r="A132" s="97"/>
      <c r="B132" s="98"/>
      <c r="C132" s="98"/>
      <c r="D132" s="98"/>
      <c r="E132" s="99" t="s">
        <v>597</v>
      </c>
      <c r="F132" s="100"/>
      <c r="G132" s="101">
        <f>SUM(G130:G131)</f>
        <v>33.660000000000004</v>
      </c>
      <c r="I132" s="87"/>
    </row>
    <row r="133" spans="1:9" s="86" customFormat="1" ht="21">
      <c r="A133" s="88" t="s">
        <v>79</v>
      </c>
      <c r="B133" s="89"/>
      <c r="C133" s="90" t="s">
        <v>4</v>
      </c>
      <c r="D133" s="90" t="s">
        <v>66</v>
      </c>
      <c r="E133" s="91" t="s">
        <v>67</v>
      </c>
      <c r="F133" s="90" t="s">
        <v>765</v>
      </c>
      <c r="G133" s="90" t="s">
        <v>69</v>
      </c>
      <c r="I133" s="87"/>
    </row>
    <row r="134" spans="1:9" s="86" customFormat="1" ht="20">
      <c r="A134" s="107">
        <v>131</v>
      </c>
      <c r="B134" s="108" t="s">
        <v>660</v>
      </c>
      <c r="C134" s="109" t="s">
        <v>24</v>
      </c>
      <c r="D134" s="109" t="s">
        <v>54</v>
      </c>
      <c r="E134" s="497">
        <v>0.53</v>
      </c>
      <c r="F134" s="111">
        <f>_xlfn.XLOOKUP(A134,COMP_AUX!$F$11:$F$631,COMP_AUX!$G$11:$G$631,_xlfn.XLOOKUP(A134,INSUMOS!$A$12:$A$100,INSUMOS!$F$12:$F$100))</f>
        <v>64.400000000000006</v>
      </c>
      <c r="G134" s="111">
        <f>ROUND(ROUND(E134,8)*F134,2)</f>
        <v>34.130000000000003</v>
      </c>
      <c r="I134" s="87"/>
    </row>
    <row r="135" spans="1:9" s="86" customFormat="1" ht="10">
      <c r="A135" s="107">
        <v>37596</v>
      </c>
      <c r="B135" s="108" t="s">
        <v>661</v>
      </c>
      <c r="C135" s="109" t="s">
        <v>24</v>
      </c>
      <c r="D135" s="109" t="s">
        <v>54</v>
      </c>
      <c r="E135" s="497">
        <v>0.97</v>
      </c>
      <c r="F135" s="111">
        <f>_xlfn.XLOOKUP(A135,COMP_AUX!$F$11:$F$631,COMP_AUX!$G$11:$G$631,_xlfn.XLOOKUP(A135,INSUMOS!$A$12:$A$100,INSUMOS!$F$12:$F$100))</f>
        <v>2.89</v>
      </c>
      <c r="G135" s="111">
        <f>ROUND(ROUND(E135,8)*F135,2)</f>
        <v>2.8</v>
      </c>
      <c r="I135" s="87"/>
    </row>
    <row r="136" spans="1:9" s="86" customFormat="1" ht="30">
      <c r="A136" s="107">
        <v>44476</v>
      </c>
      <c r="B136" s="108" t="s">
        <v>662</v>
      </c>
      <c r="C136" s="109" t="s">
        <v>24</v>
      </c>
      <c r="D136" s="109" t="s">
        <v>32</v>
      </c>
      <c r="E136" s="497">
        <v>1.05</v>
      </c>
      <c r="F136" s="111">
        <f>_xlfn.XLOOKUP(A136,COMP_AUX!$F$11:$F$631,COMP_AUX!$G$11:$G$631,_xlfn.XLOOKUP(A136,INSUMOS!$A$12:$A$100,INSUMOS!$F$12:$F$100))</f>
        <v>585.53</v>
      </c>
      <c r="G136" s="111">
        <f>ROUND(ROUND(E136,8)*F136,2)</f>
        <v>614.80999999999995</v>
      </c>
      <c r="I136" s="87"/>
    </row>
    <row r="137" spans="1:9" s="86" customFormat="1" ht="10.5">
      <c r="A137" s="97"/>
      <c r="B137" s="98"/>
      <c r="C137" s="98"/>
      <c r="D137" s="98"/>
      <c r="E137" s="99" t="s">
        <v>82</v>
      </c>
      <c r="F137" s="100"/>
      <c r="G137" s="101">
        <f>SUM(G134:G136)</f>
        <v>651.7399999999999</v>
      </c>
      <c r="I137" s="87"/>
    </row>
    <row r="138" spans="1:9" s="86" customFormat="1" ht="21">
      <c r="A138" s="88" t="s">
        <v>65</v>
      </c>
      <c r="B138" s="89"/>
      <c r="C138" s="90" t="s">
        <v>4</v>
      </c>
      <c r="D138" s="90" t="s">
        <v>66</v>
      </c>
      <c r="E138" s="91" t="s">
        <v>67</v>
      </c>
      <c r="F138" s="90" t="s">
        <v>765</v>
      </c>
      <c r="G138" s="90" t="s">
        <v>69</v>
      </c>
      <c r="I138" s="87"/>
    </row>
    <row r="139" spans="1:9" s="86" customFormat="1" ht="10">
      <c r="A139" s="107">
        <v>88274</v>
      </c>
      <c r="B139" s="108" t="s">
        <v>663</v>
      </c>
      <c r="C139" s="109" t="s">
        <v>24</v>
      </c>
      <c r="D139" s="109" t="s">
        <v>87</v>
      </c>
      <c r="E139" s="497">
        <v>1.405</v>
      </c>
      <c r="F139" s="111">
        <f>_xlfn.XLOOKUP(A139,COMP_AUX!$F$11:$F$631,COMP_AUX!$G$11:$G$631,_xlfn.XLOOKUP(A139,INSUMOS!$A$12:$A$100,INSUMOS!$F$12:$F$100))</f>
        <v>25.080000000000002</v>
      </c>
      <c r="G139" s="111">
        <f>ROUND(ROUND(E139,8)*F139,2)</f>
        <v>35.24</v>
      </c>
      <c r="I139" s="87"/>
    </row>
    <row r="140" spans="1:9" s="86" customFormat="1" ht="10">
      <c r="A140" s="107">
        <v>88316</v>
      </c>
      <c r="B140" s="108" t="s">
        <v>96</v>
      </c>
      <c r="C140" s="109" t="s">
        <v>24</v>
      </c>
      <c r="D140" s="109" t="s">
        <v>87</v>
      </c>
      <c r="E140" s="497">
        <v>0.70199999999999996</v>
      </c>
      <c r="F140" s="111">
        <f>_xlfn.XLOOKUP(A140,COMP_AUX!$F$11:$F$631,COMP_AUX!$G$11:$G$631,_xlfn.XLOOKUP(A140,INSUMOS!$A$12:$A$100,INSUMOS!$F$12:$F$100))</f>
        <v>20.27</v>
      </c>
      <c r="G140" s="111">
        <f>ROUND(ROUND(E140,8)*F140,2)</f>
        <v>14.23</v>
      </c>
      <c r="I140" s="87"/>
    </row>
    <row r="141" spans="1:9" s="86" customFormat="1" ht="10.5">
      <c r="A141" s="97"/>
      <c r="B141" s="98"/>
      <c r="C141" s="98"/>
      <c r="D141" s="98"/>
      <c r="E141" s="99" t="s">
        <v>602</v>
      </c>
      <c r="F141" s="100"/>
      <c r="G141" s="101">
        <f>SUM(G139:G140)</f>
        <v>49.47</v>
      </c>
      <c r="I141" s="87"/>
    </row>
    <row r="142" spans="1:9" s="86" customFormat="1" ht="10.5">
      <c r="A142" s="97"/>
      <c r="B142" s="98"/>
      <c r="C142" s="98"/>
      <c r="D142" s="98"/>
      <c r="E142" s="102" t="s">
        <v>78</v>
      </c>
      <c r="F142" s="103" t="str">
        <f>A128</f>
        <v>JFPB-11375794</v>
      </c>
      <c r="G142" s="104">
        <f>SUM(G132,G137,G141)</f>
        <v>734.86999999999989</v>
      </c>
      <c r="I142" s="87"/>
    </row>
    <row r="143" spans="1:9" s="86" customFormat="1" ht="10">
      <c r="A143" s="97"/>
      <c r="B143" s="98"/>
      <c r="C143" s="98"/>
      <c r="D143" s="98"/>
      <c r="E143" s="105"/>
      <c r="F143" s="106"/>
      <c r="G143" s="106"/>
      <c r="I143" s="87"/>
    </row>
    <row r="144" spans="1:9" s="86" customFormat="1" ht="21">
      <c r="A144" s="84" t="s">
        <v>489</v>
      </c>
      <c r="B144" s="85" t="s">
        <v>687</v>
      </c>
      <c r="C144" s="85"/>
      <c r="D144" s="85"/>
      <c r="E144" s="84"/>
      <c r="F144" s="85"/>
      <c r="G144" s="85"/>
      <c r="I144" s="87"/>
    </row>
    <row r="145" spans="1:9" s="86" customFormat="1" ht="21">
      <c r="A145" s="88" t="s">
        <v>79</v>
      </c>
      <c r="B145" s="89"/>
      <c r="C145" s="90" t="s">
        <v>4</v>
      </c>
      <c r="D145" s="90" t="s">
        <v>66</v>
      </c>
      <c r="E145" s="91" t="s">
        <v>67</v>
      </c>
      <c r="F145" s="90" t="s">
        <v>765</v>
      </c>
      <c r="G145" s="90" t="s">
        <v>69</v>
      </c>
      <c r="I145" s="87"/>
    </row>
    <row r="146" spans="1:9" s="86" customFormat="1" ht="10">
      <c r="A146" s="107">
        <v>37595</v>
      </c>
      <c r="B146" s="108" t="s">
        <v>664</v>
      </c>
      <c r="C146" s="109" t="s">
        <v>24</v>
      </c>
      <c r="D146" s="109" t="s">
        <v>54</v>
      </c>
      <c r="E146" s="497">
        <v>2.15</v>
      </c>
      <c r="F146" s="111">
        <f>_xlfn.XLOOKUP(A146,COMP_AUX!$F$11:$F$631,COMP_AUX!$G$11:$G$631,_xlfn.XLOOKUP(A146,INSUMOS!$A$12:$A$100,INSUMOS!$F$12:$F$100))</f>
        <v>2.52</v>
      </c>
      <c r="G146" s="111">
        <f>ROUND(ROUND(E146,8)*F146,2)</f>
        <v>5.42</v>
      </c>
      <c r="I146" s="87"/>
    </row>
    <row r="147" spans="1:9" s="86" customFormat="1" ht="30">
      <c r="A147" s="107">
        <v>20232</v>
      </c>
      <c r="B147" s="108" t="s">
        <v>665</v>
      </c>
      <c r="C147" s="109" t="s">
        <v>24</v>
      </c>
      <c r="D147" s="109" t="s">
        <v>49</v>
      </c>
      <c r="E147" s="497">
        <v>1.66</v>
      </c>
      <c r="F147" s="111">
        <f>_xlfn.XLOOKUP(A147,COMP_AUX!$F$11:$F$631,COMP_AUX!$G$11:$G$631,_xlfn.XLOOKUP(A147,INSUMOS!$A$12:$A$100,INSUMOS!$F$12:$F$100))</f>
        <v>73.739999999999995</v>
      </c>
      <c r="G147" s="111">
        <f>ROUND(ROUND(E147,8)*F147,2)</f>
        <v>122.41</v>
      </c>
      <c r="I147" s="87"/>
    </row>
    <row r="148" spans="1:9" s="86" customFormat="1" ht="10.5">
      <c r="A148" s="97"/>
      <c r="B148" s="98"/>
      <c r="C148" s="98"/>
      <c r="D148" s="98"/>
      <c r="E148" s="99" t="s">
        <v>82</v>
      </c>
      <c r="F148" s="100"/>
      <c r="G148" s="101">
        <f>SUM(G146:G147)</f>
        <v>127.83</v>
      </c>
      <c r="I148" s="87"/>
    </row>
    <row r="149" spans="1:9" s="86" customFormat="1" ht="21">
      <c r="A149" s="88" t="s">
        <v>65</v>
      </c>
      <c r="B149" s="89"/>
      <c r="C149" s="90" t="s">
        <v>4</v>
      </c>
      <c r="D149" s="90" t="s">
        <v>66</v>
      </c>
      <c r="E149" s="91" t="s">
        <v>67</v>
      </c>
      <c r="F149" s="90" t="s">
        <v>765</v>
      </c>
      <c r="G149" s="90" t="s">
        <v>69</v>
      </c>
      <c r="I149" s="87"/>
    </row>
    <row r="150" spans="1:9" s="86" customFormat="1" ht="10">
      <c r="A150" s="107">
        <v>88274</v>
      </c>
      <c r="B150" s="108" t="s">
        <v>663</v>
      </c>
      <c r="C150" s="109" t="s">
        <v>24</v>
      </c>
      <c r="D150" s="109" t="s">
        <v>87</v>
      </c>
      <c r="E150" s="497">
        <v>0.91166667000000001</v>
      </c>
      <c r="F150" s="111">
        <f>_xlfn.XLOOKUP(A150,COMP_AUX!$F$11:$F$631,COMP_AUX!$G$11:$G$631,_xlfn.XLOOKUP(A150,INSUMOS!$A$12:$A$100,INSUMOS!$F$12:$F$100))</f>
        <v>25.080000000000002</v>
      </c>
      <c r="G150" s="111">
        <f>ROUND(ROUND(E150,8)*F150,2)</f>
        <v>22.86</v>
      </c>
      <c r="I150" s="87"/>
    </row>
    <row r="151" spans="1:9" s="86" customFormat="1" ht="10">
      <c r="A151" s="107">
        <v>88316</v>
      </c>
      <c r="B151" s="108" t="s">
        <v>96</v>
      </c>
      <c r="C151" s="109" t="s">
        <v>24</v>
      </c>
      <c r="D151" s="109" t="s">
        <v>87</v>
      </c>
      <c r="E151" s="497">
        <v>0.45500000000000002</v>
      </c>
      <c r="F151" s="111">
        <f>_xlfn.XLOOKUP(A151,COMP_AUX!$F$11:$F$631,COMP_AUX!$G$11:$G$631,_xlfn.XLOOKUP(A151,INSUMOS!$A$12:$A$100,INSUMOS!$F$12:$F$100))</f>
        <v>20.27</v>
      </c>
      <c r="G151" s="111">
        <f>ROUND(ROUND(E151,8)*F151,2)</f>
        <v>9.2200000000000006</v>
      </c>
      <c r="I151" s="87"/>
    </row>
    <row r="152" spans="1:9" s="86" customFormat="1" ht="10.5">
      <c r="A152" s="97"/>
      <c r="B152" s="98"/>
      <c r="C152" s="98"/>
      <c r="D152" s="98"/>
      <c r="E152" s="99" t="s">
        <v>602</v>
      </c>
      <c r="F152" s="100"/>
      <c r="G152" s="101">
        <f>SUM(G150:G151)</f>
        <v>32.08</v>
      </c>
      <c r="I152" s="87"/>
    </row>
    <row r="153" spans="1:9" s="86" customFormat="1" ht="10.5">
      <c r="A153" s="97"/>
      <c r="B153" s="98"/>
      <c r="C153" s="98"/>
      <c r="D153" s="98"/>
      <c r="E153" s="102" t="s">
        <v>78</v>
      </c>
      <c r="F153" s="103" t="str">
        <f>A144</f>
        <v>JFPB-77009839</v>
      </c>
      <c r="G153" s="104">
        <f>SUM(G148,G152)</f>
        <v>159.91</v>
      </c>
      <c r="I153" s="87"/>
    </row>
    <row r="154" spans="1:9" s="86" customFormat="1" ht="10">
      <c r="A154" s="97"/>
      <c r="B154" s="98"/>
      <c r="C154" s="98"/>
      <c r="D154" s="98"/>
      <c r="E154" s="105"/>
      <c r="F154" s="106"/>
      <c r="G154" s="106"/>
      <c r="I154" s="87"/>
    </row>
    <row r="155" spans="1:9" s="86" customFormat="1" ht="21">
      <c r="A155" s="84" t="s">
        <v>506</v>
      </c>
      <c r="B155" s="85" t="s">
        <v>688</v>
      </c>
      <c r="C155" s="85"/>
      <c r="D155" s="85"/>
      <c r="E155" s="84"/>
      <c r="F155" s="85"/>
      <c r="G155" s="85"/>
      <c r="I155" s="87"/>
    </row>
    <row r="156" spans="1:9" s="86" customFormat="1" ht="21">
      <c r="A156" s="88" t="s">
        <v>79</v>
      </c>
      <c r="B156" s="89"/>
      <c r="C156" s="90" t="s">
        <v>4</v>
      </c>
      <c r="D156" s="90" t="s">
        <v>66</v>
      </c>
      <c r="E156" s="91" t="s">
        <v>67</v>
      </c>
      <c r="F156" s="90" t="s">
        <v>765</v>
      </c>
      <c r="G156" s="90" t="s">
        <v>69</v>
      </c>
      <c r="I156" s="87"/>
    </row>
    <row r="157" spans="1:9" s="86" customFormat="1" ht="20">
      <c r="A157" s="107" t="s">
        <v>666</v>
      </c>
      <c r="B157" s="108" t="s">
        <v>667</v>
      </c>
      <c r="C157" s="109" t="s">
        <v>76</v>
      </c>
      <c r="D157" s="109" t="s">
        <v>12</v>
      </c>
      <c r="E157" s="497">
        <v>1</v>
      </c>
      <c r="F157" s="111">
        <f>_xlfn.XLOOKUP(A157,COMP_AUX!$F$11:$F$631,COMP_AUX!$G$11:$G$631,_xlfn.XLOOKUP(A157,INSUMOS!$A$12:$A$100,INSUMOS!$F$12:$F$100))</f>
        <v>199855.84</v>
      </c>
      <c r="G157" s="111">
        <f>ROUND(ROUND(E157,8)*F157,2)</f>
        <v>199855.84</v>
      </c>
      <c r="I157" s="87"/>
    </row>
    <row r="158" spans="1:9" s="86" customFormat="1" ht="10.5">
      <c r="A158" s="97"/>
      <c r="B158" s="98"/>
      <c r="C158" s="98"/>
      <c r="D158" s="98"/>
      <c r="E158" s="99" t="s">
        <v>82</v>
      </c>
      <c r="F158" s="100"/>
      <c r="G158" s="101">
        <f>SUM(G157:G157)</f>
        <v>199855.84</v>
      </c>
      <c r="I158" s="87"/>
    </row>
    <row r="159" spans="1:9" s="86" customFormat="1" ht="10.5">
      <c r="A159" s="97"/>
      <c r="B159" s="98"/>
      <c r="C159" s="98"/>
      <c r="D159" s="98"/>
      <c r="E159" s="102" t="s">
        <v>78</v>
      </c>
      <c r="F159" s="103" t="str">
        <f>A155</f>
        <v>JFPB-43950770</v>
      </c>
      <c r="G159" s="104">
        <f>SUM(G158)</f>
        <v>199855.84</v>
      </c>
      <c r="I159" s="87"/>
    </row>
    <row r="160" spans="1:9" s="86" customFormat="1" ht="10">
      <c r="A160" s="97"/>
      <c r="B160" s="98"/>
      <c r="C160" s="98"/>
      <c r="D160" s="98"/>
      <c r="E160" s="105"/>
      <c r="F160" s="106"/>
      <c r="G160" s="106"/>
      <c r="I160" s="87"/>
    </row>
    <row r="161" spans="1:9" s="86" customFormat="1" ht="21">
      <c r="A161" s="84" t="s">
        <v>508</v>
      </c>
      <c r="B161" s="85" t="s">
        <v>689</v>
      </c>
      <c r="C161" s="85"/>
      <c r="D161" s="85"/>
      <c r="E161" s="84"/>
      <c r="F161" s="85"/>
      <c r="G161" s="85"/>
      <c r="I161" s="87"/>
    </row>
    <row r="162" spans="1:9" s="86" customFormat="1" ht="21">
      <c r="A162" s="88" t="s">
        <v>79</v>
      </c>
      <c r="B162" s="89"/>
      <c r="C162" s="90" t="s">
        <v>4</v>
      </c>
      <c r="D162" s="90" t="s">
        <v>66</v>
      </c>
      <c r="E162" s="91" t="s">
        <v>67</v>
      </c>
      <c r="F162" s="90" t="s">
        <v>765</v>
      </c>
      <c r="G162" s="90" t="s">
        <v>69</v>
      </c>
      <c r="I162" s="87"/>
    </row>
    <row r="163" spans="1:9" s="86" customFormat="1" ht="20">
      <c r="A163" s="107" t="s">
        <v>668</v>
      </c>
      <c r="B163" s="108" t="s">
        <v>669</v>
      </c>
      <c r="C163" s="109" t="s">
        <v>76</v>
      </c>
      <c r="D163" s="109" t="s">
        <v>12</v>
      </c>
      <c r="E163" s="497">
        <v>1</v>
      </c>
      <c r="F163" s="111">
        <f>_xlfn.XLOOKUP(A163,COMP_AUX!$F$11:$F$631,COMP_AUX!$G$11:$G$631,_xlfn.XLOOKUP(A163,INSUMOS!$A$12:$A$100,INSUMOS!$F$12:$F$100))</f>
        <v>239827.01</v>
      </c>
      <c r="G163" s="111">
        <f>ROUND(ROUND(E163,8)*F163,2)</f>
        <v>239827.01</v>
      </c>
      <c r="I163" s="87"/>
    </row>
    <row r="164" spans="1:9" s="86" customFormat="1" ht="10.5">
      <c r="A164" s="97"/>
      <c r="B164" s="98"/>
      <c r="C164" s="98"/>
      <c r="D164" s="98"/>
      <c r="E164" s="99" t="s">
        <v>82</v>
      </c>
      <c r="F164" s="100"/>
      <c r="G164" s="101">
        <f>SUM(G163:G163)</f>
        <v>239827.01</v>
      </c>
      <c r="I164" s="87"/>
    </row>
    <row r="165" spans="1:9" s="86" customFormat="1" ht="10.5">
      <c r="A165" s="97"/>
      <c r="B165" s="98"/>
      <c r="C165" s="98"/>
      <c r="D165" s="98"/>
      <c r="E165" s="102" t="s">
        <v>78</v>
      </c>
      <c r="F165" s="103" t="str">
        <f>A161</f>
        <v>JFPB-76681091</v>
      </c>
      <c r="G165" s="104">
        <f>SUM(G164)</f>
        <v>239827.01</v>
      </c>
      <c r="I165" s="87"/>
    </row>
    <row r="166" spans="1:9" s="86" customFormat="1" ht="10">
      <c r="A166" s="97"/>
      <c r="B166" s="98"/>
      <c r="C166" s="98"/>
      <c r="D166" s="98"/>
      <c r="E166" s="105"/>
      <c r="F166" s="106"/>
      <c r="G166" s="106"/>
      <c r="I166" s="87"/>
    </row>
    <row r="167" spans="1:9" s="86" customFormat="1" ht="21">
      <c r="A167" s="84" t="s">
        <v>511</v>
      </c>
      <c r="B167" s="85" t="s">
        <v>690</v>
      </c>
      <c r="C167" s="85"/>
      <c r="D167" s="85"/>
      <c r="E167" s="84"/>
      <c r="F167" s="85"/>
      <c r="G167" s="85"/>
      <c r="I167" s="87"/>
    </row>
    <row r="168" spans="1:9" s="86" customFormat="1" ht="21">
      <c r="A168" s="88" t="s">
        <v>79</v>
      </c>
      <c r="B168" s="89"/>
      <c r="C168" s="90" t="s">
        <v>4</v>
      </c>
      <c r="D168" s="90" t="s">
        <v>66</v>
      </c>
      <c r="E168" s="91" t="s">
        <v>67</v>
      </c>
      <c r="F168" s="90" t="s">
        <v>765</v>
      </c>
      <c r="G168" s="90" t="s">
        <v>69</v>
      </c>
      <c r="I168" s="87"/>
    </row>
    <row r="169" spans="1:9" s="86" customFormat="1" ht="20">
      <c r="A169" s="107" t="s">
        <v>670</v>
      </c>
      <c r="B169" s="108" t="s">
        <v>671</v>
      </c>
      <c r="C169" s="109" t="s">
        <v>76</v>
      </c>
      <c r="D169" s="109" t="s">
        <v>12</v>
      </c>
      <c r="E169" s="497">
        <v>1</v>
      </c>
      <c r="F169" s="111">
        <f>_xlfn.XLOOKUP(A169,COMP_AUX!$F$11:$F$631,COMP_AUX!$G$11:$G$631,_xlfn.XLOOKUP(A169,INSUMOS!$A$12:$A$100,INSUMOS!$F$12:$F$100))</f>
        <v>45433.78</v>
      </c>
      <c r="G169" s="111">
        <f>ROUND(ROUND(E169,8)*F169,2)</f>
        <v>45433.78</v>
      </c>
      <c r="I169" s="87"/>
    </row>
    <row r="170" spans="1:9" s="86" customFormat="1" ht="10.5">
      <c r="A170" s="97"/>
      <c r="B170" s="98"/>
      <c r="C170" s="98"/>
      <c r="D170" s="98"/>
      <c r="E170" s="99" t="s">
        <v>82</v>
      </c>
      <c r="F170" s="100"/>
      <c r="G170" s="101">
        <f>SUM(G169:G169)</f>
        <v>45433.78</v>
      </c>
      <c r="I170" s="87"/>
    </row>
    <row r="171" spans="1:9" s="86" customFormat="1" ht="10.5">
      <c r="A171" s="97"/>
      <c r="B171" s="98"/>
      <c r="C171" s="98"/>
      <c r="D171" s="98"/>
      <c r="E171" s="102" t="s">
        <v>78</v>
      </c>
      <c r="F171" s="103" t="str">
        <f>A167</f>
        <v>JFPB-15002242</v>
      </c>
      <c r="G171" s="104">
        <f>SUM(G170)</f>
        <v>45433.78</v>
      </c>
      <c r="I171" s="87"/>
    </row>
    <row r="172" spans="1:9" s="86" customFormat="1" ht="10">
      <c r="A172" s="97"/>
      <c r="B172" s="98"/>
      <c r="C172" s="98"/>
      <c r="D172" s="98"/>
      <c r="E172" s="105"/>
      <c r="F172" s="106"/>
      <c r="G172" s="106"/>
      <c r="I172" s="87"/>
    </row>
    <row r="173" spans="1:9" s="86" customFormat="1" ht="21">
      <c r="A173" s="84" t="s">
        <v>513</v>
      </c>
      <c r="B173" s="85" t="s">
        <v>691</v>
      </c>
      <c r="C173" s="85"/>
      <c r="D173" s="85"/>
      <c r="E173" s="84"/>
      <c r="F173" s="85"/>
      <c r="G173" s="85"/>
      <c r="I173" s="87"/>
    </row>
    <row r="174" spans="1:9" s="86" customFormat="1" ht="21">
      <c r="A174" s="88" t="s">
        <v>79</v>
      </c>
      <c r="B174" s="89"/>
      <c r="C174" s="90" t="s">
        <v>4</v>
      </c>
      <c r="D174" s="90" t="s">
        <v>66</v>
      </c>
      <c r="E174" s="91" t="s">
        <v>67</v>
      </c>
      <c r="F174" s="90" t="s">
        <v>765</v>
      </c>
      <c r="G174" s="90" t="s">
        <v>69</v>
      </c>
      <c r="I174" s="87"/>
    </row>
    <row r="175" spans="1:9" s="86" customFormat="1" ht="20">
      <c r="A175" s="107" t="s">
        <v>672</v>
      </c>
      <c r="B175" s="108" t="s">
        <v>673</v>
      </c>
      <c r="C175" s="109" t="s">
        <v>76</v>
      </c>
      <c r="D175" s="109" t="s">
        <v>12</v>
      </c>
      <c r="E175" s="497">
        <v>1</v>
      </c>
      <c r="F175" s="111">
        <f>_xlfn.XLOOKUP(A175,COMP_AUX!$F$11:$F$631,COMP_AUX!$G$11:$G$631,_xlfn.XLOOKUP(A175,INSUMOS!$A$12:$A$100,INSUMOS!$F$12:$F$100))</f>
        <v>54520.54</v>
      </c>
      <c r="G175" s="111">
        <f>ROUND(ROUND(E175,8)*F175,2)</f>
        <v>54520.54</v>
      </c>
      <c r="I175" s="87"/>
    </row>
    <row r="176" spans="1:9" s="86" customFormat="1" ht="10.5">
      <c r="A176" s="97"/>
      <c r="B176" s="98"/>
      <c r="C176" s="98"/>
      <c r="D176" s="98"/>
      <c r="E176" s="99" t="s">
        <v>82</v>
      </c>
      <c r="F176" s="100"/>
      <c r="G176" s="101">
        <f>SUM(G175:G175)</f>
        <v>54520.54</v>
      </c>
      <c r="I176" s="87"/>
    </row>
    <row r="177" spans="1:9" s="86" customFormat="1" ht="10.5">
      <c r="A177" s="97"/>
      <c r="B177" s="98"/>
      <c r="C177" s="98"/>
      <c r="D177" s="98"/>
      <c r="E177" s="102" t="s">
        <v>78</v>
      </c>
      <c r="F177" s="103" t="str">
        <f>A173</f>
        <v>JFPB-46762236</v>
      </c>
      <c r="G177" s="104">
        <f>SUM(G176)</f>
        <v>54520.54</v>
      </c>
      <c r="I177" s="87"/>
    </row>
    <row r="178" spans="1:9" s="86" customFormat="1" ht="10">
      <c r="A178" s="97"/>
      <c r="B178" s="98"/>
      <c r="C178" s="98"/>
      <c r="D178" s="98"/>
      <c r="E178" s="105"/>
      <c r="F178" s="106"/>
      <c r="G178" s="106"/>
      <c r="I178" s="87"/>
    </row>
    <row r="179" spans="1:9" s="86" customFormat="1" ht="21">
      <c r="A179" s="84">
        <v>93669</v>
      </c>
      <c r="B179" s="85" t="s">
        <v>692</v>
      </c>
      <c r="C179" s="85"/>
      <c r="D179" s="85"/>
      <c r="E179" s="84"/>
      <c r="F179" s="85"/>
      <c r="G179" s="85"/>
      <c r="I179" s="87"/>
    </row>
    <row r="180" spans="1:9" s="86" customFormat="1" ht="21">
      <c r="A180" s="88" t="s">
        <v>79</v>
      </c>
      <c r="B180" s="89"/>
      <c r="C180" s="90" t="s">
        <v>4</v>
      </c>
      <c r="D180" s="90" t="s">
        <v>66</v>
      </c>
      <c r="E180" s="91" t="s">
        <v>67</v>
      </c>
      <c r="F180" s="90" t="s">
        <v>765</v>
      </c>
      <c r="G180" s="90" t="s">
        <v>69</v>
      </c>
      <c r="I180" s="87"/>
    </row>
    <row r="181" spans="1:9" s="86" customFormat="1" ht="20">
      <c r="A181" s="107">
        <v>34709</v>
      </c>
      <c r="B181" s="108" t="s">
        <v>674</v>
      </c>
      <c r="C181" s="109" t="s">
        <v>24</v>
      </c>
      <c r="D181" s="109" t="s">
        <v>12</v>
      </c>
      <c r="E181" s="497">
        <v>1</v>
      </c>
      <c r="F181" s="111">
        <f>_xlfn.XLOOKUP(A181,COMP_AUX!$F$11:$F$631,COMP_AUX!$G$11:$G$631,_xlfn.XLOOKUP(A181,INSUMOS!$A$12:$A$100,INSUMOS!$F$12:$F$100))</f>
        <v>54.22</v>
      </c>
      <c r="G181" s="111">
        <f>TRUNC(TRUNC(E181,8)*F181,2)</f>
        <v>54.22</v>
      </c>
      <c r="I181" s="87"/>
    </row>
    <row r="182" spans="1:9" s="86" customFormat="1" ht="20">
      <c r="A182" s="107">
        <v>1571</v>
      </c>
      <c r="B182" s="108" t="s">
        <v>675</v>
      </c>
      <c r="C182" s="109" t="s">
        <v>24</v>
      </c>
      <c r="D182" s="109" t="s">
        <v>12</v>
      </c>
      <c r="E182" s="497">
        <v>3</v>
      </c>
      <c r="F182" s="111">
        <f>_xlfn.XLOOKUP(A182,COMP_AUX!$F$11:$F$631,COMP_AUX!$G$11:$G$631,_xlfn.XLOOKUP(A182,INSUMOS!$A$12:$A$100,INSUMOS!$F$12:$F$100))</f>
        <v>1.31</v>
      </c>
      <c r="G182" s="111">
        <f>TRUNC(TRUNC(E182,8)*F182,2)</f>
        <v>3.93</v>
      </c>
      <c r="I182" s="87"/>
    </row>
    <row r="183" spans="1:9" s="86" customFormat="1" ht="10.5">
      <c r="A183" s="97"/>
      <c r="B183" s="98"/>
      <c r="C183" s="98"/>
      <c r="D183" s="98"/>
      <c r="E183" s="99" t="s">
        <v>82</v>
      </c>
      <c r="F183" s="100"/>
      <c r="G183" s="101">
        <f>SUM(G181:G182)</f>
        <v>58.15</v>
      </c>
      <c r="I183" s="87"/>
    </row>
    <row r="184" spans="1:9" s="86" customFormat="1" ht="21">
      <c r="A184" s="88" t="s">
        <v>65</v>
      </c>
      <c r="B184" s="89"/>
      <c r="C184" s="90" t="s">
        <v>4</v>
      </c>
      <c r="D184" s="90" t="s">
        <v>66</v>
      </c>
      <c r="E184" s="91" t="s">
        <v>67</v>
      </c>
      <c r="F184" s="90" t="s">
        <v>765</v>
      </c>
      <c r="G184" s="90" t="s">
        <v>69</v>
      </c>
      <c r="I184" s="87"/>
    </row>
    <row r="185" spans="1:9" s="86" customFormat="1" ht="10">
      <c r="A185" s="107">
        <v>88247</v>
      </c>
      <c r="B185" s="108" t="s">
        <v>106</v>
      </c>
      <c r="C185" s="109" t="s">
        <v>24</v>
      </c>
      <c r="D185" s="109" t="s">
        <v>87</v>
      </c>
      <c r="E185" s="497">
        <v>0.1988</v>
      </c>
      <c r="F185" s="111">
        <f>_xlfn.XLOOKUP(A185,COMP_AUX!$F$11:$F$631,COMP_AUX!$G$11:$G$631,_xlfn.XLOOKUP(A185,INSUMOS!$A$12:$A$100,INSUMOS!$F$12:$F$100))</f>
        <v>21.5</v>
      </c>
      <c r="G185" s="111">
        <f>TRUNC(TRUNC(E185,8)*F185,2)</f>
        <v>4.2699999999999996</v>
      </c>
      <c r="I185" s="87"/>
    </row>
    <row r="186" spans="1:9" s="86" customFormat="1" ht="10">
      <c r="A186" s="107">
        <v>88264</v>
      </c>
      <c r="B186" s="108" t="s">
        <v>107</v>
      </c>
      <c r="C186" s="109" t="s">
        <v>24</v>
      </c>
      <c r="D186" s="109" t="s">
        <v>87</v>
      </c>
      <c r="E186" s="497">
        <v>0.1988</v>
      </c>
      <c r="F186" s="111">
        <f>_xlfn.XLOOKUP(A186,COMP_AUX!$F$11:$F$631,COMP_AUX!$G$11:$G$631,_xlfn.XLOOKUP(A186,INSUMOS!$A$12:$A$100,INSUMOS!$F$12:$F$100))</f>
        <v>25.55</v>
      </c>
      <c r="G186" s="111">
        <f>TRUNC(TRUNC(E186,8)*F186,2)</f>
        <v>5.07</v>
      </c>
      <c r="I186" s="87"/>
    </row>
    <row r="187" spans="1:9" s="86" customFormat="1" ht="10.5">
      <c r="A187" s="97"/>
      <c r="B187" s="98"/>
      <c r="C187" s="98"/>
      <c r="D187" s="98"/>
      <c r="E187" s="99" t="s">
        <v>602</v>
      </c>
      <c r="F187" s="100"/>
      <c r="G187" s="101">
        <f>SUM(G185:G186)</f>
        <v>9.34</v>
      </c>
      <c r="I187" s="87"/>
    </row>
    <row r="188" spans="1:9" s="86" customFormat="1" ht="10.5">
      <c r="A188" s="97"/>
      <c r="B188" s="98"/>
      <c r="C188" s="98"/>
      <c r="D188" s="98"/>
      <c r="E188" s="102" t="s">
        <v>78</v>
      </c>
      <c r="F188" s="103">
        <f>A179</f>
        <v>93669</v>
      </c>
      <c r="G188" s="104">
        <f>SUM(G183,G187)</f>
        <v>67.489999999999995</v>
      </c>
      <c r="I188" s="87"/>
    </row>
    <row r="189" spans="1:9" s="86" customFormat="1" ht="10">
      <c r="A189" s="97"/>
      <c r="B189" s="98"/>
      <c r="C189" s="98"/>
      <c r="D189" s="98"/>
      <c r="E189" s="105"/>
      <c r="F189" s="106"/>
      <c r="G189" s="106"/>
      <c r="I189" s="87"/>
    </row>
    <row r="190" spans="1:9" s="86" customFormat="1" ht="31.5">
      <c r="A190" s="84">
        <v>97607</v>
      </c>
      <c r="B190" s="85" t="s">
        <v>693</v>
      </c>
      <c r="C190" s="85"/>
      <c r="D190" s="85"/>
      <c r="E190" s="84"/>
      <c r="F190" s="85"/>
      <c r="G190" s="85"/>
      <c r="I190" s="87"/>
    </row>
    <row r="191" spans="1:9" s="86" customFormat="1" ht="21">
      <c r="A191" s="88" t="s">
        <v>79</v>
      </c>
      <c r="B191" s="89"/>
      <c r="C191" s="90" t="s">
        <v>4</v>
      </c>
      <c r="D191" s="90" t="s">
        <v>66</v>
      </c>
      <c r="E191" s="91" t="s">
        <v>67</v>
      </c>
      <c r="F191" s="90" t="s">
        <v>765</v>
      </c>
      <c r="G191" s="90" t="s">
        <v>69</v>
      </c>
      <c r="I191" s="87"/>
    </row>
    <row r="192" spans="1:9" s="86" customFormat="1" ht="20">
      <c r="A192" s="107">
        <v>38193</v>
      </c>
      <c r="B192" s="108" t="s">
        <v>676</v>
      </c>
      <c r="C192" s="109" t="s">
        <v>24</v>
      </c>
      <c r="D192" s="109" t="s">
        <v>12</v>
      </c>
      <c r="E192" s="497">
        <v>1</v>
      </c>
      <c r="F192" s="111">
        <f>_xlfn.XLOOKUP(A192,COMP_AUX!$F$11:$F$631,COMP_AUX!$G$11:$G$631,_xlfn.XLOOKUP(A192,INSUMOS!$A$12:$A$100,INSUMOS!$F$12:$F$100))</f>
        <v>3.76</v>
      </c>
      <c r="G192" s="111">
        <f>TRUNC(TRUNC(E192,8)*F192,2)</f>
        <v>3.76</v>
      </c>
      <c r="I192" s="87"/>
    </row>
    <row r="193" spans="1:9" s="86" customFormat="1" ht="30">
      <c r="A193" s="107">
        <v>38775</v>
      </c>
      <c r="B193" s="108" t="s">
        <v>677</v>
      </c>
      <c r="C193" s="109" t="s">
        <v>24</v>
      </c>
      <c r="D193" s="109" t="s">
        <v>12</v>
      </c>
      <c r="E193" s="497">
        <v>1</v>
      </c>
      <c r="F193" s="111">
        <f>_xlfn.XLOOKUP(A193,COMP_AUX!$F$11:$F$631,COMP_AUX!$G$11:$G$631,_xlfn.XLOOKUP(A193,INSUMOS!$A$12:$A$100,INSUMOS!$F$12:$F$100))</f>
        <v>80.790000000000006</v>
      </c>
      <c r="G193" s="111">
        <f>TRUNC(TRUNC(E193,8)*F193,2)</f>
        <v>80.790000000000006</v>
      </c>
      <c r="I193" s="87"/>
    </row>
    <row r="194" spans="1:9" s="86" customFormat="1" ht="10.5">
      <c r="A194" s="97"/>
      <c r="B194" s="98"/>
      <c r="C194" s="98"/>
      <c r="D194" s="98"/>
      <c r="E194" s="99" t="s">
        <v>82</v>
      </c>
      <c r="F194" s="100"/>
      <c r="G194" s="101">
        <f>SUM(G192:G193)</f>
        <v>84.550000000000011</v>
      </c>
      <c r="I194" s="87"/>
    </row>
    <row r="195" spans="1:9" s="86" customFormat="1" ht="21">
      <c r="A195" s="88" t="s">
        <v>65</v>
      </c>
      <c r="B195" s="89"/>
      <c r="C195" s="90" t="s">
        <v>4</v>
      </c>
      <c r="D195" s="90" t="s">
        <v>66</v>
      </c>
      <c r="E195" s="91" t="s">
        <v>67</v>
      </c>
      <c r="F195" s="90" t="s">
        <v>765</v>
      </c>
      <c r="G195" s="90" t="s">
        <v>69</v>
      </c>
      <c r="I195" s="87"/>
    </row>
    <row r="196" spans="1:9" s="86" customFormat="1" ht="10">
      <c r="A196" s="107">
        <v>88247</v>
      </c>
      <c r="B196" s="108" t="s">
        <v>106</v>
      </c>
      <c r="C196" s="109" t="s">
        <v>24</v>
      </c>
      <c r="D196" s="109" t="s">
        <v>87</v>
      </c>
      <c r="E196" s="497">
        <v>0.1801875</v>
      </c>
      <c r="F196" s="111">
        <f>_xlfn.XLOOKUP(A196,COMP_AUX!$F$11:$F$631,COMP_AUX!$G$11:$G$631,_xlfn.XLOOKUP(A196,INSUMOS!$A$12:$A$100,INSUMOS!$F$12:$F$100))</f>
        <v>21.5</v>
      </c>
      <c r="G196" s="111">
        <f>TRUNC(TRUNC(E196,8)*F196,2)</f>
        <v>3.87</v>
      </c>
      <c r="I196" s="87"/>
    </row>
    <row r="197" spans="1:9" s="86" customFormat="1" ht="10">
      <c r="A197" s="107">
        <v>88264</v>
      </c>
      <c r="B197" s="108" t="s">
        <v>107</v>
      </c>
      <c r="C197" s="109" t="s">
        <v>24</v>
      </c>
      <c r="D197" s="109" t="s">
        <v>87</v>
      </c>
      <c r="E197" s="497">
        <v>0.5766</v>
      </c>
      <c r="F197" s="111">
        <f>_xlfn.XLOOKUP(A197,COMP_AUX!$F$11:$F$631,COMP_AUX!$G$11:$G$631,_xlfn.XLOOKUP(A197,INSUMOS!$A$12:$A$100,INSUMOS!$F$12:$F$100))</f>
        <v>25.55</v>
      </c>
      <c r="G197" s="111">
        <f>TRUNC(TRUNC(E197,8)*F197,2)</f>
        <v>14.73</v>
      </c>
      <c r="I197" s="87"/>
    </row>
    <row r="198" spans="1:9" s="86" customFormat="1" ht="10.5">
      <c r="A198" s="97"/>
      <c r="B198" s="98"/>
      <c r="C198" s="98"/>
      <c r="D198" s="98"/>
      <c r="E198" s="99" t="s">
        <v>602</v>
      </c>
      <c r="F198" s="100"/>
      <c r="G198" s="101">
        <f>SUM(G196:G197)</f>
        <v>18.600000000000001</v>
      </c>
      <c r="I198" s="87"/>
    </row>
    <row r="199" spans="1:9" s="86" customFormat="1" ht="10.5">
      <c r="A199" s="97"/>
      <c r="B199" s="98"/>
      <c r="C199" s="98"/>
      <c r="D199" s="98"/>
      <c r="E199" s="102" t="s">
        <v>78</v>
      </c>
      <c r="F199" s="103">
        <f>A190</f>
        <v>97607</v>
      </c>
      <c r="G199" s="104">
        <f>SUM(G194,G198)</f>
        <v>103.15</v>
      </c>
      <c r="I199" s="87"/>
    </row>
    <row r="200" spans="1:9" s="86" customFormat="1" ht="10">
      <c r="A200" s="97"/>
      <c r="B200" s="98"/>
      <c r="C200" s="98"/>
      <c r="D200" s="98"/>
      <c r="E200" s="105"/>
      <c r="F200" s="106"/>
      <c r="G200" s="106"/>
      <c r="I200" s="87"/>
    </row>
    <row r="201" spans="1:9" s="86" customFormat="1" ht="31.5">
      <c r="A201" s="84">
        <v>95728</v>
      </c>
      <c r="B201" s="85" t="s">
        <v>694</v>
      </c>
      <c r="C201" s="85"/>
      <c r="D201" s="85"/>
      <c r="E201" s="84"/>
      <c r="F201" s="85"/>
      <c r="G201" s="85"/>
      <c r="I201" s="87"/>
    </row>
    <row r="202" spans="1:9" s="86" customFormat="1" ht="21">
      <c r="A202" s="88" t="s">
        <v>79</v>
      </c>
      <c r="B202" s="89"/>
      <c r="C202" s="90" t="s">
        <v>4</v>
      </c>
      <c r="D202" s="90" t="s">
        <v>66</v>
      </c>
      <c r="E202" s="91" t="s">
        <v>67</v>
      </c>
      <c r="F202" s="90" t="s">
        <v>765</v>
      </c>
      <c r="G202" s="90" t="s">
        <v>69</v>
      </c>
      <c r="I202" s="87"/>
    </row>
    <row r="203" spans="1:9" s="86" customFormat="1" ht="10">
      <c r="A203" s="107">
        <v>2679</v>
      </c>
      <c r="B203" s="108" t="s">
        <v>678</v>
      </c>
      <c r="C203" s="109" t="s">
        <v>24</v>
      </c>
      <c r="D203" s="109" t="s">
        <v>49</v>
      </c>
      <c r="E203" s="497">
        <v>1.0538000000000001</v>
      </c>
      <c r="F203" s="111">
        <f>_xlfn.XLOOKUP(A203,COMP_AUX!$F$11:$F$631,COMP_AUX!$G$11:$G$631,_xlfn.XLOOKUP(A203,INSUMOS!$A$12:$A$100,INSUMOS!$F$12:$F$100))</f>
        <v>4.8499999999999996</v>
      </c>
      <c r="G203" s="111">
        <f>TRUNC(TRUNC(E203,8)*F203,2)</f>
        <v>5.1100000000000003</v>
      </c>
      <c r="I203" s="87"/>
    </row>
    <row r="204" spans="1:9" s="86" customFormat="1" ht="10.5">
      <c r="A204" s="97"/>
      <c r="B204" s="98"/>
      <c r="C204" s="98"/>
      <c r="D204" s="98"/>
      <c r="E204" s="99" t="s">
        <v>82</v>
      </c>
      <c r="F204" s="100"/>
      <c r="G204" s="101">
        <f>SUM(G203:G203)</f>
        <v>5.1100000000000003</v>
      </c>
      <c r="I204" s="87"/>
    </row>
    <row r="205" spans="1:9" s="86" customFormat="1" ht="21">
      <c r="A205" s="88" t="s">
        <v>65</v>
      </c>
      <c r="B205" s="89"/>
      <c r="C205" s="90" t="s">
        <v>4</v>
      </c>
      <c r="D205" s="90" t="s">
        <v>66</v>
      </c>
      <c r="E205" s="91" t="s">
        <v>67</v>
      </c>
      <c r="F205" s="90" t="s">
        <v>765</v>
      </c>
      <c r="G205" s="90" t="s">
        <v>69</v>
      </c>
      <c r="I205" s="87"/>
    </row>
    <row r="206" spans="1:9" s="86" customFormat="1" ht="10">
      <c r="A206" s="107">
        <v>88247</v>
      </c>
      <c r="B206" s="108" t="s">
        <v>106</v>
      </c>
      <c r="C206" s="109" t="s">
        <v>24</v>
      </c>
      <c r="D206" s="109" t="s">
        <v>87</v>
      </c>
      <c r="E206" s="497">
        <v>0.20300000000000001</v>
      </c>
      <c r="F206" s="111">
        <f>_xlfn.XLOOKUP(A206,COMP_AUX!$F$11:$F$631,COMP_AUX!$G$11:$G$631,_xlfn.XLOOKUP(A206,INSUMOS!$A$12:$A$100,INSUMOS!$F$12:$F$100))</f>
        <v>21.5</v>
      </c>
      <c r="G206" s="111">
        <f>TRUNC(TRUNC(E206,8)*F206,2)</f>
        <v>4.3600000000000003</v>
      </c>
      <c r="I206" s="87"/>
    </row>
    <row r="207" spans="1:9" s="86" customFormat="1" ht="10">
      <c r="A207" s="107">
        <v>88264</v>
      </c>
      <c r="B207" s="108" t="s">
        <v>107</v>
      </c>
      <c r="C207" s="109" t="s">
        <v>24</v>
      </c>
      <c r="D207" s="109" t="s">
        <v>87</v>
      </c>
      <c r="E207" s="497">
        <v>0.20300000000000001</v>
      </c>
      <c r="F207" s="111">
        <f>_xlfn.XLOOKUP(A207,COMP_AUX!$F$11:$F$631,COMP_AUX!$G$11:$G$631,_xlfn.XLOOKUP(A207,INSUMOS!$A$12:$A$100,INSUMOS!$F$12:$F$100))</f>
        <v>25.55</v>
      </c>
      <c r="G207" s="111">
        <f>TRUNC(TRUNC(E207,8)*F207,2)</f>
        <v>5.18</v>
      </c>
      <c r="I207" s="87"/>
    </row>
    <row r="208" spans="1:9" s="86" customFormat="1" ht="10.5">
      <c r="A208" s="97"/>
      <c r="B208" s="98"/>
      <c r="C208" s="98"/>
      <c r="D208" s="98"/>
      <c r="E208" s="99" t="s">
        <v>602</v>
      </c>
      <c r="F208" s="100"/>
      <c r="G208" s="101">
        <f>SUM(G206:G207)</f>
        <v>9.5399999999999991</v>
      </c>
      <c r="I208" s="87"/>
    </row>
    <row r="209" spans="1:9" s="86" customFormat="1" ht="21">
      <c r="A209" s="88" t="s">
        <v>73</v>
      </c>
      <c r="B209" s="89"/>
      <c r="C209" s="90" t="s">
        <v>4</v>
      </c>
      <c r="D209" s="90" t="s">
        <v>66</v>
      </c>
      <c r="E209" s="91" t="s">
        <v>67</v>
      </c>
      <c r="F209" s="90" t="s">
        <v>765</v>
      </c>
      <c r="G209" s="90" t="s">
        <v>69</v>
      </c>
      <c r="I209" s="87"/>
    </row>
    <row r="210" spans="1:9" s="86" customFormat="1" ht="50">
      <c r="A210" s="107">
        <v>91170</v>
      </c>
      <c r="B210" s="108" t="s">
        <v>679</v>
      </c>
      <c r="C210" s="109" t="s">
        <v>24</v>
      </c>
      <c r="D210" s="109" t="s">
        <v>49</v>
      </c>
      <c r="E210" s="497">
        <v>1</v>
      </c>
      <c r="F210" s="111">
        <f>_xlfn.XLOOKUP(A210,COMP_AUX!$F$11:$F$631,COMP_AUX!$G$11:$G$631,_xlfn.XLOOKUP(A210,INSUMOS!$A$12:$A$100,INSUMOS!$F$12:$F$100))</f>
        <v>9.83</v>
      </c>
      <c r="G210" s="111">
        <f>TRUNC(TRUNC(E210,8)*F210,2)</f>
        <v>9.83</v>
      </c>
      <c r="I210" s="87"/>
    </row>
    <row r="211" spans="1:9" s="86" customFormat="1" ht="10.5">
      <c r="A211" s="97"/>
      <c r="B211" s="98"/>
      <c r="C211" s="98"/>
      <c r="D211" s="98"/>
      <c r="E211" s="99" t="s">
        <v>77</v>
      </c>
      <c r="F211" s="100"/>
      <c r="G211" s="101">
        <f>SUM(G210:G210)</f>
        <v>9.83</v>
      </c>
      <c r="I211" s="87"/>
    </row>
    <row r="212" spans="1:9" s="86" customFormat="1" ht="10.5">
      <c r="A212" s="97"/>
      <c r="B212" s="98"/>
      <c r="C212" s="98"/>
      <c r="D212" s="98"/>
      <c r="E212" s="102" t="s">
        <v>78</v>
      </c>
      <c r="F212" s="103">
        <f>A201</f>
        <v>95728</v>
      </c>
      <c r="G212" s="104">
        <f>SUM(G204,G208,G211)</f>
        <v>24.479999999999997</v>
      </c>
      <c r="I212" s="87"/>
    </row>
    <row r="213" spans="1:9" s="86" customFormat="1" ht="10">
      <c r="A213" s="97"/>
      <c r="B213" s="98"/>
      <c r="C213" s="98"/>
      <c r="D213" s="98"/>
      <c r="E213" s="105"/>
      <c r="F213" s="106"/>
      <c r="G213" s="106"/>
      <c r="I213" s="87"/>
    </row>
    <row r="214" spans="1:9" s="86" customFormat="1" ht="31.5">
      <c r="A214" s="84">
        <v>104403</v>
      </c>
      <c r="B214" s="85" t="s">
        <v>695</v>
      </c>
      <c r="C214" s="85"/>
      <c r="D214" s="85"/>
      <c r="E214" s="84"/>
      <c r="F214" s="85"/>
      <c r="G214" s="85"/>
      <c r="I214" s="87"/>
    </row>
    <row r="215" spans="1:9" s="86" customFormat="1" ht="21">
      <c r="A215" s="88" t="s">
        <v>79</v>
      </c>
      <c r="B215" s="89"/>
      <c r="C215" s="90" t="s">
        <v>4</v>
      </c>
      <c r="D215" s="90" t="s">
        <v>66</v>
      </c>
      <c r="E215" s="91" t="s">
        <v>67</v>
      </c>
      <c r="F215" s="90" t="s">
        <v>765</v>
      </c>
      <c r="G215" s="90" t="s">
        <v>69</v>
      </c>
      <c r="I215" s="87"/>
    </row>
    <row r="216" spans="1:9" s="86" customFormat="1" ht="30">
      <c r="A216" s="107">
        <v>11950</v>
      </c>
      <c r="B216" s="108" t="s">
        <v>116</v>
      </c>
      <c r="C216" s="109" t="s">
        <v>24</v>
      </c>
      <c r="D216" s="109" t="s">
        <v>12</v>
      </c>
      <c r="E216" s="497">
        <v>2</v>
      </c>
      <c r="F216" s="111">
        <f>_xlfn.XLOOKUP(A216,COMP_AUX!$F$11:$F$631,COMP_AUX!$G$11:$G$631,_xlfn.XLOOKUP(A216,INSUMOS!$A$12:$A$100,INSUMOS!$F$12:$F$100))</f>
        <v>0.2</v>
      </c>
      <c r="G216" s="111">
        <f>TRUNC(TRUNC(E216,8)*F216,2)</f>
        <v>0.4</v>
      </c>
      <c r="I216" s="87"/>
    </row>
    <row r="217" spans="1:9" s="86" customFormat="1" ht="10">
      <c r="A217" s="107">
        <v>39332</v>
      </c>
      <c r="B217" s="108" t="s">
        <v>680</v>
      </c>
      <c r="C217" s="109" t="s">
        <v>24</v>
      </c>
      <c r="D217" s="109" t="s">
        <v>12</v>
      </c>
      <c r="E217" s="497">
        <v>1</v>
      </c>
      <c r="F217" s="111">
        <f>_xlfn.XLOOKUP(A217,COMP_AUX!$F$11:$F$631,COMP_AUX!$G$11:$G$631,_xlfn.XLOOKUP(A217,INSUMOS!$A$12:$A$100,INSUMOS!$F$12:$F$100))</f>
        <v>6.95</v>
      </c>
      <c r="G217" s="111">
        <f>TRUNC(TRUNC(E217,8)*F217,2)</f>
        <v>6.95</v>
      </c>
      <c r="I217" s="87"/>
    </row>
    <row r="218" spans="1:9" s="86" customFormat="1" ht="10.5">
      <c r="A218" s="97"/>
      <c r="B218" s="98"/>
      <c r="C218" s="98"/>
      <c r="D218" s="98"/>
      <c r="E218" s="99" t="s">
        <v>82</v>
      </c>
      <c r="F218" s="100"/>
      <c r="G218" s="101">
        <f>SUM(G216:G217)</f>
        <v>7.3500000000000005</v>
      </c>
      <c r="I218" s="87"/>
    </row>
    <row r="219" spans="1:9" s="86" customFormat="1" ht="21">
      <c r="A219" s="88" t="s">
        <v>65</v>
      </c>
      <c r="B219" s="89"/>
      <c r="C219" s="90" t="s">
        <v>4</v>
      </c>
      <c r="D219" s="90" t="s">
        <v>66</v>
      </c>
      <c r="E219" s="91" t="s">
        <v>67</v>
      </c>
      <c r="F219" s="90" t="s">
        <v>765</v>
      </c>
      <c r="G219" s="90" t="s">
        <v>69</v>
      </c>
      <c r="I219" s="87"/>
    </row>
    <row r="220" spans="1:9" s="86" customFormat="1" ht="10">
      <c r="A220" s="107">
        <v>88247</v>
      </c>
      <c r="B220" s="108" t="s">
        <v>106</v>
      </c>
      <c r="C220" s="109" t="s">
        <v>24</v>
      </c>
      <c r="D220" s="109" t="s">
        <v>87</v>
      </c>
      <c r="E220" s="497">
        <v>0.36180000000000001</v>
      </c>
      <c r="F220" s="111">
        <f>_xlfn.XLOOKUP(A220,COMP_AUX!$F$11:$F$631,COMP_AUX!$G$11:$G$631,_xlfn.XLOOKUP(A220,INSUMOS!$A$12:$A$100,INSUMOS!$F$12:$F$100))</f>
        <v>21.5</v>
      </c>
      <c r="G220" s="111">
        <f>TRUNC(TRUNC(E220,8)*F220,2)</f>
        <v>7.77</v>
      </c>
      <c r="I220" s="87"/>
    </row>
    <row r="221" spans="1:9" s="86" customFormat="1" ht="10">
      <c r="A221" s="107">
        <v>88264</v>
      </c>
      <c r="B221" s="108" t="s">
        <v>107</v>
      </c>
      <c r="C221" s="109" t="s">
        <v>24</v>
      </c>
      <c r="D221" s="109" t="s">
        <v>87</v>
      </c>
      <c r="E221" s="497">
        <v>0.36180000000000001</v>
      </c>
      <c r="F221" s="111">
        <f>_xlfn.XLOOKUP(A221,COMP_AUX!$F$11:$F$631,COMP_AUX!$G$11:$G$631,_xlfn.XLOOKUP(A221,INSUMOS!$A$12:$A$100,INSUMOS!$F$12:$F$100))</f>
        <v>25.55</v>
      </c>
      <c r="G221" s="111">
        <f>TRUNC(TRUNC(E221,8)*F221,2)</f>
        <v>9.24</v>
      </c>
      <c r="I221" s="87"/>
    </row>
    <row r="222" spans="1:9" s="86" customFormat="1" ht="10.5">
      <c r="A222" s="97"/>
      <c r="B222" s="98"/>
      <c r="C222" s="98"/>
      <c r="D222" s="98"/>
      <c r="E222" s="99" t="s">
        <v>602</v>
      </c>
      <c r="F222" s="100"/>
      <c r="G222" s="101">
        <f>SUM(G220:G221)</f>
        <v>17.009999999999998</v>
      </c>
      <c r="I222" s="87"/>
    </row>
    <row r="223" spans="1:9" s="86" customFormat="1" ht="10.5">
      <c r="A223" s="97"/>
      <c r="B223" s="98"/>
      <c r="C223" s="98"/>
      <c r="D223" s="98"/>
      <c r="E223" s="102" t="s">
        <v>78</v>
      </c>
      <c r="F223" s="103">
        <f>A214</f>
        <v>104403</v>
      </c>
      <c r="G223" s="104">
        <f>SUM(G218,G222)</f>
        <v>24.36</v>
      </c>
      <c r="I223" s="87"/>
    </row>
    <row r="224" spans="1:9" s="86" customFormat="1" ht="10">
      <c r="A224" s="97"/>
      <c r="B224" s="98"/>
      <c r="C224" s="98"/>
      <c r="D224" s="98"/>
      <c r="E224" s="105"/>
      <c r="F224" s="106"/>
      <c r="G224" s="106"/>
      <c r="I224" s="87"/>
    </row>
    <row r="225" spans="1:9" s="86" customFormat="1" ht="31.5">
      <c r="A225" s="84">
        <v>91927</v>
      </c>
      <c r="B225" s="85" t="s">
        <v>696</v>
      </c>
      <c r="C225" s="85"/>
      <c r="D225" s="85"/>
      <c r="E225" s="84"/>
      <c r="F225" s="85"/>
      <c r="G225" s="85"/>
      <c r="I225" s="87"/>
    </row>
    <row r="226" spans="1:9" s="86" customFormat="1" ht="21">
      <c r="A226" s="88" t="s">
        <v>79</v>
      </c>
      <c r="B226" s="89"/>
      <c r="C226" s="90" t="s">
        <v>4</v>
      </c>
      <c r="D226" s="90" t="s">
        <v>66</v>
      </c>
      <c r="E226" s="91" t="s">
        <v>67</v>
      </c>
      <c r="F226" s="90" t="s">
        <v>765</v>
      </c>
      <c r="G226" s="90" t="s">
        <v>69</v>
      </c>
      <c r="I226" s="87"/>
    </row>
    <row r="227" spans="1:9" s="86" customFormat="1" ht="30">
      <c r="A227" s="107">
        <v>1022</v>
      </c>
      <c r="B227" s="108" t="s">
        <v>115</v>
      </c>
      <c r="C227" s="109" t="s">
        <v>24</v>
      </c>
      <c r="D227" s="109" t="s">
        <v>49</v>
      </c>
      <c r="E227" s="497">
        <v>1.2434000000000001</v>
      </c>
      <c r="F227" s="111">
        <f>_xlfn.XLOOKUP(A227,COMP_AUX!$F$11:$F$631,COMP_AUX!$G$11:$G$631,_xlfn.XLOOKUP(A227,INSUMOS!$A$12:$A$100,INSUMOS!$F$12:$F$100))</f>
        <v>3.11</v>
      </c>
      <c r="G227" s="111">
        <f>TRUNC(TRUNC(E227,8)*F227,2)</f>
        <v>3.86</v>
      </c>
      <c r="I227" s="87"/>
    </row>
    <row r="228" spans="1:9" s="86" customFormat="1" ht="20">
      <c r="A228" s="107">
        <v>21127</v>
      </c>
      <c r="B228" s="108" t="s">
        <v>109</v>
      </c>
      <c r="C228" s="109" t="s">
        <v>24</v>
      </c>
      <c r="D228" s="109" t="s">
        <v>12</v>
      </c>
      <c r="E228" s="497">
        <v>9.4000000000000004E-3</v>
      </c>
      <c r="F228" s="111">
        <f>_xlfn.XLOOKUP(A228,COMP_AUX!$F$11:$F$631,COMP_AUX!$G$11:$G$631,_xlfn.XLOOKUP(A228,INSUMOS!$A$12:$A$100,INSUMOS!$F$12:$F$100))</f>
        <v>3.4</v>
      </c>
      <c r="G228" s="111">
        <f>TRUNC(TRUNC(E228,8)*F228,2)</f>
        <v>0.03</v>
      </c>
      <c r="I228" s="87"/>
    </row>
    <row r="229" spans="1:9" s="86" customFormat="1" ht="10.5">
      <c r="A229" s="97"/>
      <c r="B229" s="98"/>
      <c r="C229" s="98"/>
      <c r="D229" s="98"/>
      <c r="E229" s="99" t="s">
        <v>82</v>
      </c>
      <c r="F229" s="100"/>
      <c r="G229" s="101">
        <f>SUM(G227:G228)</f>
        <v>3.8899999999999997</v>
      </c>
      <c r="I229" s="87"/>
    </row>
    <row r="230" spans="1:9" s="86" customFormat="1" ht="21">
      <c r="A230" s="88" t="s">
        <v>65</v>
      </c>
      <c r="B230" s="89"/>
      <c r="C230" s="90" t="s">
        <v>4</v>
      </c>
      <c r="D230" s="90" t="s">
        <v>66</v>
      </c>
      <c r="E230" s="91" t="s">
        <v>67</v>
      </c>
      <c r="F230" s="90" t="s">
        <v>765</v>
      </c>
      <c r="G230" s="90" t="s">
        <v>69</v>
      </c>
      <c r="I230" s="87"/>
    </row>
    <row r="231" spans="1:9" s="86" customFormat="1" ht="10">
      <c r="A231" s="107">
        <v>88247</v>
      </c>
      <c r="B231" s="108" t="s">
        <v>106</v>
      </c>
      <c r="C231" s="109" t="s">
        <v>24</v>
      </c>
      <c r="D231" s="109" t="s">
        <v>87</v>
      </c>
      <c r="E231" s="497">
        <v>2.9000000000000001E-2</v>
      </c>
      <c r="F231" s="111">
        <f>_xlfn.XLOOKUP(A231,COMP_AUX!$F$11:$F$631,COMP_AUX!$G$11:$G$631,_xlfn.XLOOKUP(A231,INSUMOS!$A$12:$A$100,INSUMOS!$F$12:$F$100))</f>
        <v>21.5</v>
      </c>
      <c r="G231" s="111">
        <f>TRUNC(TRUNC(E231,8)*F231,2)</f>
        <v>0.62</v>
      </c>
      <c r="I231" s="87"/>
    </row>
    <row r="232" spans="1:9" s="86" customFormat="1" ht="10">
      <c r="A232" s="107">
        <v>88264</v>
      </c>
      <c r="B232" s="108" t="s">
        <v>107</v>
      </c>
      <c r="C232" s="109" t="s">
        <v>24</v>
      </c>
      <c r="D232" s="109" t="s">
        <v>87</v>
      </c>
      <c r="E232" s="497">
        <v>2.9000000000000001E-2</v>
      </c>
      <c r="F232" s="111">
        <f>_xlfn.XLOOKUP(A232,COMP_AUX!$F$11:$F$631,COMP_AUX!$G$11:$G$631,_xlfn.XLOOKUP(A232,INSUMOS!$A$12:$A$100,INSUMOS!$F$12:$F$100))</f>
        <v>25.55</v>
      </c>
      <c r="G232" s="111">
        <f>TRUNC(TRUNC(E232,8)*F232,2)</f>
        <v>0.74</v>
      </c>
      <c r="I232" s="87"/>
    </row>
    <row r="233" spans="1:9" s="86" customFormat="1" ht="10.5">
      <c r="A233" s="97"/>
      <c r="B233" s="98"/>
      <c r="C233" s="98"/>
      <c r="D233" s="98"/>
      <c r="E233" s="99" t="s">
        <v>602</v>
      </c>
      <c r="F233" s="100"/>
      <c r="G233" s="101">
        <f>SUM(G231:G232)</f>
        <v>1.3599999999999999</v>
      </c>
      <c r="I233" s="87"/>
    </row>
    <row r="234" spans="1:9" s="86" customFormat="1" ht="10.5">
      <c r="A234" s="97"/>
      <c r="B234" s="98"/>
      <c r="C234" s="98"/>
      <c r="D234" s="98"/>
      <c r="E234" s="102" t="s">
        <v>78</v>
      </c>
      <c r="F234" s="103">
        <f>A225</f>
        <v>91927</v>
      </c>
      <c r="G234" s="104">
        <f>SUM(G229,G233)</f>
        <v>5.25</v>
      </c>
      <c r="I234" s="87"/>
    </row>
    <row r="235" spans="1:9">
      <c r="A235" s="551" t="s">
        <v>853</v>
      </c>
      <c r="B235" s="85" t="s">
        <v>854</v>
      </c>
      <c r="C235" s="85"/>
      <c r="D235" s="85"/>
      <c r="E235" s="85"/>
      <c r="F235" s="85"/>
      <c r="G235" s="85"/>
    </row>
    <row r="236" spans="1:9" ht="21">
      <c r="A236" s="88" t="s">
        <v>83</v>
      </c>
      <c r="B236" s="89"/>
      <c r="C236" s="90" t="s">
        <v>4</v>
      </c>
      <c r="D236" s="90" t="s">
        <v>66</v>
      </c>
      <c r="E236" s="90" t="s">
        <v>67</v>
      </c>
      <c r="F236" s="90" t="s">
        <v>68</v>
      </c>
      <c r="G236" s="90" t="s">
        <v>69</v>
      </c>
    </row>
    <row r="237" spans="1:9" ht="20">
      <c r="A237" s="553" t="s">
        <v>858</v>
      </c>
      <c r="B237" s="108" t="s">
        <v>859</v>
      </c>
      <c r="C237" s="109" t="s">
        <v>855</v>
      </c>
      <c r="D237" s="109" t="s">
        <v>12</v>
      </c>
      <c r="E237" s="111">
        <v>0.01</v>
      </c>
      <c r="F237" s="111">
        <v>497.8</v>
      </c>
      <c r="G237" s="111">
        <f>TRUNC(E237*F237,2)</f>
        <v>4.97</v>
      </c>
    </row>
    <row r="238" spans="1:9">
      <c r="A238" s="553" t="s">
        <v>857</v>
      </c>
      <c r="B238" s="108" t="s">
        <v>856</v>
      </c>
      <c r="C238" s="109" t="s">
        <v>855</v>
      </c>
      <c r="D238" s="109" t="s">
        <v>87</v>
      </c>
      <c r="E238" s="552">
        <v>3.7890000000000001</v>
      </c>
      <c r="F238" s="111">
        <v>14.73</v>
      </c>
      <c r="G238" s="111">
        <f>TRUNC(E238*F238,2)</f>
        <v>55.81</v>
      </c>
    </row>
    <row r="239" spans="1:9">
      <c r="A239" s="97"/>
      <c r="B239" s="98"/>
      <c r="C239" s="98"/>
      <c r="D239" s="98"/>
      <c r="E239" s="100" t="s">
        <v>781</v>
      </c>
      <c r="F239" s="100"/>
      <c r="G239" s="101">
        <f>SUM(G237:G238)</f>
        <v>60.78</v>
      </c>
    </row>
    <row r="240" spans="1:9">
      <c r="A240" s="97"/>
      <c r="B240" s="98"/>
      <c r="C240" s="98"/>
      <c r="D240" s="98"/>
      <c r="E240" s="103" t="s">
        <v>78</v>
      </c>
      <c r="F240" s="103" t="str">
        <f>A235</f>
        <v>017066</v>
      </c>
      <c r="G240" s="104">
        <f>SUM(G239)</f>
        <v>60.78</v>
      </c>
    </row>
    <row r="242" spans="1:7">
      <c r="A242" s="551">
        <v>210000</v>
      </c>
      <c r="B242" s="85" t="s">
        <v>862</v>
      </c>
      <c r="C242" s="85"/>
      <c r="D242" s="85"/>
      <c r="E242" s="85"/>
      <c r="F242" s="85"/>
      <c r="G242" s="85"/>
    </row>
    <row r="243" spans="1:7" ht="21">
      <c r="A243" s="88" t="s">
        <v>83</v>
      </c>
      <c r="B243" s="89"/>
      <c r="C243" s="90" t="s">
        <v>4</v>
      </c>
      <c r="D243" s="90" t="s">
        <v>66</v>
      </c>
      <c r="E243" s="90" t="s">
        <v>67</v>
      </c>
      <c r="F243" s="90" t="s">
        <v>68</v>
      </c>
      <c r="G243" s="90" t="s">
        <v>69</v>
      </c>
    </row>
    <row r="244" spans="1:7">
      <c r="A244" s="553" t="s">
        <v>860</v>
      </c>
      <c r="B244" s="108" t="s">
        <v>861</v>
      </c>
      <c r="C244" s="109" t="s">
        <v>855</v>
      </c>
      <c r="D244" s="109" t="s">
        <v>12</v>
      </c>
      <c r="E244" s="111">
        <v>1</v>
      </c>
      <c r="F244" s="111">
        <v>340</v>
      </c>
      <c r="G244" s="111">
        <f>TRUNC(E244*F244,2)</f>
        <v>340</v>
      </c>
    </row>
    <row r="245" spans="1:7">
      <c r="A245" s="553" t="s">
        <v>857</v>
      </c>
      <c r="B245" s="108" t="s">
        <v>856</v>
      </c>
      <c r="C245" s="109" t="s">
        <v>855</v>
      </c>
      <c r="D245" s="109" t="s">
        <v>87</v>
      </c>
      <c r="E245" s="552">
        <v>6.2030000000000003</v>
      </c>
      <c r="F245" s="111">
        <v>14.73</v>
      </c>
      <c r="G245" s="111">
        <f>TRUNC(E245*F245,2)</f>
        <v>91.37</v>
      </c>
    </row>
    <row r="246" spans="1:7">
      <c r="A246" s="97"/>
      <c r="B246" s="98"/>
      <c r="C246" s="98"/>
      <c r="D246" s="98"/>
      <c r="E246" s="100" t="s">
        <v>781</v>
      </c>
      <c r="F246" s="100"/>
      <c r="G246" s="101">
        <f>SUM(G244:G245)</f>
        <v>431.37</v>
      </c>
    </row>
    <row r="247" spans="1:7">
      <c r="A247" s="97"/>
      <c r="B247" s="98"/>
      <c r="C247" s="98"/>
      <c r="D247" s="98"/>
      <c r="E247" s="103" t="s">
        <v>78</v>
      </c>
      <c r="F247" s="103">
        <f>A242</f>
        <v>210000</v>
      </c>
      <c r="G247" s="104">
        <f>SUM(G246)</f>
        <v>431.37</v>
      </c>
    </row>
  </sheetData>
  <conditionalFormatting sqref="E5:E9">
    <cfRule type="cellIs" dxfId="36" priority="2" operator="equal">
      <formula>0</formula>
    </cfRule>
  </conditionalFormatting>
  <conditionalFormatting sqref="F5:F9">
    <cfRule type="cellIs" dxfId="35" priority="1" operator="equal">
      <formula>0</formula>
    </cfRule>
  </conditionalFormatting>
  <pageMargins left="0.51181102362204722" right="0.51181102362204722" top="0.51181102362204722" bottom="0.70866141732283472" header="0" footer="0.19685039370078741"/>
  <pageSetup paperSize="9" scale="80" orientation="portrait" r:id="rId1"/>
  <headerFooter>
    <oddFooter>&amp;L&amp;9&amp;A&amp;R&amp;9Página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outlinePr summaryBelow="0"/>
  </sheetPr>
  <dimension ref="A1:G639"/>
  <sheetViews>
    <sheetView view="pageBreakPreview" topLeftCell="A622" zoomScaleNormal="160" zoomScaleSheetLayoutView="100" workbookViewId="0">
      <selection activeCell="D636" sqref="D636"/>
    </sheetView>
  </sheetViews>
  <sheetFormatPr defaultColWidth="9.08203125" defaultRowHeight="14"/>
  <cols>
    <col min="1" max="1" width="8.25" style="112" customWidth="1"/>
    <col min="2" max="2" width="46.75" style="112" customWidth="1"/>
    <col min="3" max="3" width="10.83203125" style="112" customWidth="1"/>
    <col min="4" max="4" width="5.58203125" style="112" customWidth="1"/>
    <col min="5" max="5" width="11.5" style="112" customWidth="1"/>
    <col min="6" max="6" width="8.25" style="112" bestFit="1" customWidth="1"/>
    <col min="7" max="7" width="8.75" style="112" customWidth="1"/>
    <col min="8" max="16384" width="9.08203125" style="112"/>
  </cols>
  <sheetData>
    <row r="1" spans="1:7" ht="50.15" customHeight="1">
      <c r="A1" s="75"/>
      <c r="B1" s="75"/>
      <c r="C1" s="75"/>
      <c r="D1" s="75"/>
      <c r="E1" s="75"/>
      <c r="F1" s="75"/>
      <c r="G1" s="75"/>
    </row>
    <row r="2" spans="1:7" ht="25" customHeight="1">
      <c r="A2" s="14" t="s">
        <v>397</v>
      </c>
      <c r="B2" s="14"/>
      <c r="C2" s="14"/>
      <c r="D2" s="14"/>
      <c r="E2" s="14"/>
      <c r="F2" s="15"/>
      <c r="G2" s="15"/>
    </row>
    <row r="3" spans="1:7" ht="5.15" customHeight="1">
      <c r="A3" s="17"/>
      <c r="B3" s="17"/>
      <c r="C3" s="17"/>
      <c r="D3" s="17"/>
      <c r="E3" s="17"/>
      <c r="F3" s="12"/>
      <c r="G3" s="12"/>
    </row>
    <row r="4" spans="1:7">
      <c r="A4" s="18" t="s">
        <v>321</v>
      </c>
      <c r="B4" s="19" t="str">
        <f>RESUMO!B4</f>
        <v>SUBSTITUIÇÃO DE ELEVADORES NA SEDE DA JUSTIÇA FEDERAL NA PARAÍBA - R2</v>
      </c>
      <c r="C4" s="19"/>
      <c r="D4" s="19"/>
      <c r="E4" s="19"/>
      <c r="F4" s="19"/>
      <c r="G4" s="80"/>
    </row>
    <row r="5" spans="1:7">
      <c r="A5" s="26" t="s">
        <v>325</v>
      </c>
      <c r="B5" s="27" t="str">
        <f>RESUMO!B5</f>
        <v>R2 - 15/04/2025</v>
      </c>
      <c r="C5" s="27"/>
      <c r="D5" s="21" t="s">
        <v>334</v>
      </c>
      <c r="E5" s="24"/>
      <c r="F5" s="21" t="s">
        <v>329</v>
      </c>
      <c r="G5" s="25">
        <f>RESUMO!$F$5</f>
        <v>45762</v>
      </c>
    </row>
    <row r="6" spans="1:7">
      <c r="A6" s="26" t="s">
        <v>322</v>
      </c>
      <c r="B6" s="27" t="str">
        <f>RESUMO!B6</f>
        <v>RUA JOÃO TEIXEIRA DE CARVALHO, 480, PEDRO GONDIM, JOÃO PESSOA/PB</v>
      </c>
      <c r="C6" s="27"/>
      <c r="D6" s="29" t="str">
        <f>RESUMO!$C$6</f>
        <v>SINAPI</v>
      </c>
      <c r="E6" s="30" t="str">
        <f>RESUMO!$D$6</f>
        <v>2025/02</v>
      </c>
      <c r="F6" s="26" t="s">
        <v>443</v>
      </c>
      <c r="G6" s="30">
        <f>RESUMO!$F$6</f>
        <v>0.23530000000000001</v>
      </c>
    </row>
    <row r="7" spans="1:7">
      <c r="A7" s="26" t="s">
        <v>323</v>
      </c>
      <c r="B7" s="27" t="str">
        <f>RESUMO!B7</f>
        <v>JUSTIÇA FEDERAL NA PARAÍBA</v>
      </c>
      <c r="C7" s="27"/>
      <c r="D7" s="29" t="str">
        <f>RESUMO!$C$7</f>
        <v>SICRO</v>
      </c>
      <c r="E7" s="30" t="str">
        <f>RESUMO!$D$7</f>
        <v>2025/01</v>
      </c>
      <c r="F7" s="26" t="s">
        <v>330</v>
      </c>
      <c r="G7" s="30">
        <f>RESUMO!$F$7</f>
        <v>0.1527</v>
      </c>
    </row>
    <row r="8" spans="1:7">
      <c r="A8" s="26" t="s">
        <v>328</v>
      </c>
      <c r="B8" s="27" t="str">
        <f>RESUMO!B8</f>
        <v>JOSÉ MENDONÇA FILHO SEGUNDO</v>
      </c>
      <c r="C8" s="27"/>
      <c r="D8" s="29" t="str">
        <f>RESUMO!$C$8</f>
        <v>SBC</v>
      </c>
      <c r="E8" s="30" t="str">
        <f>RESUMO!$D$8</f>
        <v>2025/02</v>
      </c>
      <c r="F8" s="26" t="s">
        <v>331</v>
      </c>
      <c r="G8" s="30">
        <f>RESUMO!$F$8</f>
        <v>1.1359999999999999</v>
      </c>
    </row>
    <row r="9" spans="1:7">
      <c r="A9" s="31" t="s">
        <v>324</v>
      </c>
      <c r="B9" s="32" t="str">
        <f>RESUMO!B9</f>
        <v>ENGENHEIRO MECÂNICO - CREA 060136183-0</v>
      </c>
      <c r="C9" s="32"/>
      <c r="D9" s="31" t="s">
        <v>325</v>
      </c>
      <c r="E9" s="34" t="str">
        <f>RESUMO!$D$9</f>
        <v>R2</v>
      </c>
      <c r="F9" s="31" t="s">
        <v>332</v>
      </c>
      <c r="G9" s="34">
        <f>RESUMO!$F$9</f>
        <v>0.6984999999999999</v>
      </c>
    </row>
    <row r="10" spans="1:7" ht="5.15" customHeight="1">
      <c r="A10" s="81"/>
      <c r="B10" s="82"/>
      <c r="C10" s="82"/>
      <c r="D10" s="82"/>
      <c r="E10" s="83"/>
      <c r="F10" s="83"/>
      <c r="G10" s="83"/>
    </row>
    <row r="11" spans="1:7" s="115" customFormat="1" ht="23">
      <c r="A11" s="113">
        <v>88239</v>
      </c>
      <c r="B11" s="114" t="s">
        <v>398</v>
      </c>
      <c r="C11" s="114"/>
      <c r="D11" s="114"/>
      <c r="E11" s="114"/>
      <c r="F11" s="114"/>
      <c r="G11" s="114"/>
    </row>
    <row r="12" spans="1:7" s="115" customFormat="1" ht="23">
      <c r="A12" s="116" t="s">
        <v>145</v>
      </c>
      <c r="B12" s="117"/>
      <c r="C12" s="118" t="s">
        <v>4</v>
      </c>
      <c r="D12" s="118" t="s">
        <v>66</v>
      </c>
      <c r="E12" s="119" t="s">
        <v>67</v>
      </c>
      <c r="F12" s="118" t="s">
        <v>765</v>
      </c>
      <c r="G12" s="118" t="s">
        <v>69</v>
      </c>
    </row>
    <row r="13" spans="1:7" s="115" customFormat="1" ht="23">
      <c r="A13" s="120" t="s">
        <v>150</v>
      </c>
      <c r="B13" s="121" t="s">
        <v>151</v>
      </c>
      <c r="C13" s="122" t="s">
        <v>24</v>
      </c>
      <c r="D13" s="122" t="s">
        <v>87</v>
      </c>
      <c r="E13" s="140">
        <v>1</v>
      </c>
      <c r="F13" s="124">
        <v>0.92</v>
      </c>
      <c r="G13" s="125">
        <f t="shared" ref="G13:G18" si="0">TRUNC(TRUNC(E13,8)*F13,2)</f>
        <v>0.92</v>
      </c>
    </row>
    <row r="14" spans="1:7" s="115" customFormat="1" ht="23">
      <c r="A14" s="120" t="s">
        <v>186</v>
      </c>
      <c r="B14" s="121" t="s">
        <v>187</v>
      </c>
      <c r="C14" s="122" t="s">
        <v>24</v>
      </c>
      <c r="D14" s="122" t="s">
        <v>87</v>
      </c>
      <c r="E14" s="140">
        <v>1</v>
      </c>
      <c r="F14" s="124">
        <v>1.43</v>
      </c>
      <c r="G14" s="125">
        <f t="shared" si="0"/>
        <v>1.43</v>
      </c>
    </row>
    <row r="15" spans="1:7" s="115" customFormat="1" ht="23">
      <c r="A15" s="120" t="s">
        <v>143</v>
      </c>
      <c r="B15" s="121" t="s">
        <v>144</v>
      </c>
      <c r="C15" s="122" t="s">
        <v>24</v>
      </c>
      <c r="D15" s="122" t="s">
        <v>87</v>
      </c>
      <c r="E15" s="140">
        <v>1</v>
      </c>
      <c r="F15" s="124">
        <v>1.43</v>
      </c>
      <c r="G15" s="125">
        <f t="shared" si="0"/>
        <v>1.43</v>
      </c>
    </row>
    <row r="16" spans="1:7" s="115" customFormat="1" ht="34.5">
      <c r="A16" s="120" t="s">
        <v>196</v>
      </c>
      <c r="B16" s="121" t="s">
        <v>197</v>
      </c>
      <c r="C16" s="122" t="s">
        <v>24</v>
      </c>
      <c r="D16" s="122" t="s">
        <v>87</v>
      </c>
      <c r="E16" s="140">
        <v>1</v>
      </c>
      <c r="F16" s="124">
        <v>0.44</v>
      </c>
      <c r="G16" s="125">
        <f t="shared" si="0"/>
        <v>0.44</v>
      </c>
    </row>
    <row r="17" spans="1:7" s="115" customFormat="1" ht="23">
      <c r="A17" s="120" t="s">
        <v>202</v>
      </c>
      <c r="B17" s="121" t="s">
        <v>203</v>
      </c>
      <c r="C17" s="122" t="s">
        <v>24</v>
      </c>
      <c r="D17" s="122" t="s">
        <v>87</v>
      </c>
      <c r="E17" s="140">
        <v>1</v>
      </c>
      <c r="F17" s="124">
        <v>0.08</v>
      </c>
      <c r="G17" s="125">
        <f t="shared" si="0"/>
        <v>0.08</v>
      </c>
    </row>
    <row r="18" spans="1:7" s="115" customFormat="1" ht="23">
      <c r="A18" s="120" t="s">
        <v>154</v>
      </c>
      <c r="B18" s="121" t="s">
        <v>155</v>
      </c>
      <c r="C18" s="122" t="s">
        <v>24</v>
      </c>
      <c r="D18" s="122" t="s">
        <v>87</v>
      </c>
      <c r="E18" s="140">
        <v>1</v>
      </c>
      <c r="F18" s="124">
        <v>0.8</v>
      </c>
      <c r="G18" s="125">
        <f t="shared" si="0"/>
        <v>0.8</v>
      </c>
    </row>
    <row r="19" spans="1:7" s="115" customFormat="1" ht="11.5">
      <c r="A19" s="126"/>
      <c r="B19" s="127"/>
      <c r="C19" s="127"/>
      <c r="D19" s="127"/>
      <c r="E19" s="128" t="s">
        <v>591</v>
      </c>
      <c r="F19" s="129"/>
      <c r="G19" s="130">
        <f>SUM(G13:G18)</f>
        <v>5.1000000000000005</v>
      </c>
    </row>
    <row r="20" spans="1:7" s="115" customFormat="1" ht="23">
      <c r="A20" s="116" t="s">
        <v>130</v>
      </c>
      <c r="B20" s="117"/>
      <c r="C20" s="118" t="s">
        <v>4</v>
      </c>
      <c r="D20" s="118" t="s">
        <v>66</v>
      </c>
      <c r="E20" s="119" t="s">
        <v>67</v>
      </c>
      <c r="F20" s="118" t="s">
        <v>765</v>
      </c>
      <c r="G20" s="118" t="s">
        <v>69</v>
      </c>
    </row>
    <row r="21" spans="1:7" s="115" customFormat="1" ht="11.5">
      <c r="A21" s="120" t="s">
        <v>172</v>
      </c>
      <c r="B21" s="121" t="s">
        <v>173</v>
      </c>
      <c r="C21" s="122" t="s">
        <v>24</v>
      </c>
      <c r="D21" s="122" t="s">
        <v>87</v>
      </c>
      <c r="E21" s="140">
        <v>1</v>
      </c>
      <c r="F21" s="124">
        <v>15.57</v>
      </c>
      <c r="G21" s="125">
        <f>TRUNC(TRUNC(E21,8)*F21,2)</f>
        <v>15.57</v>
      </c>
    </row>
    <row r="22" spans="1:7" s="115" customFormat="1" ht="11.5">
      <c r="A22" s="126"/>
      <c r="B22" s="127"/>
      <c r="C22" s="127"/>
      <c r="D22" s="127"/>
      <c r="E22" s="128" t="s">
        <v>592</v>
      </c>
      <c r="F22" s="129"/>
      <c r="G22" s="130">
        <f>SUM(G21:G21)</f>
        <v>15.57</v>
      </c>
    </row>
    <row r="23" spans="1:7" s="115" customFormat="1" ht="23">
      <c r="A23" s="116" t="s">
        <v>73</v>
      </c>
      <c r="B23" s="117"/>
      <c r="C23" s="118" t="s">
        <v>4</v>
      </c>
      <c r="D23" s="118" t="s">
        <v>66</v>
      </c>
      <c r="E23" s="119" t="s">
        <v>67</v>
      </c>
      <c r="F23" s="118" t="s">
        <v>765</v>
      </c>
      <c r="G23" s="118" t="s">
        <v>69</v>
      </c>
    </row>
    <row r="24" spans="1:7" s="115" customFormat="1" ht="23">
      <c r="A24" s="120" t="s">
        <v>346</v>
      </c>
      <c r="B24" s="121" t="s">
        <v>347</v>
      </c>
      <c r="C24" s="122" t="s">
        <v>24</v>
      </c>
      <c r="D24" s="122" t="s">
        <v>87</v>
      </c>
      <c r="E24" s="140">
        <v>1</v>
      </c>
      <c r="F24" s="124">
        <v>0.22</v>
      </c>
      <c r="G24" s="125">
        <f>TRUNC(TRUNC(E24,8)*F24,2)</f>
        <v>0.22</v>
      </c>
    </row>
    <row r="25" spans="1:7" s="115" customFormat="1" ht="11.5">
      <c r="A25" s="126"/>
      <c r="B25" s="127"/>
      <c r="C25" s="127"/>
      <c r="D25" s="127"/>
      <c r="E25" s="128" t="s">
        <v>77</v>
      </c>
      <c r="F25" s="129"/>
      <c r="G25" s="130">
        <f>SUM(G24:G24)</f>
        <v>0.22</v>
      </c>
    </row>
    <row r="26" spans="1:7" s="115" customFormat="1" ht="11.5">
      <c r="A26" s="126"/>
      <c r="B26" s="127"/>
      <c r="C26" s="127"/>
      <c r="D26" s="127"/>
      <c r="E26" s="131" t="s">
        <v>78</v>
      </c>
      <c r="F26" s="132">
        <f>A11</f>
        <v>88239</v>
      </c>
      <c r="G26" s="133">
        <f>SUM(G19,G22,G25)</f>
        <v>20.89</v>
      </c>
    </row>
    <row r="27" spans="1:7" s="115" customFormat="1" ht="11.5">
      <c r="A27" s="126"/>
      <c r="B27" s="127"/>
      <c r="C27" s="127"/>
      <c r="D27" s="127"/>
      <c r="E27" s="134"/>
      <c r="F27" s="135"/>
      <c r="G27" s="135"/>
    </row>
    <row r="28" spans="1:7" s="115" customFormat="1" ht="34.5">
      <c r="A28" s="113">
        <v>88626</v>
      </c>
      <c r="B28" s="114" t="s">
        <v>635</v>
      </c>
      <c r="C28" s="114"/>
      <c r="D28" s="114"/>
      <c r="E28" s="113"/>
      <c r="F28" s="114"/>
      <c r="G28" s="114"/>
    </row>
    <row r="29" spans="1:7" s="115" customFormat="1" ht="23">
      <c r="A29" s="116" t="s">
        <v>83</v>
      </c>
      <c r="B29" s="117"/>
      <c r="C29" s="118" t="s">
        <v>4</v>
      </c>
      <c r="D29" s="118" t="s">
        <v>66</v>
      </c>
      <c r="E29" s="119" t="s">
        <v>67</v>
      </c>
      <c r="F29" s="118" t="s">
        <v>765</v>
      </c>
      <c r="G29" s="118" t="s">
        <v>69</v>
      </c>
    </row>
    <row r="30" spans="1:7" s="115" customFormat="1" ht="34.5">
      <c r="A30" s="120" t="s">
        <v>593</v>
      </c>
      <c r="B30" s="121" t="s">
        <v>594</v>
      </c>
      <c r="C30" s="122" t="s">
        <v>24</v>
      </c>
      <c r="D30" s="122" t="s">
        <v>63</v>
      </c>
      <c r="E30" s="140">
        <v>2.98</v>
      </c>
      <c r="F30" s="124">
        <v>0.38</v>
      </c>
      <c r="G30" s="125">
        <f>TRUNC(TRUNC(E30,8)*F30,2)</f>
        <v>1.1299999999999999</v>
      </c>
    </row>
    <row r="31" spans="1:7" s="115" customFormat="1" ht="34.5">
      <c r="A31" s="120" t="s">
        <v>595</v>
      </c>
      <c r="B31" s="121" t="s">
        <v>596</v>
      </c>
      <c r="C31" s="122" t="s">
        <v>24</v>
      </c>
      <c r="D31" s="122" t="s">
        <v>64</v>
      </c>
      <c r="E31" s="140">
        <v>0.9</v>
      </c>
      <c r="F31" s="124">
        <v>1.65</v>
      </c>
      <c r="G31" s="125">
        <f>TRUNC(TRUNC(E31,8)*F31,2)</f>
        <v>1.48</v>
      </c>
    </row>
    <row r="32" spans="1:7" s="115" customFormat="1" ht="11.5">
      <c r="A32" s="126"/>
      <c r="B32" s="127"/>
      <c r="C32" s="127"/>
      <c r="D32" s="127"/>
      <c r="E32" s="128" t="s">
        <v>597</v>
      </c>
      <c r="F32" s="129"/>
      <c r="G32" s="130">
        <f>SUM(G30:G31)</f>
        <v>2.61</v>
      </c>
    </row>
    <row r="33" spans="1:7" s="115" customFormat="1" ht="23">
      <c r="A33" s="116" t="s">
        <v>79</v>
      </c>
      <c r="B33" s="117"/>
      <c r="C33" s="118" t="s">
        <v>4</v>
      </c>
      <c r="D33" s="118" t="s">
        <v>66</v>
      </c>
      <c r="E33" s="119" t="s">
        <v>67</v>
      </c>
      <c r="F33" s="118" t="s">
        <v>765</v>
      </c>
      <c r="G33" s="118" t="s">
        <v>69</v>
      </c>
    </row>
    <row r="34" spans="1:7" s="115" customFormat="1" ht="23">
      <c r="A34" s="120" t="s">
        <v>198</v>
      </c>
      <c r="B34" s="121" t="s">
        <v>199</v>
      </c>
      <c r="C34" s="122" t="s">
        <v>24</v>
      </c>
      <c r="D34" s="122" t="s">
        <v>40</v>
      </c>
      <c r="E34" s="140">
        <v>1.1299999999999999</v>
      </c>
      <c r="F34" s="124">
        <v>140</v>
      </c>
      <c r="G34" s="125">
        <f>TRUNC(TRUNC(E34,8)*F34,2)</f>
        <v>158.19999999999999</v>
      </c>
    </row>
    <row r="35" spans="1:7" s="115" customFormat="1" ht="11.5">
      <c r="A35" s="120" t="s">
        <v>598</v>
      </c>
      <c r="B35" s="121" t="s">
        <v>599</v>
      </c>
      <c r="C35" s="122" t="s">
        <v>24</v>
      </c>
      <c r="D35" s="122" t="s">
        <v>54</v>
      </c>
      <c r="E35" s="140">
        <v>75.47</v>
      </c>
      <c r="F35" s="124">
        <v>1.0900000000000001</v>
      </c>
      <c r="G35" s="125">
        <f>TRUNC(TRUNC(E35,8)*F35,2)</f>
        <v>82.26</v>
      </c>
    </row>
    <row r="36" spans="1:7" s="115" customFormat="1" ht="11.5">
      <c r="A36" s="120" t="s">
        <v>110</v>
      </c>
      <c r="B36" s="121" t="s">
        <v>111</v>
      </c>
      <c r="C36" s="122" t="s">
        <v>24</v>
      </c>
      <c r="D36" s="122" t="s">
        <v>54</v>
      </c>
      <c r="E36" s="140">
        <v>339.6</v>
      </c>
      <c r="F36" s="124">
        <v>0.7</v>
      </c>
      <c r="G36" s="125">
        <f>TRUNC(TRUNC(E36,8)*F36,2)</f>
        <v>237.72</v>
      </c>
    </row>
    <row r="37" spans="1:7" s="115" customFormat="1" ht="11.5">
      <c r="A37" s="126"/>
      <c r="B37" s="127"/>
      <c r="C37" s="127"/>
      <c r="D37" s="127"/>
      <c r="E37" s="128" t="s">
        <v>82</v>
      </c>
      <c r="F37" s="129"/>
      <c r="G37" s="130">
        <f>SUM(G34:G36)</f>
        <v>478.17999999999995</v>
      </c>
    </row>
    <row r="38" spans="1:7" s="115" customFormat="1" ht="23">
      <c r="A38" s="116" t="s">
        <v>65</v>
      </c>
      <c r="B38" s="117"/>
      <c r="C38" s="118" t="s">
        <v>4</v>
      </c>
      <c r="D38" s="118" t="s">
        <v>66</v>
      </c>
      <c r="E38" s="119" t="s">
        <v>67</v>
      </c>
      <c r="F38" s="118" t="s">
        <v>765</v>
      </c>
      <c r="G38" s="118" t="s">
        <v>69</v>
      </c>
    </row>
    <row r="39" spans="1:7" s="115" customFormat="1" ht="23">
      <c r="A39" s="120" t="s">
        <v>600</v>
      </c>
      <c r="B39" s="121" t="s">
        <v>601</v>
      </c>
      <c r="C39" s="122" t="s">
        <v>24</v>
      </c>
      <c r="D39" s="122" t="s">
        <v>87</v>
      </c>
      <c r="E39" s="140">
        <v>3.88</v>
      </c>
      <c r="F39" s="124">
        <v>16.64</v>
      </c>
      <c r="G39" s="125">
        <f>TRUNC(TRUNC(E39,8)*F39,2)</f>
        <v>64.56</v>
      </c>
    </row>
    <row r="40" spans="1:7" s="115" customFormat="1" ht="11.5">
      <c r="A40" s="126"/>
      <c r="B40" s="127"/>
      <c r="C40" s="127"/>
      <c r="D40" s="127"/>
      <c r="E40" s="128" t="s">
        <v>602</v>
      </c>
      <c r="F40" s="129"/>
      <c r="G40" s="130">
        <f>SUM(G39:G39)</f>
        <v>64.56</v>
      </c>
    </row>
    <row r="41" spans="1:7" s="115" customFormat="1" ht="11.5">
      <c r="A41" s="126"/>
      <c r="B41" s="127"/>
      <c r="C41" s="127"/>
      <c r="D41" s="127"/>
      <c r="E41" s="131" t="s">
        <v>78</v>
      </c>
      <c r="F41" s="132">
        <f>A28</f>
        <v>88626</v>
      </c>
      <c r="G41" s="133">
        <f>SUM(G32,G37,G40)</f>
        <v>545.34999999999991</v>
      </c>
    </row>
    <row r="42" spans="1:7" s="115" customFormat="1" ht="11.5">
      <c r="A42" s="126"/>
      <c r="B42" s="127"/>
      <c r="C42" s="127"/>
      <c r="D42" s="127"/>
      <c r="E42" s="134"/>
      <c r="F42" s="135"/>
      <c r="G42" s="135"/>
    </row>
    <row r="43" spans="1:7" s="115" customFormat="1" ht="23">
      <c r="A43" s="113">
        <v>88247</v>
      </c>
      <c r="B43" s="114" t="s">
        <v>399</v>
      </c>
      <c r="C43" s="114"/>
      <c r="D43" s="114"/>
      <c r="E43" s="113"/>
      <c r="F43" s="114"/>
      <c r="G43" s="114"/>
    </row>
    <row r="44" spans="1:7" s="115" customFormat="1" ht="23">
      <c r="A44" s="116" t="s">
        <v>145</v>
      </c>
      <c r="B44" s="117"/>
      <c r="C44" s="118" t="s">
        <v>4</v>
      </c>
      <c r="D44" s="118" t="s">
        <v>66</v>
      </c>
      <c r="E44" s="119" t="s">
        <v>67</v>
      </c>
      <c r="F44" s="118" t="s">
        <v>765</v>
      </c>
      <c r="G44" s="118" t="s">
        <v>69</v>
      </c>
    </row>
    <row r="45" spans="1:7" s="115" customFormat="1" ht="23">
      <c r="A45" s="120" t="s">
        <v>150</v>
      </c>
      <c r="B45" s="121" t="s">
        <v>151</v>
      </c>
      <c r="C45" s="122" t="s">
        <v>24</v>
      </c>
      <c r="D45" s="122" t="s">
        <v>87</v>
      </c>
      <c r="E45" s="140">
        <v>1</v>
      </c>
      <c r="F45" s="124">
        <v>0.92</v>
      </c>
      <c r="G45" s="125">
        <f t="shared" ref="G45:G50" si="1">TRUNC(TRUNC(E45,8)*F45,2)</f>
        <v>0.92</v>
      </c>
    </row>
    <row r="46" spans="1:7" s="115" customFormat="1" ht="23">
      <c r="A46" s="120" t="s">
        <v>156</v>
      </c>
      <c r="B46" s="121" t="s">
        <v>157</v>
      </c>
      <c r="C46" s="122" t="s">
        <v>24</v>
      </c>
      <c r="D46" s="122" t="s">
        <v>87</v>
      </c>
      <c r="E46" s="140">
        <v>1</v>
      </c>
      <c r="F46" s="124">
        <v>1.26</v>
      </c>
      <c r="G46" s="125">
        <f t="shared" si="1"/>
        <v>1.26</v>
      </c>
    </row>
    <row r="47" spans="1:7" s="115" customFormat="1" ht="23">
      <c r="A47" s="120" t="s">
        <v>143</v>
      </c>
      <c r="B47" s="121" t="s">
        <v>144</v>
      </c>
      <c r="C47" s="122" t="s">
        <v>24</v>
      </c>
      <c r="D47" s="122" t="s">
        <v>87</v>
      </c>
      <c r="E47" s="140">
        <v>1</v>
      </c>
      <c r="F47" s="124">
        <v>1.43</v>
      </c>
      <c r="G47" s="125">
        <f t="shared" si="1"/>
        <v>1.43</v>
      </c>
    </row>
    <row r="48" spans="1:7" s="115" customFormat="1" ht="23">
      <c r="A48" s="120" t="s">
        <v>160</v>
      </c>
      <c r="B48" s="121" t="s">
        <v>161</v>
      </c>
      <c r="C48" s="122" t="s">
        <v>24</v>
      </c>
      <c r="D48" s="122" t="s">
        <v>87</v>
      </c>
      <c r="E48" s="140">
        <v>1</v>
      </c>
      <c r="F48" s="124">
        <v>0.86</v>
      </c>
      <c r="G48" s="125">
        <f t="shared" si="1"/>
        <v>0.86</v>
      </c>
    </row>
    <row r="49" spans="1:7" s="115" customFormat="1" ht="23">
      <c r="A49" s="120" t="s">
        <v>202</v>
      </c>
      <c r="B49" s="121" t="s">
        <v>203</v>
      </c>
      <c r="C49" s="122" t="s">
        <v>24</v>
      </c>
      <c r="D49" s="122" t="s">
        <v>87</v>
      </c>
      <c r="E49" s="140">
        <v>1</v>
      </c>
      <c r="F49" s="124">
        <v>0.08</v>
      </c>
      <c r="G49" s="125">
        <f t="shared" si="1"/>
        <v>0.08</v>
      </c>
    </row>
    <row r="50" spans="1:7" s="115" customFormat="1" ht="23">
      <c r="A50" s="120" t="s">
        <v>154</v>
      </c>
      <c r="B50" s="121" t="s">
        <v>155</v>
      </c>
      <c r="C50" s="122" t="s">
        <v>24</v>
      </c>
      <c r="D50" s="122" t="s">
        <v>87</v>
      </c>
      <c r="E50" s="140">
        <v>1</v>
      </c>
      <c r="F50" s="124">
        <v>0.8</v>
      </c>
      <c r="G50" s="125">
        <f t="shared" si="1"/>
        <v>0.8</v>
      </c>
    </row>
    <row r="51" spans="1:7" s="115" customFormat="1" ht="11.5">
      <c r="A51" s="126"/>
      <c r="B51" s="127"/>
      <c r="C51" s="127"/>
      <c r="D51" s="127"/>
      <c r="E51" s="128" t="s">
        <v>591</v>
      </c>
      <c r="F51" s="129"/>
      <c r="G51" s="130">
        <f>SUM(G45:G50)</f>
        <v>5.3500000000000005</v>
      </c>
    </row>
    <row r="52" spans="1:7" s="115" customFormat="1" ht="23">
      <c r="A52" s="116" t="s">
        <v>130</v>
      </c>
      <c r="B52" s="117"/>
      <c r="C52" s="118" t="s">
        <v>4</v>
      </c>
      <c r="D52" s="118" t="s">
        <v>66</v>
      </c>
      <c r="E52" s="119" t="s">
        <v>67</v>
      </c>
      <c r="F52" s="118" t="s">
        <v>765</v>
      </c>
      <c r="G52" s="118" t="s">
        <v>69</v>
      </c>
    </row>
    <row r="53" spans="1:7" s="115" customFormat="1" ht="11.5">
      <c r="A53" s="120" t="s">
        <v>135</v>
      </c>
      <c r="B53" s="121" t="s">
        <v>136</v>
      </c>
      <c r="C53" s="122" t="s">
        <v>24</v>
      </c>
      <c r="D53" s="122" t="s">
        <v>87</v>
      </c>
      <c r="E53" s="140">
        <v>1</v>
      </c>
      <c r="F53" s="124">
        <v>15.57</v>
      </c>
      <c r="G53" s="125">
        <f>TRUNC(TRUNC(E53,8)*F53,2)</f>
        <v>15.57</v>
      </c>
    </row>
    <row r="54" spans="1:7" s="115" customFormat="1" ht="11.5">
      <c r="A54" s="126"/>
      <c r="B54" s="127"/>
      <c r="C54" s="127"/>
      <c r="D54" s="127"/>
      <c r="E54" s="128" t="s">
        <v>592</v>
      </c>
      <c r="F54" s="129"/>
      <c r="G54" s="130">
        <f>SUM(G53:G53)</f>
        <v>15.57</v>
      </c>
    </row>
    <row r="55" spans="1:7" s="115" customFormat="1" ht="23">
      <c r="A55" s="116" t="s">
        <v>73</v>
      </c>
      <c r="B55" s="117"/>
      <c r="C55" s="118" t="s">
        <v>4</v>
      </c>
      <c r="D55" s="118" t="s">
        <v>66</v>
      </c>
      <c r="E55" s="119" t="s">
        <v>67</v>
      </c>
      <c r="F55" s="118" t="s">
        <v>765</v>
      </c>
      <c r="G55" s="118" t="s">
        <v>69</v>
      </c>
    </row>
    <row r="56" spans="1:7" s="115" customFormat="1" ht="23">
      <c r="A56" s="120" t="s">
        <v>348</v>
      </c>
      <c r="B56" s="121" t="s">
        <v>349</v>
      </c>
      <c r="C56" s="122" t="s">
        <v>24</v>
      </c>
      <c r="D56" s="122" t="s">
        <v>87</v>
      </c>
      <c r="E56" s="140">
        <v>1</v>
      </c>
      <c r="F56" s="124">
        <v>0.57999999999999996</v>
      </c>
      <c r="G56" s="125">
        <f>TRUNC(TRUNC(E56,8)*F56,2)</f>
        <v>0.57999999999999996</v>
      </c>
    </row>
    <row r="57" spans="1:7" s="115" customFormat="1" ht="11.5">
      <c r="A57" s="126"/>
      <c r="B57" s="127"/>
      <c r="C57" s="127"/>
      <c r="D57" s="127"/>
      <c r="E57" s="128" t="s">
        <v>77</v>
      </c>
      <c r="F57" s="129"/>
      <c r="G57" s="130">
        <f>SUM(G56:G56)</f>
        <v>0.57999999999999996</v>
      </c>
    </row>
    <row r="58" spans="1:7" s="115" customFormat="1" ht="11.5">
      <c r="A58" s="126"/>
      <c r="B58" s="127"/>
      <c r="C58" s="127"/>
      <c r="D58" s="127"/>
      <c r="E58" s="131" t="s">
        <v>78</v>
      </c>
      <c r="F58" s="132">
        <f>A43</f>
        <v>88247</v>
      </c>
      <c r="G58" s="133">
        <f>SUM(G51,G54,G57)</f>
        <v>21.5</v>
      </c>
    </row>
    <row r="59" spans="1:7" s="115" customFormat="1" ht="11.5">
      <c r="A59" s="126"/>
      <c r="B59" s="127"/>
      <c r="C59" s="127"/>
      <c r="D59" s="127"/>
      <c r="E59" s="134"/>
      <c r="F59" s="135"/>
      <c r="G59" s="135"/>
    </row>
    <row r="60" spans="1:7" s="115" customFormat="1" ht="23">
      <c r="A60" s="113">
        <v>88248</v>
      </c>
      <c r="B60" s="114" t="s">
        <v>400</v>
      </c>
      <c r="C60" s="114"/>
      <c r="D60" s="114"/>
      <c r="E60" s="113"/>
      <c r="F60" s="114"/>
      <c r="G60" s="114"/>
    </row>
    <row r="61" spans="1:7" s="115" customFormat="1" ht="23">
      <c r="A61" s="116" t="s">
        <v>145</v>
      </c>
      <c r="B61" s="117"/>
      <c r="C61" s="118" t="s">
        <v>4</v>
      </c>
      <c r="D61" s="118" t="s">
        <v>66</v>
      </c>
      <c r="E61" s="119" t="s">
        <v>67</v>
      </c>
      <c r="F61" s="118" t="s">
        <v>765</v>
      </c>
      <c r="G61" s="118" t="s">
        <v>69</v>
      </c>
    </row>
    <row r="62" spans="1:7" s="115" customFormat="1" ht="23">
      <c r="A62" s="120" t="s">
        <v>150</v>
      </c>
      <c r="B62" s="121" t="s">
        <v>151</v>
      </c>
      <c r="C62" s="122" t="s">
        <v>24</v>
      </c>
      <c r="D62" s="122" t="s">
        <v>87</v>
      </c>
      <c r="E62" s="140">
        <v>1</v>
      </c>
      <c r="F62" s="124">
        <v>0.92</v>
      </c>
      <c r="G62" s="125">
        <f t="shared" ref="G62:G67" si="2">TRUNC(TRUNC(E62,8)*F62,2)</f>
        <v>0.92</v>
      </c>
    </row>
    <row r="63" spans="1:7" s="115" customFormat="1" ht="23">
      <c r="A63" s="120" t="s">
        <v>220</v>
      </c>
      <c r="B63" s="121" t="s">
        <v>221</v>
      </c>
      <c r="C63" s="122" t="s">
        <v>24</v>
      </c>
      <c r="D63" s="122" t="s">
        <v>87</v>
      </c>
      <c r="E63" s="140">
        <v>1</v>
      </c>
      <c r="F63" s="124">
        <v>1.1299999999999999</v>
      </c>
      <c r="G63" s="125">
        <f t="shared" si="2"/>
        <v>1.1299999999999999</v>
      </c>
    </row>
    <row r="64" spans="1:7" s="115" customFormat="1" ht="23">
      <c r="A64" s="120" t="s">
        <v>143</v>
      </c>
      <c r="B64" s="121" t="s">
        <v>144</v>
      </c>
      <c r="C64" s="122" t="s">
        <v>24</v>
      </c>
      <c r="D64" s="122" t="s">
        <v>87</v>
      </c>
      <c r="E64" s="140">
        <v>1</v>
      </c>
      <c r="F64" s="124">
        <v>1.43</v>
      </c>
      <c r="G64" s="125">
        <f t="shared" si="2"/>
        <v>1.43</v>
      </c>
    </row>
    <row r="65" spans="1:7" s="115" customFormat="1" ht="23">
      <c r="A65" s="120" t="s">
        <v>224</v>
      </c>
      <c r="B65" s="121" t="s">
        <v>225</v>
      </c>
      <c r="C65" s="122" t="s">
        <v>24</v>
      </c>
      <c r="D65" s="122" t="s">
        <v>87</v>
      </c>
      <c r="E65" s="140">
        <v>1</v>
      </c>
      <c r="F65" s="124">
        <v>0.31</v>
      </c>
      <c r="G65" s="125">
        <f t="shared" si="2"/>
        <v>0.31</v>
      </c>
    </row>
    <row r="66" spans="1:7" s="115" customFormat="1" ht="23">
      <c r="A66" s="120" t="s">
        <v>202</v>
      </c>
      <c r="B66" s="121" t="s">
        <v>203</v>
      </c>
      <c r="C66" s="122" t="s">
        <v>24</v>
      </c>
      <c r="D66" s="122" t="s">
        <v>87</v>
      </c>
      <c r="E66" s="140">
        <v>1</v>
      </c>
      <c r="F66" s="124">
        <v>0.08</v>
      </c>
      <c r="G66" s="125">
        <f t="shared" si="2"/>
        <v>0.08</v>
      </c>
    </row>
    <row r="67" spans="1:7" s="115" customFormat="1" ht="23">
      <c r="A67" s="120" t="s">
        <v>154</v>
      </c>
      <c r="B67" s="121" t="s">
        <v>155</v>
      </c>
      <c r="C67" s="122" t="s">
        <v>24</v>
      </c>
      <c r="D67" s="122" t="s">
        <v>87</v>
      </c>
      <c r="E67" s="140">
        <v>1</v>
      </c>
      <c r="F67" s="124">
        <v>0.8</v>
      </c>
      <c r="G67" s="125">
        <f t="shared" si="2"/>
        <v>0.8</v>
      </c>
    </row>
    <row r="68" spans="1:7" s="115" customFormat="1" ht="11.5">
      <c r="A68" s="126"/>
      <c r="B68" s="127"/>
      <c r="C68" s="127"/>
      <c r="D68" s="127"/>
      <c r="E68" s="128" t="s">
        <v>591</v>
      </c>
      <c r="F68" s="129"/>
      <c r="G68" s="130">
        <f>SUM(G62:G67)</f>
        <v>4.67</v>
      </c>
    </row>
    <row r="69" spans="1:7" s="115" customFormat="1" ht="23">
      <c r="A69" s="116" t="s">
        <v>130</v>
      </c>
      <c r="B69" s="117"/>
      <c r="C69" s="118" t="s">
        <v>4</v>
      </c>
      <c r="D69" s="118" t="s">
        <v>66</v>
      </c>
      <c r="E69" s="119" t="s">
        <v>67</v>
      </c>
      <c r="F69" s="118" t="s">
        <v>765</v>
      </c>
      <c r="G69" s="118" t="s">
        <v>69</v>
      </c>
    </row>
    <row r="70" spans="1:7" s="115" customFormat="1" ht="23">
      <c r="A70" s="120" t="s">
        <v>216</v>
      </c>
      <c r="B70" s="121" t="s">
        <v>217</v>
      </c>
      <c r="C70" s="122" t="s">
        <v>24</v>
      </c>
      <c r="D70" s="122" t="s">
        <v>87</v>
      </c>
      <c r="E70" s="140">
        <v>1</v>
      </c>
      <c r="F70" s="124">
        <v>15.57</v>
      </c>
      <c r="G70" s="125">
        <f>TRUNC(TRUNC(E70,8)*F70,2)</f>
        <v>15.57</v>
      </c>
    </row>
    <row r="71" spans="1:7" s="115" customFormat="1" ht="11.5">
      <c r="A71" s="126"/>
      <c r="B71" s="127"/>
      <c r="C71" s="127"/>
      <c r="D71" s="127"/>
      <c r="E71" s="128" t="s">
        <v>592</v>
      </c>
      <c r="F71" s="129"/>
      <c r="G71" s="130">
        <f>SUM(G70:G70)</f>
        <v>15.57</v>
      </c>
    </row>
    <row r="72" spans="1:7" s="115" customFormat="1" ht="23">
      <c r="A72" s="116" t="s">
        <v>73</v>
      </c>
      <c r="B72" s="117"/>
      <c r="C72" s="118" t="s">
        <v>4</v>
      </c>
      <c r="D72" s="118" t="s">
        <v>66</v>
      </c>
      <c r="E72" s="119" t="s">
        <v>67</v>
      </c>
      <c r="F72" s="118" t="s">
        <v>765</v>
      </c>
      <c r="G72" s="118" t="s">
        <v>69</v>
      </c>
    </row>
    <row r="73" spans="1:7" s="115" customFormat="1" ht="34.5">
      <c r="A73" s="120" t="s">
        <v>350</v>
      </c>
      <c r="B73" s="121" t="s">
        <v>351</v>
      </c>
      <c r="C73" s="122" t="s">
        <v>24</v>
      </c>
      <c r="D73" s="122" t="s">
        <v>87</v>
      </c>
      <c r="E73" s="140">
        <v>1</v>
      </c>
      <c r="F73" s="124">
        <v>0.27</v>
      </c>
      <c r="G73" s="125">
        <f>TRUNC(TRUNC(E73,8)*F73,2)</f>
        <v>0.27</v>
      </c>
    </row>
    <row r="74" spans="1:7" s="115" customFormat="1" ht="11.5">
      <c r="A74" s="126"/>
      <c r="B74" s="127"/>
      <c r="C74" s="127"/>
      <c r="D74" s="127"/>
      <c r="E74" s="128" t="s">
        <v>77</v>
      </c>
      <c r="F74" s="129"/>
      <c r="G74" s="130">
        <f>SUM(G73:G73)</f>
        <v>0.27</v>
      </c>
    </row>
    <row r="75" spans="1:7" s="115" customFormat="1" ht="11.5">
      <c r="A75" s="126"/>
      <c r="B75" s="127"/>
      <c r="C75" s="127"/>
      <c r="D75" s="127"/>
      <c r="E75" s="131" t="s">
        <v>78</v>
      </c>
      <c r="F75" s="132">
        <f>A60</f>
        <v>88248</v>
      </c>
      <c r="G75" s="133">
        <f>SUM(G68,G71,G74)</f>
        <v>20.51</v>
      </c>
    </row>
    <row r="76" spans="1:7" s="115" customFormat="1" ht="11.5">
      <c r="A76" s="126"/>
      <c r="B76" s="127"/>
      <c r="C76" s="127"/>
      <c r="D76" s="127"/>
      <c r="E76" s="134"/>
      <c r="F76" s="135"/>
      <c r="G76" s="135"/>
    </row>
    <row r="77" spans="1:7" s="115" customFormat="1" ht="34.5">
      <c r="A77" s="113">
        <v>88831</v>
      </c>
      <c r="B77" s="114" t="s">
        <v>636</v>
      </c>
      <c r="C77" s="114"/>
      <c r="D77" s="114"/>
      <c r="E77" s="113"/>
      <c r="F77" s="114"/>
      <c r="G77" s="114"/>
    </row>
    <row r="78" spans="1:7" s="115" customFormat="1" ht="23">
      <c r="A78" s="116" t="s">
        <v>73</v>
      </c>
      <c r="B78" s="117"/>
      <c r="C78" s="118" t="s">
        <v>4</v>
      </c>
      <c r="D78" s="118" t="s">
        <v>66</v>
      </c>
      <c r="E78" s="119" t="s">
        <v>67</v>
      </c>
      <c r="F78" s="118" t="s">
        <v>765</v>
      </c>
      <c r="G78" s="118" t="s">
        <v>69</v>
      </c>
    </row>
    <row r="79" spans="1:7" s="115" customFormat="1" ht="34.5">
      <c r="A79" s="120" t="s">
        <v>603</v>
      </c>
      <c r="B79" s="121" t="s">
        <v>604</v>
      </c>
      <c r="C79" s="122" t="s">
        <v>24</v>
      </c>
      <c r="D79" s="122" t="s">
        <v>87</v>
      </c>
      <c r="E79" s="140">
        <v>1</v>
      </c>
      <c r="F79" s="124">
        <v>0.31</v>
      </c>
      <c r="G79" s="125">
        <f>TRUNC(TRUNC(E79,8)*F79,2)</f>
        <v>0.31</v>
      </c>
    </row>
    <row r="80" spans="1:7" s="115" customFormat="1" ht="34.5">
      <c r="A80" s="120" t="s">
        <v>605</v>
      </c>
      <c r="B80" s="121" t="s">
        <v>606</v>
      </c>
      <c r="C80" s="122" t="s">
        <v>24</v>
      </c>
      <c r="D80" s="122" t="s">
        <v>87</v>
      </c>
      <c r="E80" s="140">
        <v>1</v>
      </c>
      <c r="F80" s="124">
        <v>7.0000000000000007E-2</v>
      </c>
      <c r="G80" s="125">
        <f>TRUNC(TRUNC(E80,8)*F80,2)</f>
        <v>7.0000000000000007E-2</v>
      </c>
    </row>
    <row r="81" spans="1:7" s="115" customFormat="1" ht="11.5">
      <c r="A81" s="126"/>
      <c r="B81" s="127"/>
      <c r="C81" s="127"/>
      <c r="D81" s="127"/>
      <c r="E81" s="128" t="s">
        <v>77</v>
      </c>
      <c r="F81" s="129"/>
      <c r="G81" s="130">
        <f>SUM(G79:G80)</f>
        <v>0.38</v>
      </c>
    </row>
    <row r="82" spans="1:7" s="115" customFormat="1" ht="11.5">
      <c r="A82" s="126"/>
      <c r="B82" s="127"/>
      <c r="C82" s="127"/>
      <c r="D82" s="127"/>
      <c r="E82" s="131" t="s">
        <v>78</v>
      </c>
      <c r="F82" s="132">
        <f>A77</f>
        <v>88831</v>
      </c>
      <c r="G82" s="133">
        <f>SUM(G81)</f>
        <v>0.38</v>
      </c>
    </row>
    <row r="83" spans="1:7" s="115" customFormat="1" ht="11.5">
      <c r="A83" s="126"/>
      <c r="B83" s="127"/>
      <c r="C83" s="127"/>
      <c r="D83" s="127"/>
      <c r="E83" s="134"/>
      <c r="F83" s="135"/>
      <c r="G83" s="135"/>
    </row>
    <row r="84" spans="1:7" s="115" customFormat="1" ht="46">
      <c r="A84" s="113">
        <v>88830</v>
      </c>
      <c r="B84" s="114" t="s">
        <v>637</v>
      </c>
      <c r="C84" s="114"/>
      <c r="D84" s="114"/>
      <c r="E84" s="113"/>
      <c r="F84" s="114"/>
      <c r="G84" s="114"/>
    </row>
    <row r="85" spans="1:7" s="115" customFormat="1" ht="23">
      <c r="A85" s="116" t="s">
        <v>73</v>
      </c>
      <c r="B85" s="117"/>
      <c r="C85" s="118" t="s">
        <v>4</v>
      </c>
      <c r="D85" s="118" t="s">
        <v>66</v>
      </c>
      <c r="E85" s="119" t="s">
        <v>67</v>
      </c>
      <c r="F85" s="118" t="s">
        <v>765</v>
      </c>
      <c r="G85" s="118" t="s">
        <v>69</v>
      </c>
    </row>
    <row r="86" spans="1:7" s="115" customFormat="1" ht="34.5">
      <c r="A86" s="120" t="s">
        <v>603</v>
      </c>
      <c r="B86" s="121" t="s">
        <v>604</v>
      </c>
      <c r="C86" s="122" t="s">
        <v>24</v>
      </c>
      <c r="D86" s="122" t="s">
        <v>87</v>
      </c>
      <c r="E86" s="140">
        <v>1</v>
      </c>
      <c r="F86" s="124">
        <v>0.31</v>
      </c>
      <c r="G86" s="125">
        <f>TRUNC(TRUNC(E86,8)*F86,2)</f>
        <v>0.31</v>
      </c>
    </row>
    <row r="87" spans="1:7" s="115" customFormat="1" ht="34.5">
      <c r="A87" s="120" t="s">
        <v>605</v>
      </c>
      <c r="B87" s="121" t="s">
        <v>606</v>
      </c>
      <c r="C87" s="122" t="s">
        <v>24</v>
      </c>
      <c r="D87" s="122" t="s">
        <v>87</v>
      </c>
      <c r="E87" s="140">
        <v>1</v>
      </c>
      <c r="F87" s="124">
        <v>7.0000000000000007E-2</v>
      </c>
      <c r="G87" s="125">
        <f>TRUNC(TRUNC(E87,8)*F87,2)</f>
        <v>7.0000000000000007E-2</v>
      </c>
    </row>
    <row r="88" spans="1:7" s="115" customFormat="1" ht="34.5">
      <c r="A88" s="120" t="s">
        <v>607</v>
      </c>
      <c r="B88" s="121" t="s">
        <v>608</v>
      </c>
      <c r="C88" s="122" t="s">
        <v>24</v>
      </c>
      <c r="D88" s="122" t="s">
        <v>87</v>
      </c>
      <c r="E88" s="140">
        <v>1</v>
      </c>
      <c r="F88" s="124">
        <v>0.34</v>
      </c>
      <c r="G88" s="125">
        <f>TRUNC(TRUNC(E88,8)*F88,2)</f>
        <v>0.34</v>
      </c>
    </row>
    <row r="89" spans="1:7" s="115" customFormat="1" ht="46">
      <c r="A89" s="120" t="s">
        <v>609</v>
      </c>
      <c r="B89" s="121" t="s">
        <v>610</v>
      </c>
      <c r="C89" s="122" t="s">
        <v>24</v>
      </c>
      <c r="D89" s="122" t="s">
        <v>87</v>
      </c>
      <c r="E89" s="140">
        <v>1</v>
      </c>
      <c r="F89" s="124">
        <v>0.93</v>
      </c>
      <c r="G89" s="125">
        <f>TRUNC(TRUNC(E89,8)*F89,2)</f>
        <v>0.93</v>
      </c>
    </row>
    <row r="90" spans="1:7" s="115" customFormat="1" ht="11.5">
      <c r="A90" s="126"/>
      <c r="B90" s="127"/>
      <c r="C90" s="127"/>
      <c r="D90" s="127"/>
      <c r="E90" s="128" t="s">
        <v>77</v>
      </c>
      <c r="F90" s="129"/>
      <c r="G90" s="130">
        <f>SUM(G86:G89)</f>
        <v>1.65</v>
      </c>
    </row>
    <row r="91" spans="1:7" s="115" customFormat="1" ht="11.5">
      <c r="A91" s="126"/>
      <c r="B91" s="127"/>
      <c r="C91" s="127"/>
      <c r="D91" s="127"/>
      <c r="E91" s="131" t="s">
        <v>78</v>
      </c>
      <c r="F91" s="132">
        <f>A84</f>
        <v>88830</v>
      </c>
      <c r="G91" s="133">
        <f>SUM(G90)</f>
        <v>1.65</v>
      </c>
    </row>
    <row r="92" spans="1:7" s="115" customFormat="1" ht="11.5">
      <c r="A92" s="126"/>
      <c r="B92" s="127"/>
      <c r="C92" s="127"/>
      <c r="D92" s="127"/>
      <c r="E92" s="134"/>
      <c r="F92" s="135"/>
      <c r="G92" s="135"/>
    </row>
    <row r="93" spans="1:7" s="115" customFormat="1" ht="46">
      <c r="A93" s="113">
        <v>88826</v>
      </c>
      <c r="B93" s="114" t="s">
        <v>638</v>
      </c>
      <c r="C93" s="114"/>
      <c r="D93" s="114"/>
      <c r="E93" s="113"/>
      <c r="F93" s="114"/>
      <c r="G93" s="114"/>
    </row>
    <row r="94" spans="1:7" s="115" customFormat="1" ht="23">
      <c r="A94" s="116" t="s">
        <v>89</v>
      </c>
      <c r="B94" s="117"/>
      <c r="C94" s="118" t="s">
        <v>4</v>
      </c>
      <c r="D94" s="118" t="s">
        <v>66</v>
      </c>
      <c r="E94" s="119" t="s">
        <v>67</v>
      </c>
      <c r="F94" s="118" t="s">
        <v>765</v>
      </c>
      <c r="G94" s="118" t="s">
        <v>69</v>
      </c>
    </row>
    <row r="95" spans="1:7" s="115" customFormat="1" ht="34.5">
      <c r="A95" s="120" t="s">
        <v>611</v>
      </c>
      <c r="B95" s="121" t="s">
        <v>612</v>
      </c>
      <c r="C95" s="122" t="s">
        <v>24</v>
      </c>
      <c r="D95" s="122" t="s">
        <v>12</v>
      </c>
      <c r="E95" s="136">
        <v>6.3999999999999997E-5</v>
      </c>
      <c r="F95" s="124">
        <v>4900</v>
      </c>
      <c r="G95" s="125">
        <f>TRUNC(TRUNC(E95,8)*F95,2)</f>
        <v>0.31</v>
      </c>
    </row>
    <row r="96" spans="1:7" s="115" customFormat="1" ht="11.5">
      <c r="A96" s="126"/>
      <c r="B96" s="127"/>
      <c r="C96" s="127"/>
      <c r="D96" s="127"/>
      <c r="E96" s="128" t="s">
        <v>90</v>
      </c>
      <c r="F96" s="129"/>
      <c r="G96" s="130">
        <f>SUM(G95:G95)</f>
        <v>0.31</v>
      </c>
    </row>
    <row r="97" spans="1:7" s="115" customFormat="1" ht="11.5">
      <c r="A97" s="126"/>
      <c r="B97" s="127"/>
      <c r="C97" s="127"/>
      <c r="D97" s="127"/>
      <c r="E97" s="131" t="s">
        <v>78</v>
      </c>
      <c r="F97" s="132"/>
      <c r="G97" s="133">
        <f>SUM(G96)</f>
        <v>0.31</v>
      </c>
    </row>
    <row r="98" spans="1:7" s="115" customFormat="1" ht="11.5">
      <c r="A98" s="126"/>
      <c r="B98" s="127"/>
      <c r="C98" s="127"/>
      <c r="D98" s="127"/>
      <c r="E98" s="134"/>
      <c r="F98" s="135"/>
      <c r="G98" s="135"/>
    </row>
    <row r="99" spans="1:7" s="115" customFormat="1" ht="34.5">
      <c r="A99" s="113">
        <v>88827</v>
      </c>
      <c r="B99" s="114" t="s">
        <v>639</v>
      </c>
      <c r="C99" s="114"/>
      <c r="D99" s="114"/>
      <c r="E99" s="113"/>
      <c r="F99" s="114"/>
      <c r="G99" s="114"/>
    </row>
    <row r="100" spans="1:7" s="115" customFormat="1" ht="23">
      <c r="A100" s="116" t="s">
        <v>89</v>
      </c>
      <c r="B100" s="117"/>
      <c r="C100" s="118" t="s">
        <v>4</v>
      </c>
      <c r="D100" s="118" t="s">
        <v>66</v>
      </c>
      <c r="E100" s="119" t="s">
        <v>67</v>
      </c>
      <c r="F100" s="118" t="s">
        <v>765</v>
      </c>
      <c r="G100" s="118" t="s">
        <v>69</v>
      </c>
    </row>
    <row r="101" spans="1:7" s="115" customFormat="1" ht="34.5">
      <c r="A101" s="120" t="s">
        <v>611</v>
      </c>
      <c r="B101" s="121" t="s">
        <v>612</v>
      </c>
      <c r="C101" s="122" t="s">
        <v>24</v>
      </c>
      <c r="D101" s="122" t="s">
        <v>12</v>
      </c>
      <c r="E101" s="141">
        <v>1.4800000000000001E-5</v>
      </c>
      <c r="F101" s="124">
        <v>4900</v>
      </c>
      <c r="G101" s="125">
        <f>TRUNC(TRUNC(E101,8)*F101,2)</f>
        <v>7.0000000000000007E-2</v>
      </c>
    </row>
    <row r="102" spans="1:7" s="115" customFormat="1" ht="11.5">
      <c r="A102" s="126"/>
      <c r="B102" s="127"/>
      <c r="C102" s="127"/>
      <c r="D102" s="127"/>
      <c r="E102" s="128" t="s">
        <v>90</v>
      </c>
      <c r="F102" s="129"/>
      <c r="G102" s="130">
        <f>SUM(G101:G101)</f>
        <v>7.0000000000000007E-2</v>
      </c>
    </row>
    <row r="103" spans="1:7" s="115" customFormat="1" ht="11.5">
      <c r="A103" s="126"/>
      <c r="B103" s="127"/>
      <c r="C103" s="127"/>
      <c r="D103" s="127"/>
      <c r="E103" s="131" t="s">
        <v>78</v>
      </c>
      <c r="F103" s="132">
        <f>A93</f>
        <v>88826</v>
      </c>
      <c r="G103" s="133">
        <f>SUM(G102)</f>
        <v>7.0000000000000007E-2</v>
      </c>
    </row>
    <row r="104" spans="1:7" s="115" customFormat="1" ht="11.5">
      <c r="A104" s="126"/>
      <c r="B104" s="127"/>
      <c r="C104" s="127"/>
      <c r="D104" s="127"/>
      <c r="E104" s="134"/>
      <c r="F104" s="135"/>
      <c r="G104" s="135"/>
    </row>
    <row r="105" spans="1:7" s="115" customFormat="1" ht="34.5">
      <c r="A105" s="113">
        <v>88828</v>
      </c>
      <c r="B105" s="114" t="s">
        <v>640</v>
      </c>
      <c r="C105" s="114"/>
      <c r="D105" s="114"/>
      <c r="E105" s="113"/>
      <c r="F105" s="114"/>
      <c r="G105" s="114"/>
    </row>
    <row r="106" spans="1:7" s="115" customFormat="1" ht="23">
      <c r="A106" s="116" t="s">
        <v>89</v>
      </c>
      <c r="B106" s="117"/>
      <c r="C106" s="118" t="s">
        <v>4</v>
      </c>
      <c r="D106" s="118" t="s">
        <v>66</v>
      </c>
      <c r="E106" s="119" t="s">
        <v>67</v>
      </c>
      <c r="F106" s="118" t="s">
        <v>765</v>
      </c>
      <c r="G106" s="118" t="s">
        <v>69</v>
      </c>
    </row>
    <row r="107" spans="1:7" s="115" customFormat="1" ht="34.5">
      <c r="A107" s="120" t="s">
        <v>611</v>
      </c>
      <c r="B107" s="121" t="s">
        <v>612</v>
      </c>
      <c r="C107" s="122" t="s">
        <v>24</v>
      </c>
      <c r="D107" s="122" t="s">
        <v>12</v>
      </c>
      <c r="E107" s="141">
        <v>6.9999999999999994E-5</v>
      </c>
      <c r="F107" s="124">
        <v>4900</v>
      </c>
      <c r="G107" s="125">
        <f>TRUNC(TRUNC(E107,8)*F107,2)</f>
        <v>0.34</v>
      </c>
    </row>
    <row r="108" spans="1:7" s="115" customFormat="1" ht="11.5">
      <c r="A108" s="126"/>
      <c r="B108" s="127"/>
      <c r="C108" s="127"/>
      <c r="D108" s="127"/>
      <c r="E108" s="128" t="s">
        <v>90</v>
      </c>
      <c r="F108" s="129"/>
      <c r="G108" s="130">
        <f>SUM(G107:G107)</f>
        <v>0.34</v>
      </c>
    </row>
    <row r="109" spans="1:7" s="115" customFormat="1" ht="11.5">
      <c r="A109" s="126"/>
      <c r="B109" s="127"/>
      <c r="C109" s="127"/>
      <c r="D109" s="127"/>
      <c r="E109" s="131" t="s">
        <v>78</v>
      </c>
      <c r="F109" s="132">
        <f>A105</f>
        <v>88828</v>
      </c>
      <c r="G109" s="133">
        <f>SUM(G108)</f>
        <v>0.34</v>
      </c>
    </row>
    <row r="110" spans="1:7" s="115" customFormat="1" ht="11.5">
      <c r="A110" s="126"/>
      <c r="B110" s="127"/>
      <c r="C110" s="127"/>
      <c r="D110" s="127"/>
      <c r="E110" s="134"/>
      <c r="F110" s="135"/>
      <c r="G110" s="135"/>
    </row>
    <row r="111" spans="1:7" s="115" customFormat="1" ht="46">
      <c r="A111" s="113">
        <v>88829</v>
      </c>
      <c r="B111" s="114" t="s">
        <v>641</v>
      </c>
      <c r="C111" s="114"/>
      <c r="D111" s="114"/>
      <c r="E111" s="113"/>
      <c r="F111" s="114"/>
      <c r="G111" s="114"/>
    </row>
    <row r="112" spans="1:7" s="115" customFormat="1" ht="23">
      <c r="A112" s="116" t="s">
        <v>210</v>
      </c>
      <c r="B112" s="117"/>
      <c r="C112" s="118" t="s">
        <v>4</v>
      </c>
      <c r="D112" s="118" t="s">
        <v>66</v>
      </c>
      <c r="E112" s="119" t="s">
        <v>67</v>
      </c>
      <c r="F112" s="118" t="s">
        <v>765</v>
      </c>
      <c r="G112" s="118" t="s">
        <v>69</v>
      </c>
    </row>
    <row r="113" spans="1:7" s="115" customFormat="1" ht="23">
      <c r="A113" s="120" t="s">
        <v>208</v>
      </c>
      <c r="B113" s="121" t="s">
        <v>209</v>
      </c>
      <c r="C113" s="122" t="s">
        <v>24</v>
      </c>
      <c r="D113" s="122" t="s">
        <v>211</v>
      </c>
      <c r="E113" s="138">
        <v>1.25</v>
      </c>
      <c r="F113" s="124">
        <v>0.75</v>
      </c>
      <c r="G113" s="125">
        <f>TRUNC(TRUNC(E113,8)*F113,2)</f>
        <v>0.93</v>
      </c>
    </row>
    <row r="114" spans="1:7" s="115" customFormat="1" ht="11.5">
      <c r="A114" s="126"/>
      <c r="B114" s="127"/>
      <c r="C114" s="127"/>
      <c r="D114" s="127"/>
      <c r="E114" s="128" t="s">
        <v>362</v>
      </c>
      <c r="F114" s="129"/>
      <c r="G114" s="130">
        <f>SUM(G113:G113)</f>
        <v>0.93</v>
      </c>
    </row>
    <row r="115" spans="1:7" s="115" customFormat="1" ht="11.5">
      <c r="A115" s="126"/>
      <c r="B115" s="127"/>
      <c r="C115" s="127"/>
      <c r="D115" s="127"/>
      <c r="E115" s="131" t="s">
        <v>78</v>
      </c>
      <c r="F115" s="132">
        <f>A111</f>
        <v>88829</v>
      </c>
      <c r="G115" s="133">
        <f>SUM(G114)</f>
        <v>0.93</v>
      </c>
    </row>
    <row r="116" spans="1:7" s="115" customFormat="1" ht="11.5">
      <c r="A116" s="126"/>
      <c r="B116" s="127"/>
      <c r="C116" s="127"/>
      <c r="D116" s="127"/>
      <c r="E116" s="134"/>
      <c r="F116" s="135"/>
      <c r="G116" s="135"/>
    </row>
    <row r="117" spans="1:7" s="115" customFormat="1" ht="23">
      <c r="A117" s="113">
        <v>88262</v>
      </c>
      <c r="B117" s="114" t="s">
        <v>402</v>
      </c>
      <c r="C117" s="114"/>
      <c r="D117" s="114"/>
      <c r="E117" s="113"/>
      <c r="F117" s="114"/>
      <c r="G117" s="114"/>
    </row>
    <row r="118" spans="1:7" s="115" customFormat="1" ht="23">
      <c r="A118" s="116" t="s">
        <v>145</v>
      </c>
      <c r="B118" s="117"/>
      <c r="C118" s="118" t="s">
        <v>4</v>
      </c>
      <c r="D118" s="118" t="s">
        <v>66</v>
      </c>
      <c r="E118" s="119" t="s">
        <v>67</v>
      </c>
      <c r="F118" s="118" t="s">
        <v>765</v>
      </c>
      <c r="G118" s="118" t="s">
        <v>69</v>
      </c>
    </row>
    <row r="119" spans="1:7" s="115" customFormat="1" ht="23">
      <c r="A119" s="120" t="s">
        <v>150</v>
      </c>
      <c r="B119" s="121" t="s">
        <v>151</v>
      </c>
      <c r="C119" s="122" t="s">
        <v>24</v>
      </c>
      <c r="D119" s="122" t="s">
        <v>87</v>
      </c>
      <c r="E119" s="140">
        <v>1</v>
      </c>
      <c r="F119" s="124">
        <v>0.92</v>
      </c>
      <c r="G119" s="125">
        <f t="shared" ref="G119:G124" si="3">TRUNC(TRUNC(E119,8)*F119,2)</f>
        <v>0.92</v>
      </c>
    </row>
    <row r="120" spans="1:7" s="115" customFormat="1" ht="23">
      <c r="A120" s="120" t="s">
        <v>186</v>
      </c>
      <c r="B120" s="121" t="s">
        <v>187</v>
      </c>
      <c r="C120" s="122" t="s">
        <v>24</v>
      </c>
      <c r="D120" s="122" t="s">
        <v>87</v>
      </c>
      <c r="E120" s="140">
        <v>1</v>
      </c>
      <c r="F120" s="124">
        <v>1.43</v>
      </c>
      <c r="G120" s="125">
        <f t="shared" si="3"/>
        <v>1.43</v>
      </c>
    </row>
    <row r="121" spans="1:7" s="115" customFormat="1" ht="23">
      <c r="A121" s="120" t="s">
        <v>143</v>
      </c>
      <c r="B121" s="121" t="s">
        <v>144</v>
      </c>
      <c r="C121" s="122" t="s">
        <v>24</v>
      </c>
      <c r="D121" s="122" t="s">
        <v>87</v>
      </c>
      <c r="E121" s="140">
        <v>1</v>
      </c>
      <c r="F121" s="124">
        <v>1.43</v>
      </c>
      <c r="G121" s="125">
        <f t="shared" si="3"/>
        <v>1.43</v>
      </c>
    </row>
    <row r="122" spans="1:7" s="115" customFormat="1" ht="34.5">
      <c r="A122" s="120" t="s">
        <v>196</v>
      </c>
      <c r="B122" s="121" t="s">
        <v>197</v>
      </c>
      <c r="C122" s="122" t="s">
        <v>24</v>
      </c>
      <c r="D122" s="122" t="s">
        <v>87</v>
      </c>
      <c r="E122" s="140">
        <v>1</v>
      </c>
      <c r="F122" s="124">
        <v>0.44</v>
      </c>
      <c r="G122" s="125">
        <f t="shared" si="3"/>
        <v>0.44</v>
      </c>
    </row>
    <row r="123" spans="1:7" s="115" customFormat="1" ht="23">
      <c r="A123" s="120" t="s">
        <v>202</v>
      </c>
      <c r="B123" s="121" t="s">
        <v>203</v>
      </c>
      <c r="C123" s="122" t="s">
        <v>24</v>
      </c>
      <c r="D123" s="122" t="s">
        <v>87</v>
      </c>
      <c r="E123" s="140">
        <v>1</v>
      </c>
      <c r="F123" s="124">
        <v>0.08</v>
      </c>
      <c r="G123" s="125">
        <f t="shared" si="3"/>
        <v>0.08</v>
      </c>
    </row>
    <row r="124" spans="1:7" s="115" customFormat="1" ht="23">
      <c r="A124" s="120" t="s">
        <v>154</v>
      </c>
      <c r="B124" s="121" t="s">
        <v>155</v>
      </c>
      <c r="C124" s="122" t="s">
        <v>24</v>
      </c>
      <c r="D124" s="122" t="s">
        <v>87</v>
      </c>
      <c r="E124" s="140">
        <v>1</v>
      </c>
      <c r="F124" s="124">
        <v>0.8</v>
      </c>
      <c r="G124" s="125">
        <f t="shared" si="3"/>
        <v>0.8</v>
      </c>
    </row>
    <row r="125" spans="1:7" s="115" customFormat="1" ht="11.5">
      <c r="A125" s="126"/>
      <c r="B125" s="127"/>
      <c r="C125" s="127"/>
      <c r="D125" s="127"/>
      <c r="E125" s="128" t="s">
        <v>591</v>
      </c>
      <c r="F125" s="129"/>
      <c r="G125" s="130">
        <f>SUM(G119:G124)</f>
        <v>5.1000000000000005</v>
      </c>
    </row>
    <row r="126" spans="1:7" s="115" customFormat="1" ht="23">
      <c r="A126" s="116" t="s">
        <v>130</v>
      </c>
      <c r="B126" s="117"/>
      <c r="C126" s="118" t="s">
        <v>4</v>
      </c>
      <c r="D126" s="118" t="s">
        <v>66</v>
      </c>
      <c r="E126" s="119" t="s">
        <v>67</v>
      </c>
      <c r="F126" s="118" t="s">
        <v>765</v>
      </c>
      <c r="G126" s="118" t="s">
        <v>69</v>
      </c>
    </row>
    <row r="127" spans="1:7" s="115" customFormat="1" ht="11.5">
      <c r="A127" s="120" t="s">
        <v>164</v>
      </c>
      <c r="B127" s="121" t="s">
        <v>165</v>
      </c>
      <c r="C127" s="122" t="s">
        <v>24</v>
      </c>
      <c r="D127" s="122" t="s">
        <v>87</v>
      </c>
      <c r="E127" s="140">
        <v>1</v>
      </c>
      <c r="F127" s="124">
        <v>19.260000000000002</v>
      </c>
      <c r="G127" s="125">
        <f>TRUNC(TRUNC(E127,8)*F127,2)</f>
        <v>19.260000000000002</v>
      </c>
    </row>
    <row r="128" spans="1:7" s="115" customFormat="1" ht="11.5">
      <c r="A128" s="126"/>
      <c r="B128" s="127"/>
      <c r="C128" s="127"/>
      <c r="D128" s="127"/>
      <c r="E128" s="128" t="s">
        <v>592</v>
      </c>
      <c r="F128" s="129"/>
      <c r="G128" s="130">
        <f>SUM(G127:G127)</f>
        <v>19.260000000000002</v>
      </c>
    </row>
    <row r="129" spans="1:7" s="115" customFormat="1" ht="23">
      <c r="A129" s="116" t="s">
        <v>73</v>
      </c>
      <c r="B129" s="117"/>
      <c r="C129" s="118" t="s">
        <v>4</v>
      </c>
      <c r="D129" s="118" t="s">
        <v>66</v>
      </c>
      <c r="E129" s="119" t="s">
        <v>67</v>
      </c>
      <c r="F129" s="118" t="s">
        <v>765</v>
      </c>
      <c r="G129" s="118" t="s">
        <v>69</v>
      </c>
    </row>
    <row r="130" spans="1:7" s="115" customFormat="1" ht="23">
      <c r="A130" s="120" t="s">
        <v>352</v>
      </c>
      <c r="B130" s="121" t="s">
        <v>353</v>
      </c>
      <c r="C130" s="122" t="s">
        <v>24</v>
      </c>
      <c r="D130" s="122" t="s">
        <v>87</v>
      </c>
      <c r="E130" s="140">
        <v>1</v>
      </c>
      <c r="F130" s="124">
        <v>0.22</v>
      </c>
      <c r="G130" s="125">
        <f>TRUNC(TRUNC(E130,8)*F130,2)</f>
        <v>0.22</v>
      </c>
    </row>
    <row r="131" spans="1:7" s="115" customFormat="1" ht="11.5">
      <c r="A131" s="126"/>
      <c r="B131" s="127"/>
      <c r="C131" s="127"/>
      <c r="D131" s="127"/>
      <c r="E131" s="128" t="s">
        <v>77</v>
      </c>
      <c r="F131" s="129"/>
      <c r="G131" s="130">
        <f>SUM(G130:G130)</f>
        <v>0.22</v>
      </c>
    </row>
    <row r="132" spans="1:7" s="115" customFormat="1" ht="11.5">
      <c r="A132" s="126"/>
      <c r="B132" s="127"/>
      <c r="C132" s="127"/>
      <c r="D132" s="127"/>
      <c r="E132" s="131" t="s">
        <v>78</v>
      </c>
      <c r="F132" s="132">
        <f>A117</f>
        <v>88262</v>
      </c>
      <c r="G132" s="133">
        <f>SUM(G125,G128,G131)</f>
        <v>24.580000000000002</v>
      </c>
    </row>
    <row r="133" spans="1:7" s="115" customFormat="1" ht="11.5">
      <c r="A133" s="126"/>
      <c r="B133" s="127"/>
      <c r="C133" s="127"/>
      <c r="D133" s="127"/>
      <c r="E133" s="134"/>
      <c r="F133" s="135"/>
      <c r="G133" s="135"/>
    </row>
    <row r="134" spans="1:7" s="115" customFormat="1" ht="34.5">
      <c r="A134" s="113">
        <v>94974</v>
      </c>
      <c r="B134" s="114" t="s">
        <v>403</v>
      </c>
      <c r="C134" s="114"/>
      <c r="D134" s="114"/>
      <c r="E134" s="113"/>
      <c r="F134" s="114"/>
      <c r="G134" s="114"/>
    </row>
    <row r="135" spans="1:7" s="115" customFormat="1" ht="23">
      <c r="A135" s="116" t="s">
        <v>79</v>
      </c>
      <c r="B135" s="117"/>
      <c r="C135" s="118" t="s">
        <v>4</v>
      </c>
      <c r="D135" s="118" t="s">
        <v>66</v>
      </c>
      <c r="E135" s="119" t="s">
        <v>67</v>
      </c>
      <c r="F135" s="118" t="s">
        <v>765</v>
      </c>
      <c r="G135" s="118" t="s">
        <v>69</v>
      </c>
    </row>
    <row r="136" spans="1:7" s="115" customFormat="1" ht="23">
      <c r="A136" s="120" t="s">
        <v>198</v>
      </c>
      <c r="B136" s="121" t="s">
        <v>199</v>
      </c>
      <c r="C136" s="122" t="s">
        <v>24</v>
      </c>
      <c r="D136" s="122" t="s">
        <v>40</v>
      </c>
      <c r="E136" s="140">
        <v>0.8538</v>
      </c>
      <c r="F136" s="124">
        <v>140</v>
      </c>
      <c r="G136" s="125">
        <f>TRUNC(TRUNC(E136,8)*F136,2)</f>
        <v>119.53</v>
      </c>
    </row>
    <row r="137" spans="1:7" s="115" customFormat="1" ht="11.5">
      <c r="A137" s="120" t="s">
        <v>110</v>
      </c>
      <c r="B137" s="121" t="s">
        <v>111</v>
      </c>
      <c r="C137" s="122" t="s">
        <v>24</v>
      </c>
      <c r="D137" s="122" t="s">
        <v>54</v>
      </c>
      <c r="E137" s="140">
        <v>218.93</v>
      </c>
      <c r="F137" s="124">
        <v>0.7</v>
      </c>
      <c r="G137" s="125">
        <f>TRUNC(TRUNC(E137,8)*F137,2)</f>
        <v>153.25</v>
      </c>
    </row>
    <row r="138" spans="1:7" s="115" customFormat="1" ht="23">
      <c r="A138" s="120" t="s">
        <v>206</v>
      </c>
      <c r="B138" s="121" t="s">
        <v>207</v>
      </c>
      <c r="C138" s="122" t="s">
        <v>24</v>
      </c>
      <c r="D138" s="122" t="s">
        <v>40</v>
      </c>
      <c r="E138" s="140">
        <v>0.59709999999999996</v>
      </c>
      <c r="F138" s="124">
        <v>99.47</v>
      </c>
      <c r="G138" s="125">
        <f>TRUNC(TRUNC(E138,8)*F138,2)</f>
        <v>59.39</v>
      </c>
    </row>
    <row r="139" spans="1:7" s="115" customFormat="1" ht="11.5">
      <c r="A139" s="126"/>
      <c r="B139" s="127"/>
      <c r="C139" s="127"/>
      <c r="D139" s="127"/>
      <c r="E139" s="128" t="s">
        <v>82</v>
      </c>
      <c r="F139" s="129"/>
      <c r="G139" s="130">
        <f>SUM(G136:G138)</f>
        <v>332.16999999999996</v>
      </c>
    </row>
    <row r="140" spans="1:7" s="115" customFormat="1" ht="23">
      <c r="A140" s="116" t="s">
        <v>65</v>
      </c>
      <c r="B140" s="117"/>
      <c r="C140" s="118" t="s">
        <v>4</v>
      </c>
      <c r="D140" s="118" t="s">
        <v>66</v>
      </c>
      <c r="E140" s="119" t="s">
        <v>67</v>
      </c>
      <c r="F140" s="118" t="s">
        <v>765</v>
      </c>
      <c r="G140" s="118" t="s">
        <v>69</v>
      </c>
    </row>
    <row r="141" spans="1:7" s="115" customFormat="1" ht="11.5">
      <c r="A141" s="120" t="s">
        <v>95</v>
      </c>
      <c r="B141" s="121" t="s">
        <v>96</v>
      </c>
      <c r="C141" s="122" t="s">
        <v>24</v>
      </c>
      <c r="D141" s="122" t="s">
        <v>87</v>
      </c>
      <c r="E141" s="142">
        <v>6.2858000000000001</v>
      </c>
      <c r="F141" s="124">
        <v>20.27</v>
      </c>
      <c r="G141" s="125">
        <f>TRUNC(TRUNC(E141,8)*F141,2)</f>
        <v>127.41</v>
      </c>
    </row>
    <row r="142" spans="1:7" s="115" customFormat="1" ht="11.5">
      <c r="A142" s="126"/>
      <c r="B142" s="127"/>
      <c r="C142" s="127"/>
      <c r="D142" s="127"/>
      <c r="E142" s="128" t="s">
        <v>602</v>
      </c>
      <c r="F142" s="129"/>
      <c r="G142" s="130">
        <f>SUM(G141:G141)</f>
        <v>127.41</v>
      </c>
    </row>
    <row r="143" spans="1:7" s="115" customFormat="1" ht="11.5">
      <c r="A143" s="126"/>
      <c r="B143" s="127"/>
      <c r="C143" s="127"/>
      <c r="D143" s="127"/>
      <c r="E143" s="131" t="s">
        <v>78</v>
      </c>
      <c r="F143" s="132">
        <f>A134</f>
        <v>94974</v>
      </c>
      <c r="G143" s="133">
        <f>SUM(G139,G142)</f>
        <v>459.57999999999993</v>
      </c>
    </row>
    <row r="144" spans="1:7" s="115" customFormat="1" ht="11.5">
      <c r="A144" s="126"/>
      <c r="B144" s="127"/>
      <c r="C144" s="127"/>
      <c r="D144" s="127"/>
      <c r="E144" s="134"/>
      <c r="F144" s="135"/>
      <c r="G144" s="135"/>
    </row>
    <row r="145" spans="1:7" s="115" customFormat="1" ht="34.5">
      <c r="A145" s="113">
        <v>95309</v>
      </c>
      <c r="B145" s="114" t="s">
        <v>404</v>
      </c>
      <c r="C145" s="114"/>
      <c r="D145" s="114"/>
      <c r="E145" s="113"/>
      <c r="F145" s="114"/>
      <c r="G145" s="114"/>
    </row>
    <row r="146" spans="1:7" s="115" customFormat="1" ht="23">
      <c r="A146" s="116" t="s">
        <v>130</v>
      </c>
      <c r="B146" s="117"/>
      <c r="C146" s="118" t="s">
        <v>4</v>
      </c>
      <c r="D146" s="118" t="s">
        <v>66</v>
      </c>
      <c r="E146" s="119" t="s">
        <v>67</v>
      </c>
      <c r="F146" s="118" t="s">
        <v>765</v>
      </c>
      <c r="G146" s="118" t="s">
        <v>69</v>
      </c>
    </row>
    <row r="147" spans="1:7" s="115" customFormat="1" ht="11.5">
      <c r="A147" s="120" t="s">
        <v>172</v>
      </c>
      <c r="B147" s="121" t="s">
        <v>173</v>
      </c>
      <c r="C147" s="122" t="s">
        <v>24</v>
      </c>
      <c r="D147" s="122" t="s">
        <v>87</v>
      </c>
      <c r="E147" s="137">
        <v>1.4760000000000001E-2</v>
      </c>
      <c r="F147" s="124">
        <v>15.57</v>
      </c>
      <c r="G147" s="125">
        <f>TRUNC(TRUNC(E147,8)*F147,2)</f>
        <v>0.22</v>
      </c>
    </row>
    <row r="148" spans="1:7" s="115" customFormat="1" ht="11.5">
      <c r="A148" s="126"/>
      <c r="B148" s="127"/>
      <c r="C148" s="127"/>
      <c r="D148" s="127"/>
      <c r="E148" s="128" t="s">
        <v>592</v>
      </c>
      <c r="F148" s="129"/>
      <c r="G148" s="130">
        <f>SUM(G147:G147)</f>
        <v>0.22</v>
      </c>
    </row>
    <row r="149" spans="1:7" s="115" customFormat="1" ht="11.5">
      <c r="A149" s="126"/>
      <c r="B149" s="127"/>
      <c r="C149" s="127"/>
      <c r="D149" s="127"/>
      <c r="E149" s="131" t="s">
        <v>78</v>
      </c>
      <c r="F149" s="132">
        <f>A145</f>
        <v>95309</v>
      </c>
      <c r="G149" s="133">
        <f>SUM(G148)</f>
        <v>0.22</v>
      </c>
    </row>
    <row r="150" spans="1:7" s="115" customFormat="1" ht="11.5">
      <c r="A150" s="126"/>
      <c r="B150" s="127"/>
      <c r="C150" s="127"/>
      <c r="D150" s="127"/>
      <c r="E150" s="134"/>
      <c r="F150" s="135"/>
      <c r="G150" s="135"/>
    </row>
    <row r="151" spans="1:7" s="115" customFormat="1" ht="23">
      <c r="A151" s="113">
        <v>95316</v>
      </c>
      <c r="B151" s="114" t="s">
        <v>405</v>
      </c>
      <c r="C151" s="114"/>
      <c r="D151" s="114"/>
      <c r="E151" s="113"/>
      <c r="F151" s="114"/>
      <c r="G151" s="114"/>
    </row>
    <row r="152" spans="1:7" s="115" customFormat="1" ht="23">
      <c r="A152" s="116" t="s">
        <v>130</v>
      </c>
      <c r="B152" s="117"/>
      <c r="C152" s="118" t="s">
        <v>4</v>
      </c>
      <c r="D152" s="118" t="s">
        <v>66</v>
      </c>
      <c r="E152" s="119" t="s">
        <v>67</v>
      </c>
      <c r="F152" s="118" t="s">
        <v>765</v>
      </c>
      <c r="G152" s="118" t="s">
        <v>69</v>
      </c>
    </row>
    <row r="153" spans="1:7" s="115" customFormat="1" ht="11.5">
      <c r="A153" s="120" t="s">
        <v>135</v>
      </c>
      <c r="B153" s="121" t="s">
        <v>136</v>
      </c>
      <c r="C153" s="122" t="s">
        <v>24</v>
      </c>
      <c r="D153" s="122" t="s">
        <v>87</v>
      </c>
      <c r="E153" s="137">
        <v>3.7319999999999999E-2</v>
      </c>
      <c r="F153" s="124">
        <v>15.57</v>
      </c>
      <c r="G153" s="125">
        <f>TRUNC(TRUNC(E153,8)*F153,2)</f>
        <v>0.57999999999999996</v>
      </c>
    </row>
    <row r="154" spans="1:7" s="115" customFormat="1" ht="11.5">
      <c r="A154" s="126"/>
      <c r="B154" s="127"/>
      <c r="C154" s="127"/>
      <c r="D154" s="127"/>
      <c r="E154" s="128" t="s">
        <v>592</v>
      </c>
      <c r="F154" s="129"/>
      <c r="G154" s="130">
        <f>SUM(G153:G153)</f>
        <v>0.57999999999999996</v>
      </c>
    </row>
    <row r="155" spans="1:7" s="115" customFormat="1" ht="11.5">
      <c r="A155" s="126"/>
      <c r="B155" s="127"/>
      <c r="C155" s="127"/>
      <c r="D155" s="127"/>
      <c r="E155" s="131" t="s">
        <v>78</v>
      </c>
      <c r="F155" s="132">
        <f>A151</f>
        <v>95316</v>
      </c>
      <c r="G155" s="133">
        <f>SUM(G154)</f>
        <v>0.57999999999999996</v>
      </c>
    </row>
    <row r="156" spans="1:7" s="115" customFormat="1" ht="11.5">
      <c r="A156" s="126"/>
      <c r="B156" s="127"/>
      <c r="C156" s="127"/>
      <c r="D156" s="127"/>
      <c r="E156" s="134"/>
      <c r="F156" s="135"/>
      <c r="G156" s="135"/>
    </row>
    <row r="157" spans="1:7" s="115" customFormat="1" ht="34.5">
      <c r="A157" s="113">
        <v>95317</v>
      </c>
      <c r="B157" s="114" t="s">
        <v>406</v>
      </c>
      <c r="C157" s="114"/>
      <c r="D157" s="114"/>
      <c r="E157" s="113"/>
      <c r="F157" s="114"/>
      <c r="G157" s="114"/>
    </row>
    <row r="158" spans="1:7" s="115" customFormat="1" ht="23">
      <c r="A158" s="116" t="s">
        <v>130</v>
      </c>
      <c r="B158" s="117"/>
      <c r="C158" s="118" t="s">
        <v>4</v>
      </c>
      <c r="D158" s="118" t="s">
        <v>66</v>
      </c>
      <c r="E158" s="119" t="s">
        <v>67</v>
      </c>
      <c r="F158" s="118" t="s">
        <v>765</v>
      </c>
      <c r="G158" s="118" t="s">
        <v>69</v>
      </c>
    </row>
    <row r="159" spans="1:7" s="115" customFormat="1" ht="23">
      <c r="A159" s="120" t="s">
        <v>216</v>
      </c>
      <c r="B159" s="121" t="s">
        <v>217</v>
      </c>
      <c r="C159" s="122" t="s">
        <v>24</v>
      </c>
      <c r="D159" s="122" t="s">
        <v>87</v>
      </c>
      <c r="E159" s="137">
        <v>1.7979999999999999E-2</v>
      </c>
      <c r="F159" s="124">
        <v>15.57</v>
      </c>
      <c r="G159" s="125">
        <f>TRUNC(TRUNC(E159,8)*F159,2)</f>
        <v>0.27</v>
      </c>
    </row>
    <row r="160" spans="1:7" s="115" customFormat="1" ht="11.5">
      <c r="A160" s="126"/>
      <c r="B160" s="127"/>
      <c r="C160" s="127"/>
      <c r="D160" s="127"/>
      <c r="E160" s="128" t="s">
        <v>592</v>
      </c>
      <c r="F160" s="129"/>
      <c r="G160" s="130">
        <f>SUM(G159:G159)</f>
        <v>0.27</v>
      </c>
    </row>
    <row r="161" spans="1:7" s="115" customFormat="1" ht="11.5">
      <c r="A161" s="126"/>
      <c r="B161" s="127"/>
      <c r="C161" s="127"/>
      <c r="D161" s="127"/>
      <c r="E161" s="131" t="s">
        <v>78</v>
      </c>
      <c r="F161" s="132">
        <f>A157</f>
        <v>95317</v>
      </c>
      <c r="G161" s="133">
        <f>SUM(G160)</f>
        <v>0.27</v>
      </c>
    </row>
    <row r="162" spans="1:7" s="115" customFormat="1" ht="11.5">
      <c r="A162" s="126"/>
      <c r="B162" s="127"/>
      <c r="C162" s="127"/>
      <c r="D162" s="127"/>
      <c r="E162" s="134"/>
      <c r="F162" s="135"/>
      <c r="G162" s="135"/>
    </row>
    <row r="163" spans="1:7" s="115" customFormat="1" ht="23">
      <c r="A163" s="113">
        <v>95330</v>
      </c>
      <c r="B163" s="114" t="s">
        <v>407</v>
      </c>
      <c r="C163" s="114"/>
      <c r="D163" s="114"/>
      <c r="E163" s="113"/>
      <c r="F163" s="114"/>
      <c r="G163" s="114"/>
    </row>
    <row r="164" spans="1:7" s="115" customFormat="1" ht="23">
      <c r="A164" s="116" t="s">
        <v>130</v>
      </c>
      <c r="B164" s="117"/>
      <c r="C164" s="118" t="s">
        <v>4</v>
      </c>
      <c r="D164" s="118" t="s">
        <v>66</v>
      </c>
      <c r="E164" s="119" t="s">
        <v>67</v>
      </c>
      <c r="F164" s="118" t="s">
        <v>765</v>
      </c>
      <c r="G164" s="118" t="s">
        <v>69</v>
      </c>
    </row>
    <row r="165" spans="1:7" s="115" customFormat="1" ht="11.5">
      <c r="A165" s="120" t="s">
        <v>164</v>
      </c>
      <c r="B165" s="121" t="s">
        <v>165</v>
      </c>
      <c r="C165" s="122" t="s">
        <v>24</v>
      </c>
      <c r="D165" s="122" t="s">
        <v>87</v>
      </c>
      <c r="E165" s="137">
        <v>1.154E-2</v>
      </c>
      <c r="F165" s="124">
        <v>19.260000000000002</v>
      </c>
      <c r="G165" s="125">
        <f>TRUNC(TRUNC(E165,8)*F165,2)</f>
        <v>0.22</v>
      </c>
    </row>
    <row r="166" spans="1:7" s="115" customFormat="1" ht="11.5">
      <c r="A166" s="126"/>
      <c r="B166" s="127"/>
      <c r="C166" s="127"/>
      <c r="D166" s="127"/>
      <c r="E166" s="128" t="s">
        <v>592</v>
      </c>
      <c r="F166" s="129"/>
      <c r="G166" s="130">
        <f>SUM(G165:G165)</f>
        <v>0.22</v>
      </c>
    </row>
    <row r="167" spans="1:7" s="115" customFormat="1" ht="11.5">
      <c r="A167" s="126"/>
      <c r="B167" s="127"/>
      <c r="C167" s="127"/>
      <c r="D167" s="127"/>
      <c r="E167" s="131" t="s">
        <v>78</v>
      </c>
      <c r="F167" s="132">
        <f>A163</f>
        <v>95330</v>
      </c>
      <c r="G167" s="133">
        <f>SUM(G166)</f>
        <v>0.22</v>
      </c>
    </row>
    <row r="168" spans="1:7" s="115" customFormat="1" ht="11.5">
      <c r="A168" s="126"/>
      <c r="B168" s="127"/>
      <c r="C168" s="127"/>
      <c r="D168" s="127"/>
      <c r="E168" s="134"/>
      <c r="F168" s="135"/>
      <c r="G168" s="135"/>
    </row>
    <row r="169" spans="1:7" s="115" customFormat="1" ht="23">
      <c r="A169" s="113">
        <v>95332</v>
      </c>
      <c r="B169" s="114" t="s">
        <v>408</v>
      </c>
      <c r="C169" s="114"/>
      <c r="D169" s="114"/>
      <c r="E169" s="113"/>
      <c r="F169" s="114"/>
      <c r="G169" s="114"/>
    </row>
    <row r="170" spans="1:7" s="115" customFormat="1" ht="23">
      <c r="A170" s="116" t="s">
        <v>130</v>
      </c>
      <c r="B170" s="117"/>
      <c r="C170" s="118" t="s">
        <v>4</v>
      </c>
      <c r="D170" s="118" t="s">
        <v>66</v>
      </c>
      <c r="E170" s="119" t="s">
        <v>67</v>
      </c>
      <c r="F170" s="118" t="s">
        <v>765</v>
      </c>
      <c r="G170" s="118" t="s">
        <v>69</v>
      </c>
    </row>
    <row r="171" spans="1:7" s="115" customFormat="1" ht="11.5">
      <c r="A171" s="120" t="s">
        <v>133</v>
      </c>
      <c r="B171" s="121" t="s">
        <v>134</v>
      </c>
      <c r="C171" s="122" t="s">
        <v>24</v>
      </c>
      <c r="D171" s="122" t="s">
        <v>87</v>
      </c>
      <c r="E171" s="137">
        <v>3.7319999999999999E-2</v>
      </c>
      <c r="F171" s="124">
        <v>19.48</v>
      </c>
      <c r="G171" s="125">
        <f>TRUNC(TRUNC(E171,8)*F171,2)</f>
        <v>0.72</v>
      </c>
    </row>
    <row r="172" spans="1:7" s="115" customFormat="1" ht="11.5">
      <c r="A172" s="126"/>
      <c r="B172" s="127"/>
      <c r="C172" s="127"/>
      <c r="D172" s="127"/>
      <c r="E172" s="128" t="s">
        <v>592</v>
      </c>
      <c r="F172" s="129"/>
      <c r="G172" s="130">
        <f>SUM(G171:G171)</f>
        <v>0.72</v>
      </c>
    </row>
    <row r="173" spans="1:7" s="115" customFormat="1" ht="11.5">
      <c r="A173" s="126"/>
      <c r="B173" s="127"/>
      <c r="C173" s="127"/>
      <c r="D173" s="127"/>
      <c r="E173" s="131" t="s">
        <v>78</v>
      </c>
      <c r="F173" s="132">
        <f>A169</f>
        <v>95332</v>
      </c>
      <c r="G173" s="133">
        <f>SUM(G172)</f>
        <v>0.72</v>
      </c>
    </row>
    <row r="174" spans="1:7" s="115" customFormat="1" ht="11.5">
      <c r="A174" s="126"/>
      <c r="B174" s="127"/>
      <c r="C174" s="127"/>
      <c r="D174" s="127"/>
      <c r="E174" s="134"/>
      <c r="F174" s="135"/>
      <c r="G174" s="135"/>
    </row>
    <row r="175" spans="1:7" s="115" customFormat="1" ht="34.5">
      <c r="A175" s="113">
        <v>95335</v>
      </c>
      <c r="B175" s="114" t="s">
        <v>409</v>
      </c>
      <c r="C175" s="114"/>
      <c r="D175" s="114"/>
      <c r="E175" s="113"/>
      <c r="F175" s="114"/>
      <c r="G175" s="114"/>
    </row>
    <row r="176" spans="1:7" s="115" customFormat="1" ht="23">
      <c r="A176" s="116" t="s">
        <v>130</v>
      </c>
      <c r="B176" s="117"/>
      <c r="C176" s="118" t="s">
        <v>4</v>
      </c>
      <c r="D176" s="118" t="s">
        <v>66</v>
      </c>
      <c r="E176" s="119" t="s">
        <v>67</v>
      </c>
      <c r="F176" s="118" t="s">
        <v>765</v>
      </c>
      <c r="G176" s="118" t="s">
        <v>69</v>
      </c>
    </row>
    <row r="177" spans="1:7" s="115" customFormat="1" ht="11.5">
      <c r="A177" s="120" t="s">
        <v>214</v>
      </c>
      <c r="B177" s="121" t="s">
        <v>215</v>
      </c>
      <c r="C177" s="122" t="s">
        <v>24</v>
      </c>
      <c r="D177" s="122" t="s">
        <v>87</v>
      </c>
      <c r="E177" s="137">
        <v>1.7979999999999999E-2</v>
      </c>
      <c r="F177" s="124">
        <v>19.18</v>
      </c>
      <c r="G177" s="125">
        <f>TRUNC(TRUNC(E177,8)*F177,2)</f>
        <v>0.34</v>
      </c>
    </row>
    <row r="178" spans="1:7" s="115" customFormat="1" ht="11.5">
      <c r="A178" s="126"/>
      <c r="B178" s="127"/>
      <c r="C178" s="127"/>
      <c r="D178" s="127"/>
      <c r="E178" s="128" t="s">
        <v>592</v>
      </c>
      <c r="F178" s="129"/>
      <c r="G178" s="130">
        <f>SUM(G177:G177)</f>
        <v>0.34</v>
      </c>
    </row>
    <row r="179" spans="1:7" s="115" customFormat="1" ht="11.5">
      <c r="A179" s="126"/>
      <c r="B179" s="127"/>
      <c r="C179" s="127"/>
      <c r="D179" s="127"/>
      <c r="E179" s="131" t="s">
        <v>78</v>
      </c>
      <c r="F179" s="132">
        <f>A175</f>
        <v>95335</v>
      </c>
      <c r="G179" s="133">
        <f>SUM(G178)</f>
        <v>0.34</v>
      </c>
    </row>
    <row r="180" spans="1:7" s="115" customFormat="1" ht="11.5">
      <c r="A180" s="126"/>
      <c r="B180" s="127"/>
      <c r="C180" s="127"/>
      <c r="D180" s="127"/>
      <c r="E180" s="134"/>
      <c r="F180" s="135"/>
      <c r="G180" s="135"/>
    </row>
    <row r="181" spans="1:7" s="115" customFormat="1" ht="34.5">
      <c r="A181" s="113">
        <v>95422</v>
      </c>
      <c r="B181" s="114" t="s">
        <v>410</v>
      </c>
      <c r="C181" s="114"/>
      <c r="D181" s="114"/>
      <c r="E181" s="113"/>
      <c r="F181" s="114"/>
      <c r="G181" s="114"/>
    </row>
    <row r="182" spans="1:7" s="115" customFormat="1" ht="23">
      <c r="A182" s="116" t="s">
        <v>130</v>
      </c>
      <c r="B182" s="117"/>
      <c r="C182" s="118" t="s">
        <v>4</v>
      </c>
      <c r="D182" s="118" t="s">
        <v>66</v>
      </c>
      <c r="E182" s="119" t="s">
        <v>67</v>
      </c>
      <c r="F182" s="118" t="s">
        <v>765</v>
      </c>
      <c r="G182" s="118" t="s">
        <v>69</v>
      </c>
    </row>
    <row r="183" spans="1:7" s="115" customFormat="1" ht="11.5">
      <c r="A183" s="120" t="s">
        <v>131</v>
      </c>
      <c r="B183" s="121" t="s">
        <v>132</v>
      </c>
      <c r="C183" s="122" t="s">
        <v>24</v>
      </c>
      <c r="D183" s="122" t="s">
        <v>27</v>
      </c>
      <c r="E183" s="137">
        <v>1.5970000000000002E-2</v>
      </c>
      <c r="F183" s="124">
        <v>3673.17</v>
      </c>
      <c r="G183" s="125">
        <f>TRUNC(TRUNC(E183,8)*F183,2)</f>
        <v>58.66</v>
      </c>
    </row>
    <row r="184" spans="1:7" s="115" customFormat="1" ht="11.5">
      <c r="A184" s="126"/>
      <c r="B184" s="127"/>
      <c r="C184" s="127"/>
      <c r="D184" s="127"/>
      <c r="E184" s="128" t="s">
        <v>592</v>
      </c>
      <c r="F184" s="129"/>
      <c r="G184" s="130">
        <f>SUM(G183:G183)</f>
        <v>58.66</v>
      </c>
    </row>
    <row r="185" spans="1:7" s="115" customFormat="1" ht="11.5">
      <c r="A185" s="126"/>
      <c r="B185" s="127"/>
      <c r="C185" s="127"/>
      <c r="D185" s="127"/>
      <c r="E185" s="131" t="s">
        <v>78</v>
      </c>
      <c r="F185" s="132">
        <f>A181</f>
        <v>95422</v>
      </c>
      <c r="G185" s="133">
        <f>SUM(G184)</f>
        <v>58.66</v>
      </c>
    </row>
    <row r="186" spans="1:7" s="115" customFormat="1" ht="11.5">
      <c r="A186" s="126"/>
      <c r="B186" s="127"/>
      <c r="C186" s="127"/>
      <c r="D186" s="127"/>
      <c r="E186" s="134"/>
      <c r="F186" s="135"/>
      <c r="G186" s="135"/>
    </row>
    <row r="187" spans="1:7" s="115" customFormat="1" ht="34.5">
      <c r="A187" s="113">
        <v>95417</v>
      </c>
      <c r="B187" s="114" t="s">
        <v>411</v>
      </c>
      <c r="C187" s="114"/>
      <c r="D187" s="114"/>
      <c r="E187" s="113"/>
      <c r="F187" s="114"/>
      <c r="G187" s="114"/>
    </row>
    <row r="188" spans="1:7" s="115" customFormat="1" ht="23">
      <c r="A188" s="116" t="s">
        <v>130</v>
      </c>
      <c r="B188" s="117"/>
      <c r="C188" s="118" t="s">
        <v>4</v>
      </c>
      <c r="D188" s="118" t="s">
        <v>66</v>
      </c>
      <c r="E188" s="119" t="s">
        <v>67</v>
      </c>
      <c r="F188" s="118" t="s">
        <v>765</v>
      </c>
      <c r="G188" s="118" t="s">
        <v>69</v>
      </c>
    </row>
    <row r="189" spans="1:7" s="115" customFormat="1" ht="11.5">
      <c r="A189" s="120" t="s">
        <v>128</v>
      </c>
      <c r="B189" s="121" t="s">
        <v>129</v>
      </c>
      <c r="C189" s="122" t="s">
        <v>24</v>
      </c>
      <c r="D189" s="122" t="s">
        <v>27</v>
      </c>
      <c r="E189" s="137">
        <v>1.112E-2</v>
      </c>
      <c r="F189" s="124">
        <v>23272.23</v>
      </c>
      <c r="G189" s="125">
        <f>TRUNC(TRUNC(E189,8)*F189,2)</f>
        <v>258.77999999999997</v>
      </c>
    </row>
    <row r="190" spans="1:7" s="115" customFormat="1" ht="11.5">
      <c r="A190" s="126"/>
      <c r="B190" s="127"/>
      <c r="C190" s="127"/>
      <c r="D190" s="127"/>
      <c r="E190" s="128" t="s">
        <v>592</v>
      </c>
      <c r="F190" s="129"/>
      <c r="G190" s="130">
        <f>SUM(G189:G189)</f>
        <v>258.77999999999997</v>
      </c>
    </row>
    <row r="191" spans="1:7" s="115" customFormat="1" ht="11.5">
      <c r="A191" s="126"/>
      <c r="B191" s="127"/>
      <c r="C191" s="127"/>
      <c r="D191" s="127"/>
      <c r="E191" s="131" t="s">
        <v>78</v>
      </c>
      <c r="F191" s="132">
        <f>A187</f>
        <v>95417</v>
      </c>
      <c r="G191" s="133">
        <f>SUM(G190)</f>
        <v>258.77999999999997</v>
      </c>
    </row>
    <row r="192" spans="1:7" s="115" customFormat="1" ht="11.5">
      <c r="A192" s="126"/>
      <c r="B192" s="127"/>
      <c r="C192" s="127"/>
      <c r="D192" s="127"/>
      <c r="E192" s="134"/>
      <c r="F192" s="135"/>
      <c r="G192" s="135"/>
    </row>
    <row r="193" spans="1:7" s="115" customFormat="1" ht="23">
      <c r="A193" s="113">
        <v>95341</v>
      </c>
      <c r="B193" s="114" t="s">
        <v>653</v>
      </c>
      <c r="C193" s="114"/>
      <c r="D193" s="114"/>
      <c r="E193" s="113"/>
      <c r="F193" s="114"/>
      <c r="G193" s="114"/>
    </row>
    <row r="194" spans="1:7" s="115" customFormat="1" ht="23">
      <c r="A194" s="116" t="s">
        <v>130</v>
      </c>
      <c r="B194" s="117"/>
      <c r="C194" s="118" t="s">
        <v>4</v>
      </c>
      <c r="D194" s="118" t="s">
        <v>66</v>
      </c>
      <c r="E194" s="119" t="s">
        <v>67</v>
      </c>
      <c r="F194" s="118" t="s">
        <v>765</v>
      </c>
      <c r="G194" s="118" t="s">
        <v>69</v>
      </c>
    </row>
    <row r="195" spans="1:7" s="115" customFormat="1" ht="11.5">
      <c r="A195" s="120" t="s">
        <v>613</v>
      </c>
      <c r="B195" s="121" t="s">
        <v>614</v>
      </c>
      <c r="C195" s="122" t="s">
        <v>24</v>
      </c>
      <c r="D195" s="122" t="s">
        <v>87</v>
      </c>
      <c r="E195" s="137">
        <v>1.4760000000000001E-2</v>
      </c>
      <c r="F195" s="124">
        <v>19.48</v>
      </c>
      <c r="G195" s="125">
        <f>TRUNC(TRUNC(E195,8)*F195,2)</f>
        <v>0.28000000000000003</v>
      </c>
    </row>
    <row r="196" spans="1:7" s="115" customFormat="1" ht="11.5">
      <c r="A196" s="126"/>
      <c r="B196" s="127"/>
      <c r="C196" s="127"/>
      <c r="D196" s="127"/>
      <c r="E196" s="128" t="s">
        <v>592</v>
      </c>
      <c r="F196" s="129"/>
      <c r="G196" s="130">
        <f>SUM(G195:G195)</f>
        <v>0.28000000000000003</v>
      </c>
    </row>
    <row r="197" spans="1:7" s="115" customFormat="1" ht="11.5">
      <c r="A197" s="126"/>
      <c r="B197" s="127"/>
      <c r="C197" s="127"/>
      <c r="D197" s="127"/>
      <c r="E197" s="131" t="s">
        <v>78</v>
      </c>
      <c r="F197" s="132">
        <f>A193</f>
        <v>95341</v>
      </c>
      <c r="G197" s="133">
        <f>SUM(G196)</f>
        <v>0.28000000000000003</v>
      </c>
    </row>
    <row r="198" spans="1:7" s="115" customFormat="1" ht="11.5">
      <c r="A198" s="126"/>
      <c r="B198" s="127"/>
      <c r="C198" s="127"/>
      <c r="D198" s="127"/>
      <c r="E198" s="134"/>
      <c r="F198" s="135"/>
      <c r="G198" s="135"/>
    </row>
    <row r="199" spans="1:7" s="115" customFormat="1" ht="34.5">
      <c r="A199" s="113">
        <v>95345</v>
      </c>
      <c r="B199" s="114" t="s">
        <v>412</v>
      </c>
      <c r="C199" s="114"/>
      <c r="D199" s="114"/>
      <c r="E199" s="113"/>
      <c r="F199" s="114"/>
      <c r="G199" s="114"/>
    </row>
    <row r="200" spans="1:7" s="115" customFormat="1" ht="23">
      <c r="A200" s="116" t="s">
        <v>130</v>
      </c>
      <c r="B200" s="117"/>
      <c r="C200" s="118" t="s">
        <v>4</v>
      </c>
      <c r="D200" s="118" t="s">
        <v>66</v>
      </c>
      <c r="E200" s="119" t="s">
        <v>67</v>
      </c>
      <c r="F200" s="118" t="s">
        <v>765</v>
      </c>
      <c r="G200" s="118" t="s">
        <v>69</v>
      </c>
    </row>
    <row r="201" spans="1:7" s="115" customFormat="1" ht="11.5">
      <c r="A201" s="120" t="s">
        <v>146</v>
      </c>
      <c r="B201" s="121" t="s">
        <v>147</v>
      </c>
      <c r="C201" s="122" t="s">
        <v>24</v>
      </c>
      <c r="D201" s="122" t="s">
        <v>87</v>
      </c>
      <c r="E201" s="137">
        <v>3.0870000000000002E-2</v>
      </c>
      <c r="F201" s="124">
        <v>18.600000000000001</v>
      </c>
      <c r="G201" s="125">
        <f>TRUNC(TRUNC(E201,8)*F201,2)</f>
        <v>0.56999999999999995</v>
      </c>
    </row>
    <row r="202" spans="1:7" s="115" customFormat="1" ht="11.5">
      <c r="A202" s="126"/>
      <c r="B202" s="127"/>
      <c r="C202" s="127"/>
      <c r="D202" s="127"/>
      <c r="E202" s="128" t="s">
        <v>592</v>
      </c>
      <c r="F202" s="129"/>
      <c r="G202" s="130">
        <f>SUM(G201:G201)</f>
        <v>0.56999999999999995</v>
      </c>
    </row>
    <row r="203" spans="1:7" s="115" customFormat="1" ht="11.5">
      <c r="A203" s="126"/>
      <c r="B203" s="127"/>
      <c r="C203" s="127"/>
      <c r="D203" s="127"/>
      <c r="E203" s="131" t="s">
        <v>78</v>
      </c>
      <c r="F203" s="132">
        <f>A199</f>
        <v>95345</v>
      </c>
      <c r="G203" s="133">
        <f>SUM(G202)</f>
        <v>0.56999999999999995</v>
      </c>
    </row>
    <row r="204" spans="1:7" s="115" customFormat="1" ht="11.5">
      <c r="A204" s="126"/>
      <c r="B204" s="127"/>
      <c r="C204" s="127"/>
      <c r="D204" s="127"/>
      <c r="E204" s="134"/>
      <c r="F204" s="135"/>
      <c r="G204" s="135"/>
    </row>
    <row r="205" spans="1:7" s="115" customFormat="1" ht="23">
      <c r="A205" s="113">
        <v>95351</v>
      </c>
      <c r="B205" s="114" t="s">
        <v>413</v>
      </c>
      <c r="C205" s="114"/>
      <c r="D205" s="114"/>
      <c r="E205" s="113"/>
      <c r="F205" s="114"/>
      <c r="G205" s="114"/>
    </row>
    <row r="206" spans="1:7" s="115" customFormat="1" ht="23">
      <c r="A206" s="116" t="s">
        <v>130</v>
      </c>
      <c r="B206" s="117"/>
      <c r="C206" s="118" t="s">
        <v>4</v>
      </c>
      <c r="D206" s="118" t="s">
        <v>66</v>
      </c>
      <c r="E206" s="119" t="s">
        <v>67</v>
      </c>
      <c r="F206" s="118" t="s">
        <v>765</v>
      </c>
      <c r="G206" s="118" t="s">
        <v>69</v>
      </c>
    </row>
    <row r="207" spans="1:7" s="115" customFormat="1" ht="23">
      <c r="A207" s="120" t="s">
        <v>166</v>
      </c>
      <c r="B207" s="121" t="s">
        <v>167</v>
      </c>
      <c r="C207" s="122" t="s">
        <v>24</v>
      </c>
      <c r="D207" s="122" t="s">
        <v>87</v>
      </c>
      <c r="E207" s="137">
        <v>1.6369999999999999E-2</v>
      </c>
      <c r="F207" s="124">
        <v>23.45</v>
      </c>
      <c r="G207" s="125">
        <f>TRUNC(TRUNC(E207,8)*F207,2)</f>
        <v>0.38</v>
      </c>
    </row>
    <row r="208" spans="1:7" s="115" customFormat="1" ht="11.5">
      <c r="A208" s="126"/>
      <c r="B208" s="127"/>
      <c r="C208" s="127"/>
      <c r="D208" s="127"/>
      <c r="E208" s="128" t="s">
        <v>592</v>
      </c>
      <c r="F208" s="129"/>
      <c r="G208" s="130">
        <f>SUM(G207:G207)</f>
        <v>0.38</v>
      </c>
    </row>
    <row r="209" spans="1:7" s="115" customFormat="1" ht="11.5">
      <c r="A209" s="126"/>
      <c r="B209" s="127"/>
      <c r="C209" s="127"/>
      <c r="D209" s="127"/>
      <c r="E209" s="131" t="s">
        <v>78</v>
      </c>
      <c r="F209" s="132">
        <f>A205</f>
        <v>95351</v>
      </c>
      <c r="G209" s="133">
        <f>SUM(G208)</f>
        <v>0.38</v>
      </c>
    </row>
    <row r="210" spans="1:7" s="115" customFormat="1" ht="11.5">
      <c r="A210" s="126"/>
      <c r="B210" s="127"/>
      <c r="C210" s="127"/>
      <c r="D210" s="127"/>
      <c r="E210" s="134"/>
      <c r="F210" s="135"/>
      <c r="G210" s="135"/>
    </row>
    <row r="211" spans="1:7" s="115" customFormat="1" ht="34.5">
      <c r="A211" s="113">
        <v>95389</v>
      </c>
      <c r="B211" s="114" t="s">
        <v>652</v>
      </c>
      <c r="C211" s="114"/>
      <c r="D211" s="114"/>
      <c r="E211" s="113"/>
      <c r="F211" s="114"/>
      <c r="G211" s="114"/>
    </row>
    <row r="212" spans="1:7" s="115" customFormat="1" ht="23">
      <c r="A212" s="116" t="s">
        <v>130</v>
      </c>
      <c r="B212" s="117"/>
      <c r="C212" s="118" t="s">
        <v>4</v>
      </c>
      <c r="D212" s="118" t="s">
        <v>66</v>
      </c>
      <c r="E212" s="119" t="s">
        <v>67</v>
      </c>
      <c r="F212" s="118" t="s">
        <v>765</v>
      </c>
      <c r="G212" s="118" t="s">
        <v>69</v>
      </c>
    </row>
    <row r="213" spans="1:7" s="115" customFormat="1" ht="23">
      <c r="A213" s="120" t="s">
        <v>615</v>
      </c>
      <c r="B213" s="121" t="s">
        <v>616</v>
      </c>
      <c r="C213" s="122" t="s">
        <v>24</v>
      </c>
      <c r="D213" s="122" t="s">
        <v>87</v>
      </c>
      <c r="E213" s="137">
        <v>8.3099999999999997E-3</v>
      </c>
      <c r="F213" s="124">
        <v>12.41</v>
      </c>
      <c r="G213" s="125">
        <f>TRUNC(TRUNC(E213,8)*F213,2)</f>
        <v>0.1</v>
      </c>
    </row>
    <row r="214" spans="1:7" s="115" customFormat="1" ht="11.5">
      <c r="A214" s="126"/>
      <c r="B214" s="127"/>
      <c r="C214" s="127"/>
      <c r="D214" s="127"/>
      <c r="E214" s="128" t="s">
        <v>592</v>
      </c>
      <c r="F214" s="129"/>
      <c r="G214" s="130">
        <f>SUM(G213:G213)</f>
        <v>0.1</v>
      </c>
    </row>
    <row r="215" spans="1:7" s="115" customFormat="1" ht="11.5">
      <c r="A215" s="126"/>
      <c r="B215" s="127"/>
      <c r="C215" s="127"/>
      <c r="D215" s="127"/>
      <c r="E215" s="131" t="s">
        <v>78</v>
      </c>
      <c r="F215" s="132">
        <f>A211</f>
        <v>95389</v>
      </c>
      <c r="G215" s="133">
        <f>SUM(G214)</f>
        <v>0.1</v>
      </c>
    </row>
    <row r="216" spans="1:7" s="115" customFormat="1" ht="11.5">
      <c r="A216" s="126"/>
      <c r="B216" s="127"/>
      <c r="C216" s="127"/>
      <c r="D216" s="127"/>
      <c r="E216" s="134"/>
      <c r="F216" s="135"/>
      <c r="G216" s="135"/>
    </row>
    <row r="217" spans="1:7" s="115" customFormat="1" ht="34.5">
      <c r="A217" s="113">
        <v>95360</v>
      </c>
      <c r="B217" s="114" t="s">
        <v>414</v>
      </c>
      <c r="C217" s="114"/>
      <c r="D217" s="114"/>
      <c r="E217" s="113"/>
      <c r="F217" s="114"/>
      <c r="G217" s="114"/>
    </row>
    <row r="218" spans="1:7" s="115" customFormat="1" ht="23">
      <c r="A218" s="116" t="s">
        <v>130</v>
      </c>
      <c r="B218" s="117"/>
      <c r="C218" s="118" t="s">
        <v>4</v>
      </c>
      <c r="D218" s="118" t="s">
        <v>66</v>
      </c>
      <c r="E218" s="119" t="s">
        <v>67</v>
      </c>
      <c r="F218" s="118" t="s">
        <v>765</v>
      </c>
      <c r="G218" s="118" t="s">
        <v>69</v>
      </c>
    </row>
    <row r="219" spans="1:7" s="115" customFormat="1" ht="23">
      <c r="A219" s="120" t="s">
        <v>200</v>
      </c>
      <c r="B219" s="121" t="s">
        <v>201</v>
      </c>
      <c r="C219" s="122" t="s">
        <v>24</v>
      </c>
      <c r="D219" s="122" t="s">
        <v>87</v>
      </c>
      <c r="E219" s="137">
        <v>1.154E-2</v>
      </c>
      <c r="F219" s="124">
        <v>19.45</v>
      </c>
      <c r="G219" s="125">
        <f>TRUNC(TRUNC(E219,8)*F219,2)</f>
        <v>0.22</v>
      </c>
    </row>
    <row r="220" spans="1:7" s="115" customFormat="1" ht="11.5">
      <c r="A220" s="126"/>
      <c r="B220" s="127"/>
      <c r="C220" s="127"/>
      <c r="D220" s="127"/>
      <c r="E220" s="128" t="s">
        <v>592</v>
      </c>
      <c r="F220" s="129"/>
      <c r="G220" s="130">
        <f>SUM(G219:G219)</f>
        <v>0.22</v>
      </c>
    </row>
    <row r="221" spans="1:7" s="115" customFormat="1" ht="11.5">
      <c r="A221" s="126"/>
      <c r="B221" s="127"/>
      <c r="C221" s="127"/>
      <c r="D221" s="127"/>
      <c r="E221" s="131" t="s">
        <v>78</v>
      </c>
      <c r="F221" s="132">
        <f>A217</f>
        <v>95360</v>
      </c>
      <c r="G221" s="133">
        <f>SUM(G220)</f>
        <v>0.22</v>
      </c>
    </row>
    <row r="222" spans="1:7" s="115" customFormat="1" ht="11.5">
      <c r="A222" s="126"/>
      <c r="B222" s="127"/>
      <c r="C222" s="127"/>
      <c r="D222" s="127"/>
      <c r="E222" s="134"/>
      <c r="F222" s="135"/>
      <c r="G222" s="135"/>
    </row>
    <row r="223" spans="1:7" s="115" customFormat="1" ht="23">
      <c r="A223" s="113">
        <v>95371</v>
      </c>
      <c r="B223" s="114" t="s">
        <v>415</v>
      </c>
      <c r="C223" s="114"/>
      <c r="D223" s="114"/>
      <c r="E223" s="113"/>
      <c r="F223" s="114"/>
      <c r="G223" s="114"/>
    </row>
    <row r="224" spans="1:7" s="115" customFormat="1" ht="23">
      <c r="A224" s="116" t="s">
        <v>130</v>
      </c>
      <c r="B224" s="117"/>
      <c r="C224" s="118" t="s">
        <v>4</v>
      </c>
      <c r="D224" s="118" t="s">
        <v>66</v>
      </c>
      <c r="E224" s="119" t="s">
        <v>67</v>
      </c>
      <c r="F224" s="118" t="s">
        <v>765</v>
      </c>
      <c r="G224" s="118" t="s">
        <v>69</v>
      </c>
    </row>
    <row r="225" spans="1:7" s="115" customFormat="1" ht="11.5">
      <c r="A225" s="120" t="s">
        <v>152</v>
      </c>
      <c r="B225" s="121" t="s">
        <v>153</v>
      </c>
      <c r="C225" s="122" t="s">
        <v>24</v>
      </c>
      <c r="D225" s="122" t="s">
        <v>87</v>
      </c>
      <c r="E225" s="138">
        <v>2.12E-2</v>
      </c>
      <c r="F225" s="124">
        <v>19.48</v>
      </c>
      <c r="G225" s="125">
        <f>TRUNC(TRUNC(E225,8)*F225,2)</f>
        <v>0.41</v>
      </c>
    </row>
    <row r="226" spans="1:7" s="115" customFormat="1" ht="11.5">
      <c r="A226" s="126"/>
      <c r="B226" s="127"/>
      <c r="C226" s="127"/>
      <c r="D226" s="127"/>
      <c r="E226" s="128" t="s">
        <v>592</v>
      </c>
      <c r="F226" s="129"/>
      <c r="G226" s="130">
        <f>SUM(G225:G225)</f>
        <v>0.41</v>
      </c>
    </row>
    <row r="227" spans="1:7" s="115" customFormat="1" ht="11.5">
      <c r="A227" s="126"/>
      <c r="B227" s="127"/>
      <c r="C227" s="127"/>
      <c r="D227" s="127"/>
      <c r="E227" s="131" t="s">
        <v>78</v>
      </c>
      <c r="F227" s="132">
        <f>A223</f>
        <v>95371</v>
      </c>
      <c r="G227" s="133">
        <f>SUM(G226)</f>
        <v>0.41</v>
      </c>
    </row>
    <row r="228" spans="1:7" s="115" customFormat="1" ht="11.5">
      <c r="A228" s="126"/>
      <c r="B228" s="127"/>
      <c r="C228" s="127"/>
      <c r="D228" s="127"/>
      <c r="E228" s="134"/>
      <c r="F228" s="135"/>
      <c r="G228" s="135"/>
    </row>
    <row r="229" spans="1:7" s="115" customFormat="1" ht="23">
      <c r="A229" s="113">
        <v>95372</v>
      </c>
      <c r="B229" s="114" t="s">
        <v>416</v>
      </c>
      <c r="C229" s="114"/>
      <c r="D229" s="114"/>
      <c r="E229" s="113"/>
      <c r="F229" s="114"/>
      <c r="G229" s="114"/>
    </row>
    <row r="230" spans="1:7" s="115" customFormat="1" ht="23">
      <c r="A230" s="116" t="s">
        <v>130</v>
      </c>
      <c r="B230" s="117"/>
      <c r="C230" s="118" t="s">
        <v>4</v>
      </c>
      <c r="D230" s="118" t="s">
        <v>66</v>
      </c>
      <c r="E230" s="119" t="s">
        <v>67</v>
      </c>
      <c r="F230" s="118" t="s">
        <v>765</v>
      </c>
      <c r="G230" s="118" t="s">
        <v>69</v>
      </c>
    </row>
    <row r="231" spans="1:7" s="115" customFormat="1" ht="11.5">
      <c r="A231" s="120" t="s">
        <v>158</v>
      </c>
      <c r="B231" s="121" t="s">
        <v>159</v>
      </c>
      <c r="C231" s="122" t="s">
        <v>24</v>
      </c>
      <c r="D231" s="122" t="s">
        <v>87</v>
      </c>
      <c r="E231" s="137">
        <v>1.4760000000000001E-2</v>
      </c>
      <c r="F231" s="124">
        <v>19.18</v>
      </c>
      <c r="G231" s="125">
        <f>TRUNC(TRUNC(E231,8)*F231,2)</f>
        <v>0.28000000000000003</v>
      </c>
    </row>
    <row r="232" spans="1:7" s="115" customFormat="1" ht="11.5">
      <c r="A232" s="126"/>
      <c r="B232" s="127"/>
      <c r="C232" s="127"/>
      <c r="D232" s="127"/>
      <c r="E232" s="128" t="s">
        <v>592</v>
      </c>
      <c r="F232" s="129"/>
      <c r="G232" s="130">
        <f>SUM(G231:G231)</f>
        <v>0.28000000000000003</v>
      </c>
    </row>
    <row r="233" spans="1:7" s="115" customFormat="1" ht="11.5">
      <c r="A233" s="126"/>
      <c r="B233" s="127"/>
      <c r="C233" s="127"/>
      <c r="D233" s="127"/>
      <c r="E233" s="131" t="s">
        <v>78</v>
      </c>
      <c r="F233" s="132">
        <f>A229</f>
        <v>95372</v>
      </c>
      <c r="G233" s="133">
        <f>SUM(G232)</f>
        <v>0.28000000000000003</v>
      </c>
    </row>
    <row r="234" spans="1:7" s="115" customFormat="1" ht="11.5">
      <c r="A234" s="126"/>
      <c r="B234" s="127"/>
      <c r="C234" s="127"/>
      <c r="D234" s="127"/>
      <c r="E234" s="134"/>
      <c r="F234" s="135"/>
      <c r="G234" s="135"/>
    </row>
    <row r="235" spans="1:7" s="115" customFormat="1" ht="23">
      <c r="A235" s="113">
        <v>95378</v>
      </c>
      <c r="B235" s="114" t="s">
        <v>417</v>
      </c>
      <c r="C235" s="114"/>
      <c r="D235" s="114"/>
      <c r="E235" s="113"/>
      <c r="F235" s="114"/>
      <c r="G235" s="114"/>
    </row>
    <row r="236" spans="1:7" s="115" customFormat="1" ht="23">
      <c r="A236" s="116" t="s">
        <v>130</v>
      </c>
      <c r="B236" s="117"/>
      <c r="C236" s="118" t="s">
        <v>4</v>
      </c>
      <c r="D236" s="118" t="s">
        <v>66</v>
      </c>
      <c r="E236" s="119" t="s">
        <v>67</v>
      </c>
      <c r="F236" s="118" t="s">
        <v>765</v>
      </c>
      <c r="G236" s="118" t="s">
        <v>69</v>
      </c>
    </row>
    <row r="237" spans="1:7" s="115" customFormat="1" ht="11.5">
      <c r="A237" s="120" t="s">
        <v>137</v>
      </c>
      <c r="B237" s="121" t="s">
        <v>138</v>
      </c>
      <c r="C237" s="122" t="s">
        <v>24</v>
      </c>
      <c r="D237" s="122" t="s">
        <v>87</v>
      </c>
      <c r="E237" s="138">
        <v>2.12E-2</v>
      </c>
      <c r="F237" s="124">
        <v>14.73</v>
      </c>
      <c r="G237" s="125">
        <f>TRUNC(TRUNC(E237,8)*F237,2)</f>
        <v>0.31</v>
      </c>
    </row>
    <row r="238" spans="1:7" s="115" customFormat="1" ht="11.5">
      <c r="A238" s="126"/>
      <c r="B238" s="127"/>
      <c r="C238" s="127"/>
      <c r="D238" s="127"/>
      <c r="E238" s="128" t="s">
        <v>592</v>
      </c>
      <c r="F238" s="129"/>
      <c r="G238" s="130">
        <f>SUM(G237:G237)</f>
        <v>0.31</v>
      </c>
    </row>
    <row r="239" spans="1:7" s="115" customFormat="1" ht="11.5">
      <c r="A239" s="126"/>
      <c r="B239" s="127"/>
      <c r="C239" s="127"/>
      <c r="D239" s="127"/>
      <c r="E239" s="131" t="s">
        <v>78</v>
      </c>
      <c r="F239" s="132">
        <f>A235</f>
        <v>95378</v>
      </c>
      <c r="G239" s="133">
        <f>SUM(G238)</f>
        <v>0.31</v>
      </c>
    </row>
    <row r="240" spans="1:7" s="115" customFormat="1" ht="11.5">
      <c r="A240" s="126"/>
      <c r="B240" s="127"/>
      <c r="C240" s="127"/>
      <c r="D240" s="127"/>
      <c r="E240" s="134"/>
      <c r="F240" s="135"/>
      <c r="G240" s="135"/>
    </row>
    <row r="241" spans="1:7" s="115" customFormat="1" ht="34.5">
      <c r="A241" s="113">
        <v>100315</v>
      </c>
      <c r="B241" s="114" t="s">
        <v>651</v>
      </c>
      <c r="C241" s="114"/>
      <c r="D241" s="114"/>
      <c r="E241" s="113"/>
      <c r="F241" s="114"/>
      <c r="G241" s="114"/>
    </row>
    <row r="242" spans="1:7" s="115" customFormat="1" ht="23">
      <c r="A242" s="116" t="s">
        <v>130</v>
      </c>
      <c r="B242" s="117"/>
      <c r="C242" s="118" t="s">
        <v>4</v>
      </c>
      <c r="D242" s="118" t="s">
        <v>66</v>
      </c>
      <c r="E242" s="119" t="s">
        <v>67</v>
      </c>
      <c r="F242" s="118" t="s">
        <v>765</v>
      </c>
      <c r="G242" s="118" t="s">
        <v>69</v>
      </c>
    </row>
    <row r="243" spans="1:7" s="115" customFormat="1" ht="11.5">
      <c r="A243" s="120" t="s">
        <v>139</v>
      </c>
      <c r="B243" s="121" t="s">
        <v>140</v>
      </c>
      <c r="C243" s="122" t="s">
        <v>24</v>
      </c>
      <c r="D243" s="122" t="s">
        <v>27</v>
      </c>
      <c r="E243" s="137">
        <v>1.354E-2</v>
      </c>
      <c r="F243" s="124">
        <v>4775.3100000000004</v>
      </c>
      <c r="G243" s="125">
        <f>TRUNC(TRUNC(E243,8)*F243,2)</f>
        <v>64.650000000000006</v>
      </c>
    </row>
    <row r="244" spans="1:7" s="115" customFormat="1" ht="11.5">
      <c r="A244" s="126"/>
      <c r="B244" s="127"/>
      <c r="C244" s="127"/>
      <c r="D244" s="127"/>
      <c r="E244" s="128" t="s">
        <v>592</v>
      </c>
      <c r="F244" s="129"/>
      <c r="G244" s="130">
        <f>SUM(G243:G243)</f>
        <v>64.650000000000006</v>
      </c>
    </row>
    <row r="245" spans="1:7" s="115" customFormat="1" ht="11.5">
      <c r="A245" s="126"/>
      <c r="B245" s="127"/>
      <c r="C245" s="127"/>
      <c r="D245" s="127"/>
      <c r="E245" s="131" t="s">
        <v>78</v>
      </c>
      <c r="F245" s="132">
        <f>A241</f>
        <v>100315</v>
      </c>
      <c r="G245" s="133">
        <f>SUM(G244)</f>
        <v>64.650000000000006</v>
      </c>
    </row>
    <row r="246" spans="1:7" s="115" customFormat="1" ht="11.5">
      <c r="A246" s="126"/>
      <c r="B246" s="127"/>
      <c r="C246" s="127"/>
      <c r="D246" s="127"/>
      <c r="E246" s="134"/>
      <c r="F246" s="135"/>
      <c r="G246" s="135"/>
    </row>
    <row r="247" spans="1:7" s="115" customFormat="1" ht="11.5">
      <c r="A247" s="113">
        <v>88264</v>
      </c>
      <c r="B247" s="114" t="s">
        <v>418</v>
      </c>
      <c r="C247" s="114"/>
      <c r="D247" s="114"/>
      <c r="E247" s="113"/>
      <c r="F247" s="114"/>
      <c r="G247" s="114"/>
    </row>
    <row r="248" spans="1:7" s="115" customFormat="1" ht="23">
      <c r="A248" s="116" t="s">
        <v>145</v>
      </c>
      <c r="B248" s="117"/>
      <c r="C248" s="118" t="s">
        <v>4</v>
      </c>
      <c r="D248" s="118" t="s">
        <v>66</v>
      </c>
      <c r="E248" s="119" t="s">
        <v>67</v>
      </c>
      <c r="F248" s="118" t="s">
        <v>765</v>
      </c>
      <c r="G248" s="118" t="s">
        <v>69</v>
      </c>
    </row>
    <row r="249" spans="1:7" s="115" customFormat="1" ht="23">
      <c r="A249" s="120" t="s">
        <v>150</v>
      </c>
      <c r="B249" s="121" t="s">
        <v>151</v>
      </c>
      <c r="C249" s="122" t="s">
        <v>24</v>
      </c>
      <c r="D249" s="122" t="s">
        <v>87</v>
      </c>
      <c r="E249" s="140">
        <v>1</v>
      </c>
      <c r="F249" s="124">
        <v>0.92</v>
      </c>
      <c r="G249" s="125">
        <f t="shared" ref="G249:G254" si="4">TRUNC(TRUNC(E249,8)*F249,2)</f>
        <v>0.92</v>
      </c>
    </row>
    <row r="250" spans="1:7" s="115" customFormat="1" ht="23">
      <c r="A250" s="120" t="s">
        <v>156</v>
      </c>
      <c r="B250" s="121" t="s">
        <v>157</v>
      </c>
      <c r="C250" s="122" t="s">
        <v>24</v>
      </c>
      <c r="D250" s="122" t="s">
        <v>87</v>
      </c>
      <c r="E250" s="140">
        <v>1</v>
      </c>
      <c r="F250" s="124">
        <v>1.26</v>
      </c>
      <c r="G250" s="125">
        <f t="shared" si="4"/>
        <v>1.26</v>
      </c>
    </row>
    <row r="251" spans="1:7" s="115" customFormat="1" ht="23">
      <c r="A251" s="120" t="s">
        <v>143</v>
      </c>
      <c r="B251" s="121" t="s">
        <v>144</v>
      </c>
      <c r="C251" s="122" t="s">
        <v>24</v>
      </c>
      <c r="D251" s="122" t="s">
        <v>87</v>
      </c>
      <c r="E251" s="140">
        <v>1</v>
      </c>
      <c r="F251" s="124">
        <v>1.43</v>
      </c>
      <c r="G251" s="125">
        <f t="shared" si="4"/>
        <v>1.43</v>
      </c>
    </row>
    <row r="252" spans="1:7" s="115" customFormat="1" ht="23">
      <c r="A252" s="120" t="s">
        <v>160</v>
      </c>
      <c r="B252" s="121" t="s">
        <v>161</v>
      </c>
      <c r="C252" s="122" t="s">
        <v>24</v>
      </c>
      <c r="D252" s="122" t="s">
        <v>87</v>
      </c>
      <c r="E252" s="140">
        <v>1</v>
      </c>
      <c r="F252" s="124">
        <v>0.86</v>
      </c>
      <c r="G252" s="125">
        <f t="shared" si="4"/>
        <v>0.86</v>
      </c>
    </row>
    <row r="253" spans="1:7" s="115" customFormat="1" ht="23">
      <c r="A253" s="120" t="s">
        <v>202</v>
      </c>
      <c r="B253" s="121" t="s">
        <v>203</v>
      </c>
      <c r="C253" s="122" t="s">
        <v>24</v>
      </c>
      <c r="D253" s="122" t="s">
        <v>87</v>
      </c>
      <c r="E253" s="140">
        <v>1</v>
      </c>
      <c r="F253" s="124">
        <v>0.08</v>
      </c>
      <c r="G253" s="125">
        <f t="shared" si="4"/>
        <v>0.08</v>
      </c>
    </row>
    <row r="254" spans="1:7" s="115" customFormat="1" ht="23">
      <c r="A254" s="120" t="s">
        <v>154</v>
      </c>
      <c r="B254" s="121" t="s">
        <v>155</v>
      </c>
      <c r="C254" s="122" t="s">
        <v>24</v>
      </c>
      <c r="D254" s="122" t="s">
        <v>87</v>
      </c>
      <c r="E254" s="140">
        <v>1</v>
      </c>
      <c r="F254" s="124">
        <v>0.8</v>
      </c>
      <c r="G254" s="125">
        <f t="shared" si="4"/>
        <v>0.8</v>
      </c>
    </row>
    <row r="255" spans="1:7" s="115" customFormat="1" ht="11.5">
      <c r="A255" s="126"/>
      <c r="B255" s="127"/>
      <c r="C255" s="127"/>
      <c r="D255" s="127"/>
      <c r="E255" s="128" t="s">
        <v>591</v>
      </c>
      <c r="F255" s="129"/>
      <c r="G255" s="130">
        <f>SUM(G249:G254)</f>
        <v>5.3500000000000005</v>
      </c>
    </row>
    <row r="256" spans="1:7" s="115" customFormat="1" ht="23">
      <c r="A256" s="116" t="s">
        <v>130</v>
      </c>
      <c r="B256" s="117"/>
      <c r="C256" s="118" t="s">
        <v>4</v>
      </c>
      <c r="D256" s="118" t="s">
        <v>66</v>
      </c>
      <c r="E256" s="119" t="s">
        <v>67</v>
      </c>
      <c r="F256" s="118" t="s">
        <v>765</v>
      </c>
      <c r="G256" s="118" t="s">
        <v>69</v>
      </c>
    </row>
    <row r="257" spans="1:7" s="115" customFormat="1" ht="11.5">
      <c r="A257" s="120" t="s">
        <v>133</v>
      </c>
      <c r="B257" s="121" t="s">
        <v>134</v>
      </c>
      <c r="C257" s="122" t="s">
        <v>24</v>
      </c>
      <c r="D257" s="122" t="s">
        <v>87</v>
      </c>
      <c r="E257" s="140">
        <v>1</v>
      </c>
      <c r="F257" s="124">
        <v>19.48</v>
      </c>
      <c r="G257" s="125">
        <f>TRUNC(TRUNC(E257,8)*F257,2)</f>
        <v>19.48</v>
      </c>
    </row>
    <row r="258" spans="1:7" s="115" customFormat="1" ht="11.5">
      <c r="A258" s="126"/>
      <c r="B258" s="127"/>
      <c r="C258" s="127"/>
      <c r="D258" s="127"/>
      <c r="E258" s="128" t="s">
        <v>592</v>
      </c>
      <c r="F258" s="129"/>
      <c r="G258" s="130">
        <f>SUM(G257:G257)</f>
        <v>19.48</v>
      </c>
    </row>
    <row r="259" spans="1:7" s="115" customFormat="1" ht="23">
      <c r="A259" s="116" t="s">
        <v>73</v>
      </c>
      <c r="B259" s="117"/>
      <c r="C259" s="118" t="s">
        <v>4</v>
      </c>
      <c r="D259" s="118" t="s">
        <v>66</v>
      </c>
      <c r="E259" s="119" t="s">
        <v>67</v>
      </c>
      <c r="F259" s="118" t="s">
        <v>765</v>
      </c>
      <c r="G259" s="118" t="s">
        <v>69</v>
      </c>
    </row>
    <row r="260" spans="1:7" s="115" customFormat="1" ht="23">
      <c r="A260" s="120" t="s">
        <v>354</v>
      </c>
      <c r="B260" s="121" t="s">
        <v>355</v>
      </c>
      <c r="C260" s="122" t="s">
        <v>24</v>
      </c>
      <c r="D260" s="122" t="s">
        <v>87</v>
      </c>
      <c r="E260" s="140">
        <v>1</v>
      </c>
      <c r="F260" s="124">
        <v>0.72</v>
      </c>
      <c r="G260" s="125">
        <f>TRUNC(TRUNC(E260,8)*F260,2)</f>
        <v>0.72</v>
      </c>
    </row>
    <row r="261" spans="1:7" s="115" customFormat="1" ht="11.5">
      <c r="A261" s="126"/>
      <c r="B261" s="127"/>
      <c r="C261" s="127"/>
      <c r="D261" s="127"/>
      <c r="E261" s="128" t="s">
        <v>77</v>
      </c>
      <c r="F261" s="129"/>
      <c r="G261" s="130">
        <f>SUM(G260:G260)</f>
        <v>0.72</v>
      </c>
    </row>
    <row r="262" spans="1:7" s="115" customFormat="1" ht="11.5">
      <c r="A262" s="126"/>
      <c r="B262" s="127"/>
      <c r="C262" s="127"/>
      <c r="D262" s="127"/>
      <c r="E262" s="131" t="s">
        <v>78</v>
      </c>
      <c r="F262" s="132">
        <f>A247</f>
        <v>88264</v>
      </c>
      <c r="G262" s="133">
        <f>SUM(G255,G258,G261)</f>
        <v>25.55</v>
      </c>
    </row>
    <row r="263" spans="1:7" s="115" customFormat="1" ht="11.5">
      <c r="A263" s="126"/>
      <c r="B263" s="127"/>
      <c r="C263" s="127"/>
      <c r="D263" s="127"/>
      <c r="E263" s="134"/>
      <c r="F263" s="135"/>
      <c r="G263" s="135"/>
    </row>
    <row r="264" spans="1:7" s="115" customFormat="1" ht="23">
      <c r="A264" s="113">
        <v>88267</v>
      </c>
      <c r="B264" s="114" t="s">
        <v>419</v>
      </c>
      <c r="C264" s="114"/>
      <c r="D264" s="114"/>
      <c r="E264" s="113"/>
      <c r="F264" s="114"/>
      <c r="G264" s="114"/>
    </row>
    <row r="265" spans="1:7" s="115" customFormat="1" ht="23">
      <c r="A265" s="116" t="s">
        <v>145</v>
      </c>
      <c r="B265" s="117"/>
      <c r="C265" s="118" t="s">
        <v>4</v>
      </c>
      <c r="D265" s="118" t="s">
        <v>66</v>
      </c>
      <c r="E265" s="119" t="s">
        <v>67</v>
      </c>
      <c r="F265" s="118" t="s">
        <v>765</v>
      </c>
      <c r="G265" s="118" t="s">
        <v>69</v>
      </c>
    </row>
    <row r="266" spans="1:7" s="115" customFormat="1" ht="23">
      <c r="A266" s="120" t="s">
        <v>150</v>
      </c>
      <c r="B266" s="121" t="s">
        <v>151</v>
      </c>
      <c r="C266" s="122" t="s">
        <v>24</v>
      </c>
      <c r="D266" s="122" t="s">
        <v>87</v>
      </c>
      <c r="E266" s="140">
        <v>1</v>
      </c>
      <c r="F266" s="124">
        <v>0.92</v>
      </c>
      <c r="G266" s="125">
        <f t="shared" ref="G266:G271" si="5">TRUNC(TRUNC(E266,8)*F266,2)</f>
        <v>0.92</v>
      </c>
    </row>
    <row r="267" spans="1:7" s="115" customFormat="1" ht="23">
      <c r="A267" s="120" t="s">
        <v>220</v>
      </c>
      <c r="B267" s="121" t="s">
        <v>221</v>
      </c>
      <c r="C267" s="122" t="s">
        <v>24</v>
      </c>
      <c r="D267" s="122" t="s">
        <v>87</v>
      </c>
      <c r="E267" s="140">
        <v>1</v>
      </c>
      <c r="F267" s="124">
        <v>1.1299999999999999</v>
      </c>
      <c r="G267" s="125">
        <f t="shared" si="5"/>
        <v>1.1299999999999999</v>
      </c>
    </row>
    <row r="268" spans="1:7" s="115" customFormat="1" ht="23">
      <c r="A268" s="120" t="s">
        <v>143</v>
      </c>
      <c r="B268" s="121" t="s">
        <v>144</v>
      </c>
      <c r="C268" s="122" t="s">
        <v>24</v>
      </c>
      <c r="D268" s="122" t="s">
        <v>87</v>
      </c>
      <c r="E268" s="140">
        <v>1</v>
      </c>
      <c r="F268" s="124">
        <v>1.43</v>
      </c>
      <c r="G268" s="125">
        <f t="shared" si="5"/>
        <v>1.43</v>
      </c>
    </row>
    <row r="269" spans="1:7" s="115" customFormat="1" ht="23">
      <c r="A269" s="120" t="s">
        <v>224</v>
      </c>
      <c r="B269" s="121" t="s">
        <v>225</v>
      </c>
      <c r="C269" s="122" t="s">
        <v>24</v>
      </c>
      <c r="D269" s="122" t="s">
        <v>87</v>
      </c>
      <c r="E269" s="140">
        <v>1</v>
      </c>
      <c r="F269" s="124">
        <v>0.31</v>
      </c>
      <c r="G269" s="125">
        <f t="shared" si="5"/>
        <v>0.31</v>
      </c>
    </row>
    <row r="270" spans="1:7" s="115" customFormat="1" ht="23">
      <c r="A270" s="120" t="s">
        <v>202</v>
      </c>
      <c r="B270" s="121" t="s">
        <v>203</v>
      </c>
      <c r="C270" s="122" t="s">
        <v>24</v>
      </c>
      <c r="D270" s="122" t="s">
        <v>87</v>
      </c>
      <c r="E270" s="140">
        <v>1</v>
      </c>
      <c r="F270" s="124">
        <v>0.08</v>
      </c>
      <c r="G270" s="125">
        <f t="shared" si="5"/>
        <v>0.08</v>
      </c>
    </row>
    <row r="271" spans="1:7" s="115" customFormat="1" ht="23">
      <c r="A271" s="120" t="s">
        <v>154</v>
      </c>
      <c r="B271" s="121" t="s">
        <v>155</v>
      </c>
      <c r="C271" s="122" t="s">
        <v>24</v>
      </c>
      <c r="D271" s="122" t="s">
        <v>87</v>
      </c>
      <c r="E271" s="140">
        <v>1</v>
      </c>
      <c r="F271" s="124">
        <v>0.8</v>
      </c>
      <c r="G271" s="125">
        <f t="shared" si="5"/>
        <v>0.8</v>
      </c>
    </row>
    <row r="272" spans="1:7" s="115" customFormat="1" ht="11.5">
      <c r="A272" s="126"/>
      <c r="B272" s="127"/>
      <c r="C272" s="127"/>
      <c r="D272" s="127"/>
      <c r="E272" s="128" t="s">
        <v>591</v>
      </c>
      <c r="F272" s="129"/>
      <c r="G272" s="130">
        <f>SUM(G266:G271)</f>
        <v>4.67</v>
      </c>
    </row>
    <row r="273" spans="1:7" s="115" customFormat="1" ht="23">
      <c r="A273" s="116" t="s">
        <v>130</v>
      </c>
      <c r="B273" s="117"/>
      <c r="C273" s="118" t="s">
        <v>4</v>
      </c>
      <c r="D273" s="118" t="s">
        <v>66</v>
      </c>
      <c r="E273" s="119" t="s">
        <v>67</v>
      </c>
      <c r="F273" s="118" t="s">
        <v>765</v>
      </c>
      <c r="G273" s="118" t="s">
        <v>69</v>
      </c>
    </row>
    <row r="274" spans="1:7" s="115" customFormat="1" ht="11.5">
      <c r="A274" s="120" t="s">
        <v>214</v>
      </c>
      <c r="B274" s="121" t="s">
        <v>215</v>
      </c>
      <c r="C274" s="122" t="s">
        <v>24</v>
      </c>
      <c r="D274" s="122" t="s">
        <v>87</v>
      </c>
      <c r="E274" s="140">
        <v>1</v>
      </c>
      <c r="F274" s="124">
        <v>19.18</v>
      </c>
      <c r="G274" s="125">
        <f>TRUNC(TRUNC(E274,8)*F274,2)</f>
        <v>19.18</v>
      </c>
    </row>
    <row r="275" spans="1:7" s="115" customFormat="1" ht="11.5">
      <c r="A275" s="126"/>
      <c r="B275" s="127"/>
      <c r="C275" s="127"/>
      <c r="D275" s="127"/>
      <c r="E275" s="128" t="s">
        <v>592</v>
      </c>
      <c r="F275" s="129"/>
      <c r="G275" s="130">
        <f>SUM(G274:G274)</f>
        <v>19.18</v>
      </c>
    </row>
    <row r="276" spans="1:7" s="115" customFormat="1" ht="23">
      <c r="A276" s="116" t="s">
        <v>73</v>
      </c>
      <c r="B276" s="117"/>
      <c r="C276" s="118" t="s">
        <v>4</v>
      </c>
      <c r="D276" s="118" t="s">
        <v>66</v>
      </c>
      <c r="E276" s="119" t="s">
        <v>67</v>
      </c>
      <c r="F276" s="118" t="s">
        <v>765</v>
      </c>
      <c r="G276" s="118" t="s">
        <v>69</v>
      </c>
    </row>
    <row r="277" spans="1:7" s="115" customFormat="1" ht="23">
      <c r="A277" s="120" t="s">
        <v>356</v>
      </c>
      <c r="B277" s="121" t="s">
        <v>357</v>
      </c>
      <c r="C277" s="122" t="s">
        <v>24</v>
      </c>
      <c r="D277" s="122" t="s">
        <v>87</v>
      </c>
      <c r="E277" s="140">
        <v>1</v>
      </c>
      <c r="F277" s="124">
        <v>0.34</v>
      </c>
      <c r="G277" s="125">
        <f>TRUNC(TRUNC(E277,8)*F277,2)</f>
        <v>0.34</v>
      </c>
    </row>
    <row r="278" spans="1:7" s="115" customFormat="1" ht="11.5">
      <c r="A278" s="126"/>
      <c r="B278" s="127"/>
      <c r="C278" s="127"/>
      <c r="D278" s="127"/>
      <c r="E278" s="128" t="s">
        <v>77</v>
      </c>
      <c r="F278" s="129"/>
      <c r="G278" s="130">
        <f>SUM(G277:G277)</f>
        <v>0.34</v>
      </c>
    </row>
    <row r="279" spans="1:7" s="115" customFormat="1" ht="11.5">
      <c r="A279" s="126"/>
      <c r="B279" s="127"/>
      <c r="C279" s="127"/>
      <c r="D279" s="127"/>
      <c r="E279" s="131" t="s">
        <v>78</v>
      </c>
      <c r="F279" s="132">
        <f>A264</f>
        <v>88267</v>
      </c>
      <c r="G279" s="133">
        <f>SUM(G272,G275,G278)</f>
        <v>24.19</v>
      </c>
    </row>
    <row r="280" spans="1:7" s="115" customFormat="1" ht="11.5">
      <c r="A280" s="126"/>
      <c r="B280" s="127"/>
      <c r="C280" s="127"/>
      <c r="D280" s="127"/>
      <c r="E280" s="134"/>
      <c r="F280" s="135"/>
      <c r="G280" s="135"/>
    </row>
    <row r="281" spans="1:7" s="115" customFormat="1" ht="23">
      <c r="A281" s="113">
        <v>93572</v>
      </c>
      <c r="B281" s="114" t="s">
        <v>420</v>
      </c>
      <c r="C281" s="114"/>
      <c r="D281" s="114"/>
      <c r="E281" s="113"/>
      <c r="F281" s="114"/>
      <c r="G281" s="114"/>
    </row>
    <row r="282" spans="1:7" s="115" customFormat="1" ht="23">
      <c r="A282" s="116" t="s">
        <v>145</v>
      </c>
      <c r="B282" s="117"/>
      <c r="C282" s="118" t="s">
        <v>4</v>
      </c>
      <c r="D282" s="118" t="s">
        <v>66</v>
      </c>
      <c r="E282" s="119" t="s">
        <v>67</v>
      </c>
      <c r="F282" s="118" t="s">
        <v>765</v>
      </c>
      <c r="G282" s="118" t="s">
        <v>69</v>
      </c>
    </row>
    <row r="283" spans="1:7" s="115" customFormat="1" ht="23">
      <c r="A283" s="120" t="s">
        <v>162</v>
      </c>
      <c r="B283" s="121" t="s">
        <v>163</v>
      </c>
      <c r="C283" s="122" t="s">
        <v>24</v>
      </c>
      <c r="D283" s="122" t="s">
        <v>27</v>
      </c>
      <c r="E283" s="140">
        <v>1</v>
      </c>
      <c r="F283" s="124">
        <v>241.99</v>
      </c>
      <c r="G283" s="125">
        <f>TRUNC(TRUNC(E283,8)*F283,2)</f>
        <v>241.99</v>
      </c>
    </row>
    <row r="284" spans="1:7" s="115" customFormat="1" ht="23">
      <c r="A284" s="120" t="s">
        <v>148</v>
      </c>
      <c r="B284" s="121" t="s">
        <v>149</v>
      </c>
      <c r="C284" s="122" t="s">
        <v>24</v>
      </c>
      <c r="D284" s="122" t="s">
        <v>27</v>
      </c>
      <c r="E284" s="140">
        <v>1</v>
      </c>
      <c r="F284" s="124">
        <v>270.51</v>
      </c>
      <c r="G284" s="125">
        <f>TRUNC(TRUNC(E284,8)*F284,2)</f>
        <v>270.51</v>
      </c>
    </row>
    <row r="285" spans="1:7" s="115" customFormat="1" ht="34.5">
      <c r="A285" s="120" t="s">
        <v>188</v>
      </c>
      <c r="B285" s="121" t="s">
        <v>189</v>
      </c>
      <c r="C285" s="122" t="s">
        <v>24</v>
      </c>
      <c r="D285" s="122" t="s">
        <v>27</v>
      </c>
      <c r="E285" s="140">
        <v>1</v>
      </c>
      <c r="F285" s="124">
        <v>15.46</v>
      </c>
      <c r="G285" s="125">
        <f>TRUNC(TRUNC(E285,8)*F285,2)</f>
        <v>15.46</v>
      </c>
    </row>
    <row r="286" spans="1:7" s="115" customFormat="1" ht="23">
      <c r="A286" s="120" t="s">
        <v>228</v>
      </c>
      <c r="B286" s="121" t="s">
        <v>229</v>
      </c>
      <c r="C286" s="122" t="s">
        <v>24</v>
      </c>
      <c r="D286" s="122" t="s">
        <v>27</v>
      </c>
      <c r="E286" s="140">
        <v>1</v>
      </c>
      <c r="F286" s="124">
        <v>15.46</v>
      </c>
      <c r="G286" s="125">
        <f>TRUNC(TRUNC(E286,8)*F286,2)</f>
        <v>15.46</v>
      </c>
    </row>
    <row r="287" spans="1:7" s="115" customFormat="1" ht="11.5">
      <c r="A287" s="126"/>
      <c r="B287" s="127"/>
      <c r="C287" s="127"/>
      <c r="D287" s="127"/>
      <c r="E287" s="128" t="s">
        <v>591</v>
      </c>
      <c r="F287" s="129"/>
      <c r="G287" s="130">
        <f>SUM(G283:G286)</f>
        <v>543.42000000000007</v>
      </c>
    </row>
    <row r="288" spans="1:7" s="115" customFormat="1" ht="23">
      <c r="A288" s="116" t="s">
        <v>130</v>
      </c>
      <c r="B288" s="117"/>
      <c r="C288" s="118" t="s">
        <v>4</v>
      </c>
      <c r="D288" s="118" t="s">
        <v>66</v>
      </c>
      <c r="E288" s="119" t="s">
        <v>67</v>
      </c>
      <c r="F288" s="118" t="s">
        <v>765</v>
      </c>
      <c r="G288" s="118" t="s">
        <v>69</v>
      </c>
    </row>
    <row r="289" spans="1:7" s="115" customFormat="1" ht="11.5">
      <c r="A289" s="120" t="s">
        <v>131</v>
      </c>
      <c r="B289" s="121" t="s">
        <v>132</v>
      </c>
      <c r="C289" s="122" t="s">
        <v>24</v>
      </c>
      <c r="D289" s="122" t="s">
        <v>27</v>
      </c>
      <c r="E289" s="140">
        <v>1</v>
      </c>
      <c r="F289" s="124">
        <v>3673.17</v>
      </c>
      <c r="G289" s="125">
        <f>TRUNC(TRUNC(E289,8)*F289,2)</f>
        <v>3673.17</v>
      </c>
    </row>
    <row r="290" spans="1:7" s="115" customFormat="1" ht="11.5">
      <c r="A290" s="126"/>
      <c r="B290" s="127"/>
      <c r="C290" s="127"/>
      <c r="D290" s="127"/>
      <c r="E290" s="128" t="s">
        <v>592</v>
      </c>
      <c r="F290" s="129"/>
      <c r="G290" s="130">
        <f>SUM(G289:G289)</f>
        <v>3673.17</v>
      </c>
    </row>
    <row r="291" spans="1:7" s="115" customFormat="1" ht="23">
      <c r="A291" s="116" t="s">
        <v>73</v>
      </c>
      <c r="B291" s="117"/>
      <c r="C291" s="118" t="s">
        <v>4</v>
      </c>
      <c r="D291" s="118" t="s">
        <v>66</v>
      </c>
      <c r="E291" s="119" t="s">
        <v>67</v>
      </c>
      <c r="F291" s="118" t="s">
        <v>765</v>
      </c>
      <c r="G291" s="118" t="s">
        <v>69</v>
      </c>
    </row>
    <row r="292" spans="1:7" s="115" customFormat="1" ht="23">
      <c r="A292" s="120" t="s">
        <v>358</v>
      </c>
      <c r="B292" s="121" t="s">
        <v>359</v>
      </c>
      <c r="C292" s="122" t="s">
        <v>24</v>
      </c>
      <c r="D292" s="122" t="s">
        <v>27</v>
      </c>
      <c r="E292" s="140">
        <v>1</v>
      </c>
      <c r="F292" s="124">
        <v>58.66</v>
      </c>
      <c r="G292" s="125">
        <f>TRUNC(TRUNC(E292,8)*F292,2)</f>
        <v>58.66</v>
      </c>
    </row>
    <row r="293" spans="1:7" s="115" customFormat="1" ht="11.5">
      <c r="A293" s="126"/>
      <c r="B293" s="127"/>
      <c r="C293" s="127"/>
      <c r="D293" s="127"/>
      <c r="E293" s="128" t="s">
        <v>77</v>
      </c>
      <c r="F293" s="129"/>
      <c r="G293" s="130">
        <f>SUM(G292:G292)</f>
        <v>58.66</v>
      </c>
    </row>
    <row r="294" spans="1:7" s="115" customFormat="1" ht="11.5">
      <c r="A294" s="126"/>
      <c r="B294" s="127"/>
      <c r="C294" s="127"/>
      <c r="D294" s="127"/>
      <c r="E294" s="131" t="s">
        <v>78</v>
      </c>
      <c r="F294" s="132">
        <f>A281</f>
        <v>93572</v>
      </c>
      <c r="G294" s="133">
        <f>SUM(G287,G290,G293)</f>
        <v>4275.25</v>
      </c>
    </row>
    <row r="295" spans="1:7" s="115" customFormat="1" ht="11.5">
      <c r="A295" s="126"/>
      <c r="B295" s="127"/>
      <c r="C295" s="127"/>
      <c r="D295" s="127"/>
      <c r="E295" s="134"/>
      <c r="F295" s="135"/>
      <c r="G295" s="135"/>
    </row>
    <row r="296" spans="1:7" s="115" customFormat="1" ht="23">
      <c r="A296" s="113">
        <v>93567</v>
      </c>
      <c r="B296" s="114" t="s">
        <v>401</v>
      </c>
      <c r="C296" s="114"/>
      <c r="D296" s="114"/>
      <c r="E296" s="113"/>
      <c r="F296" s="114"/>
      <c r="G296" s="114"/>
    </row>
    <row r="297" spans="1:7" s="115" customFormat="1" ht="23">
      <c r="A297" s="116" t="s">
        <v>145</v>
      </c>
      <c r="B297" s="117"/>
      <c r="C297" s="118" t="s">
        <v>4</v>
      </c>
      <c r="D297" s="118" t="s">
        <v>66</v>
      </c>
      <c r="E297" s="119" t="s">
        <v>67</v>
      </c>
      <c r="F297" s="118" t="s">
        <v>765</v>
      </c>
      <c r="G297" s="118" t="s">
        <v>69</v>
      </c>
    </row>
    <row r="298" spans="1:7" s="115" customFormat="1" ht="23">
      <c r="A298" s="120" t="s">
        <v>170</v>
      </c>
      <c r="B298" s="121" t="s">
        <v>171</v>
      </c>
      <c r="C298" s="122" t="s">
        <v>24</v>
      </c>
      <c r="D298" s="122" t="s">
        <v>27</v>
      </c>
      <c r="E298" s="140">
        <v>1</v>
      </c>
      <c r="F298" s="124">
        <v>146</v>
      </c>
      <c r="G298" s="125">
        <f>TRUNC(TRUNC(E298,8)*F298,2)</f>
        <v>146</v>
      </c>
    </row>
    <row r="299" spans="1:7" s="115" customFormat="1" ht="23">
      <c r="A299" s="120" t="s">
        <v>148</v>
      </c>
      <c r="B299" s="121" t="s">
        <v>149</v>
      </c>
      <c r="C299" s="122" t="s">
        <v>24</v>
      </c>
      <c r="D299" s="122" t="s">
        <v>27</v>
      </c>
      <c r="E299" s="140">
        <v>1</v>
      </c>
      <c r="F299" s="124">
        <v>270.51</v>
      </c>
      <c r="G299" s="125">
        <f>TRUNC(TRUNC(E299,8)*F299,2)</f>
        <v>270.51</v>
      </c>
    </row>
    <row r="300" spans="1:7" s="115" customFormat="1" ht="23">
      <c r="A300" s="120" t="s">
        <v>218</v>
      </c>
      <c r="B300" s="121" t="s">
        <v>219</v>
      </c>
      <c r="C300" s="122" t="s">
        <v>24</v>
      </c>
      <c r="D300" s="122" t="s">
        <v>27</v>
      </c>
      <c r="E300" s="140">
        <v>1</v>
      </c>
      <c r="F300" s="124">
        <v>2.35</v>
      </c>
      <c r="G300" s="125">
        <f>TRUNC(TRUNC(E300,8)*F300,2)</f>
        <v>2.35</v>
      </c>
    </row>
    <row r="301" spans="1:7" s="115" customFormat="1" ht="23">
      <c r="A301" s="120" t="s">
        <v>228</v>
      </c>
      <c r="B301" s="121" t="s">
        <v>229</v>
      </c>
      <c r="C301" s="122" t="s">
        <v>24</v>
      </c>
      <c r="D301" s="122" t="s">
        <v>27</v>
      </c>
      <c r="E301" s="140">
        <v>1</v>
      </c>
      <c r="F301" s="124">
        <v>15.46</v>
      </c>
      <c r="G301" s="125">
        <f>TRUNC(TRUNC(E301,8)*F301,2)</f>
        <v>15.46</v>
      </c>
    </row>
    <row r="302" spans="1:7" s="115" customFormat="1" ht="11.5">
      <c r="A302" s="126"/>
      <c r="B302" s="127"/>
      <c r="C302" s="127"/>
      <c r="D302" s="127"/>
      <c r="E302" s="128" t="s">
        <v>591</v>
      </c>
      <c r="F302" s="129"/>
      <c r="G302" s="130">
        <f>SUM(G298:G301)</f>
        <v>434.32</v>
      </c>
    </row>
    <row r="303" spans="1:7" s="115" customFormat="1" ht="23">
      <c r="A303" s="116" t="s">
        <v>130</v>
      </c>
      <c r="B303" s="117"/>
      <c r="C303" s="118" t="s">
        <v>4</v>
      </c>
      <c r="D303" s="118" t="s">
        <v>66</v>
      </c>
      <c r="E303" s="119" t="s">
        <v>67</v>
      </c>
      <c r="F303" s="118" t="s">
        <v>765</v>
      </c>
      <c r="G303" s="118" t="s">
        <v>69</v>
      </c>
    </row>
    <row r="304" spans="1:7" s="115" customFormat="1" ht="11.5">
      <c r="A304" s="120" t="s">
        <v>128</v>
      </c>
      <c r="B304" s="121" t="s">
        <v>129</v>
      </c>
      <c r="C304" s="122" t="s">
        <v>24</v>
      </c>
      <c r="D304" s="122" t="s">
        <v>27</v>
      </c>
      <c r="E304" s="140">
        <v>1</v>
      </c>
      <c r="F304" s="124">
        <v>23272.23</v>
      </c>
      <c r="G304" s="125">
        <f>TRUNC(TRUNC(E304,8)*F304,2)</f>
        <v>23272.23</v>
      </c>
    </row>
    <row r="305" spans="1:7" s="115" customFormat="1" ht="11.5">
      <c r="A305" s="126"/>
      <c r="B305" s="127"/>
      <c r="C305" s="127"/>
      <c r="D305" s="127"/>
      <c r="E305" s="128" t="s">
        <v>592</v>
      </c>
      <c r="F305" s="129"/>
      <c r="G305" s="130">
        <f>SUM(G304:G304)</f>
        <v>23272.23</v>
      </c>
    </row>
    <row r="306" spans="1:7" s="115" customFormat="1" ht="23">
      <c r="A306" s="116" t="s">
        <v>73</v>
      </c>
      <c r="B306" s="117"/>
      <c r="C306" s="118" t="s">
        <v>4</v>
      </c>
      <c r="D306" s="118" t="s">
        <v>66</v>
      </c>
      <c r="E306" s="119" t="s">
        <v>67</v>
      </c>
      <c r="F306" s="118" t="s">
        <v>765</v>
      </c>
      <c r="G306" s="118" t="s">
        <v>69</v>
      </c>
    </row>
    <row r="307" spans="1:7" s="115" customFormat="1" ht="23">
      <c r="A307" s="120" t="s">
        <v>360</v>
      </c>
      <c r="B307" s="121" t="s">
        <v>361</v>
      </c>
      <c r="C307" s="122" t="s">
        <v>24</v>
      </c>
      <c r="D307" s="122" t="s">
        <v>27</v>
      </c>
      <c r="E307" s="140">
        <v>1</v>
      </c>
      <c r="F307" s="124">
        <v>258.77999999999997</v>
      </c>
      <c r="G307" s="125">
        <f>TRUNC(TRUNC(E307,8)*F307,2)</f>
        <v>258.77999999999997</v>
      </c>
    </row>
    <row r="308" spans="1:7" s="115" customFormat="1" ht="11.5">
      <c r="A308" s="126"/>
      <c r="B308" s="127"/>
      <c r="C308" s="127"/>
      <c r="D308" s="127"/>
      <c r="E308" s="128" t="s">
        <v>77</v>
      </c>
      <c r="F308" s="129"/>
      <c r="G308" s="130">
        <f>SUM(G307:G307)</f>
        <v>258.77999999999997</v>
      </c>
    </row>
    <row r="309" spans="1:7" s="115" customFormat="1" ht="11.5">
      <c r="A309" s="126"/>
      <c r="B309" s="127"/>
      <c r="C309" s="127"/>
      <c r="D309" s="127"/>
      <c r="E309" s="131" t="s">
        <v>78</v>
      </c>
      <c r="F309" s="132">
        <f>A296</f>
        <v>93567</v>
      </c>
      <c r="G309" s="133">
        <f>SUM(G302,G305,G308)</f>
        <v>23965.329999999998</v>
      </c>
    </row>
    <row r="310" spans="1:7" s="115" customFormat="1" ht="11.5">
      <c r="A310" s="126"/>
      <c r="B310" s="127"/>
      <c r="C310" s="127"/>
      <c r="D310" s="127"/>
      <c r="E310" s="134"/>
      <c r="F310" s="135"/>
      <c r="G310" s="135"/>
    </row>
    <row r="311" spans="1:7" s="115" customFormat="1" ht="34.5">
      <c r="A311" s="113" t="s">
        <v>74</v>
      </c>
      <c r="B311" s="114" t="s">
        <v>421</v>
      </c>
      <c r="C311" s="114"/>
      <c r="D311" s="114"/>
      <c r="E311" s="113"/>
      <c r="F311" s="114"/>
      <c r="G311" s="114"/>
    </row>
    <row r="312" spans="1:7" s="115" customFormat="1" ht="23">
      <c r="A312" s="116" t="s">
        <v>145</v>
      </c>
      <c r="B312" s="117"/>
      <c r="C312" s="118" t="s">
        <v>4</v>
      </c>
      <c r="D312" s="118" t="s">
        <v>66</v>
      </c>
      <c r="E312" s="119" t="s">
        <v>67</v>
      </c>
      <c r="F312" s="118" t="s">
        <v>765</v>
      </c>
      <c r="G312" s="118" t="s">
        <v>69</v>
      </c>
    </row>
    <row r="313" spans="1:7" s="115" customFormat="1" ht="23">
      <c r="A313" s="120" t="s">
        <v>170</v>
      </c>
      <c r="B313" s="121" t="s">
        <v>171</v>
      </c>
      <c r="C313" s="122" t="s">
        <v>24</v>
      </c>
      <c r="D313" s="122" t="s">
        <v>27</v>
      </c>
      <c r="E313" s="140">
        <v>1</v>
      </c>
      <c r="F313" s="124">
        <v>146</v>
      </c>
      <c r="G313" s="125">
        <f>ROUND(ROUND(E313,8)*F313,2)</f>
        <v>146</v>
      </c>
    </row>
    <row r="314" spans="1:7" s="115" customFormat="1" ht="23">
      <c r="A314" s="120" t="s">
        <v>148</v>
      </c>
      <c r="B314" s="121" t="s">
        <v>149</v>
      </c>
      <c r="C314" s="122" t="s">
        <v>24</v>
      </c>
      <c r="D314" s="122" t="s">
        <v>27</v>
      </c>
      <c r="E314" s="140">
        <v>1</v>
      </c>
      <c r="F314" s="124">
        <v>270.51</v>
      </c>
      <c r="G314" s="125">
        <f>ROUND(ROUND(E314,8)*F314,2)</f>
        <v>270.51</v>
      </c>
    </row>
    <row r="315" spans="1:7" s="115" customFormat="1" ht="23">
      <c r="A315" s="120" t="s">
        <v>218</v>
      </c>
      <c r="B315" s="121" t="s">
        <v>219</v>
      </c>
      <c r="C315" s="122" t="s">
        <v>24</v>
      </c>
      <c r="D315" s="122" t="s">
        <v>27</v>
      </c>
      <c r="E315" s="140">
        <v>1</v>
      </c>
      <c r="F315" s="124">
        <v>2.35</v>
      </c>
      <c r="G315" s="125">
        <f>ROUND(ROUND(E315,8)*F315,2)</f>
        <v>2.35</v>
      </c>
    </row>
    <row r="316" spans="1:7" s="115" customFormat="1" ht="23">
      <c r="A316" s="120" t="s">
        <v>228</v>
      </c>
      <c r="B316" s="121" t="s">
        <v>229</v>
      </c>
      <c r="C316" s="122" t="s">
        <v>24</v>
      </c>
      <c r="D316" s="122" t="s">
        <v>27</v>
      </c>
      <c r="E316" s="140">
        <v>1</v>
      </c>
      <c r="F316" s="124">
        <v>15.46</v>
      </c>
      <c r="G316" s="125">
        <f>ROUND(ROUND(E316,8)*F316,2)</f>
        <v>15.46</v>
      </c>
    </row>
    <row r="317" spans="1:7" s="115" customFormat="1" ht="11.5">
      <c r="A317" s="126"/>
      <c r="B317" s="127"/>
      <c r="C317" s="127"/>
      <c r="D317" s="127"/>
      <c r="E317" s="128" t="s">
        <v>591</v>
      </c>
      <c r="F317" s="129"/>
      <c r="G317" s="130">
        <f>SUM(G313:G316)</f>
        <v>434.32</v>
      </c>
    </row>
    <row r="318" spans="1:7" s="115" customFormat="1" ht="23">
      <c r="A318" s="116" t="s">
        <v>130</v>
      </c>
      <c r="B318" s="117"/>
      <c r="C318" s="118" t="s">
        <v>4</v>
      </c>
      <c r="D318" s="118" t="s">
        <v>66</v>
      </c>
      <c r="E318" s="119" t="s">
        <v>67</v>
      </c>
      <c r="F318" s="118" t="s">
        <v>765</v>
      </c>
      <c r="G318" s="118" t="s">
        <v>69</v>
      </c>
    </row>
    <row r="319" spans="1:7" s="115" customFormat="1" ht="11.5">
      <c r="A319" s="120" t="s">
        <v>128</v>
      </c>
      <c r="B319" s="121" t="s">
        <v>129</v>
      </c>
      <c r="C319" s="122" t="s">
        <v>24</v>
      </c>
      <c r="D319" s="122" t="s">
        <v>27</v>
      </c>
      <c r="E319" s="140">
        <v>1</v>
      </c>
      <c r="F319" s="124">
        <v>23272.23</v>
      </c>
      <c r="G319" s="125">
        <f>ROUND(ROUND(E319,8)*F319,2)</f>
        <v>23272.23</v>
      </c>
    </row>
    <row r="320" spans="1:7" s="115" customFormat="1" ht="11.5">
      <c r="A320" s="126"/>
      <c r="B320" s="127"/>
      <c r="C320" s="127"/>
      <c r="D320" s="127"/>
      <c r="E320" s="128" t="s">
        <v>592</v>
      </c>
      <c r="F320" s="129"/>
      <c r="G320" s="130">
        <f>SUM(G319:G319)</f>
        <v>23272.23</v>
      </c>
    </row>
    <row r="321" spans="1:7" s="115" customFormat="1" ht="23">
      <c r="A321" s="116" t="s">
        <v>73</v>
      </c>
      <c r="B321" s="117"/>
      <c r="C321" s="118" t="s">
        <v>4</v>
      </c>
      <c r="D321" s="118" t="s">
        <v>66</v>
      </c>
      <c r="E321" s="119" t="s">
        <v>67</v>
      </c>
      <c r="F321" s="118" t="s">
        <v>765</v>
      </c>
      <c r="G321" s="118" t="s">
        <v>69</v>
      </c>
    </row>
    <row r="322" spans="1:7" s="115" customFormat="1" ht="23">
      <c r="A322" s="120" t="s">
        <v>360</v>
      </c>
      <c r="B322" s="121" t="s">
        <v>361</v>
      </c>
      <c r="C322" s="122" t="s">
        <v>24</v>
      </c>
      <c r="D322" s="122" t="s">
        <v>27</v>
      </c>
      <c r="E322" s="140">
        <v>1</v>
      </c>
      <c r="F322" s="124">
        <v>258.77999999999997</v>
      </c>
      <c r="G322" s="125">
        <f>ROUND(ROUND(E322,8)*F322,2)</f>
        <v>258.77999999999997</v>
      </c>
    </row>
    <row r="323" spans="1:7" s="115" customFormat="1" ht="11.5">
      <c r="A323" s="126"/>
      <c r="B323" s="127"/>
      <c r="C323" s="127"/>
      <c r="D323" s="127"/>
      <c r="E323" s="128" t="s">
        <v>77</v>
      </c>
      <c r="F323" s="129"/>
      <c r="G323" s="130">
        <f>SUM(G322:G322)</f>
        <v>258.77999999999997</v>
      </c>
    </row>
    <row r="324" spans="1:7" s="115" customFormat="1" ht="23">
      <c r="A324" s="126"/>
      <c r="B324" s="127"/>
      <c r="C324" s="127"/>
      <c r="D324" s="127"/>
      <c r="E324" s="131" t="s">
        <v>78</v>
      </c>
      <c r="F324" s="132" t="str">
        <f>A311</f>
        <v>JFPB-14064900</v>
      </c>
      <c r="G324" s="133">
        <f>SUM(G317,G320,G323)</f>
        <v>23965.329999999998</v>
      </c>
    </row>
    <row r="325" spans="1:7" s="115" customFormat="1" ht="11.5">
      <c r="A325" s="126"/>
      <c r="B325" s="127"/>
      <c r="C325" s="127"/>
      <c r="D325" s="127"/>
      <c r="E325" s="134"/>
      <c r="F325" s="135"/>
      <c r="G325" s="135"/>
    </row>
    <row r="326" spans="1:7" s="115" customFormat="1" ht="57.5">
      <c r="A326" s="113">
        <v>91170</v>
      </c>
      <c r="B326" s="114" t="s">
        <v>650</v>
      </c>
      <c r="C326" s="114"/>
      <c r="D326" s="114"/>
      <c r="E326" s="113"/>
      <c r="F326" s="114"/>
      <c r="G326" s="114"/>
    </row>
    <row r="327" spans="1:7" s="115" customFormat="1" ht="23">
      <c r="A327" s="116" t="s">
        <v>79</v>
      </c>
      <c r="B327" s="117"/>
      <c r="C327" s="118" t="s">
        <v>4</v>
      </c>
      <c r="D327" s="118" t="s">
        <v>66</v>
      </c>
      <c r="E327" s="119" t="s">
        <v>67</v>
      </c>
      <c r="F327" s="118" t="s">
        <v>765</v>
      </c>
      <c r="G327" s="118" t="s">
        <v>69</v>
      </c>
    </row>
    <row r="328" spans="1:7" s="115" customFormat="1" ht="23">
      <c r="A328" s="120" t="s">
        <v>617</v>
      </c>
      <c r="B328" s="121" t="s">
        <v>618</v>
      </c>
      <c r="C328" s="122" t="s">
        <v>24</v>
      </c>
      <c r="D328" s="122" t="s">
        <v>12</v>
      </c>
      <c r="E328" s="140">
        <v>1.7857000000000001</v>
      </c>
      <c r="F328" s="124">
        <v>2.1</v>
      </c>
      <c r="G328" s="125">
        <f>TRUNC(TRUNC(E328,8)*F328,2)</f>
        <v>3.74</v>
      </c>
    </row>
    <row r="329" spans="1:7" s="115" customFormat="1" ht="11.5">
      <c r="A329" s="126"/>
      <c r="B329" s="127"/>
      <c r="C329" s="127"/>
      <c r="D329" s="127"/>
      <c r="E329" s="128" t="s">
        <v>82</v>
      </c>
      <c r="F329" s="129"/>
      <c r="G329" s="130">
        <f>SUM(G328:G328)</f>
        <v>3.74</v>
      </c>
    </row>
    <row r="330" spans="1:7" s="115" customFormat="1" ht="23">
      <c r="A330" s="116" t="s">
        <v>65</v>
      </c>
      <c r="B330" s="117"/>
      <c r="C330" s="118" t="s">
        <v>4</v>
      </c>
      <c r="D330" s="118" t="s">
        <v>66</v>
      </c>
      <c r="E330" s="119" t="s">
        <v>67</v>
      </c>
      <c r="F330" s="118" t="s">
        <v>765</v>
      </c>
      <c r="G330" s="118" t="s">
        <v>69</v>
      </c>
    </row>
    <row r="331" spans="1:7" s="115" customFormat="1" ht="23">
      <c r="A331" s="120" t="s">
        <v>619</v>
      </c>
      <c r="B331" s="121" t="s">
        <v>117</v>
      </c>
      <c r="C331" s="122" t="s">
        <v>24</v>
      </c>
      <c r="D331" s="122" t="s">
        <v>87</v>
      </c>
      <c r="E331" s="140">
        <v>4.8000000000000001E-2</v>
      </c>
      <c r="F331" s="124">
        <v>20.51</v>
      </c>
      <c r="G331" s="125">
        <f>TRUNC(TRUNC(E331,8)*F331,2)</f>
        <v>0.98</v>
      </c>
    </row>
    <row r="332" spans="1:7" s="115" customFormat="1" ht="23">
      <c r="A332" s="120" t="s">
        <v>620</v>
      </c>
      <c r="B332" s="121" t="s">
        <v>118</v>
      </c>
      <c r="C332" s="122" t="s">
        <v>24</v>
      </c>
      <c r="D332" s="122" t="s">
        <v>87</v>
      </c>
      <c r="E332" s="140">
        <v>0.2114</v>
      </c>
      <c r="F332" s="124">
        <v>24.19</v>
      </c>
      <c r="G332" s="125">
        <f>TRUNC(TRUNC(E332,8)*F332,2)</f>
        <v>5.1100000000000003</v>
      </c>
    </row>
    <row r="333" spans="1:7" s="115" customFormat="1" ht="11.5">
      <c r="A333" s="126"/>
      <c r="B333" s="127"/>
      <c r="C333" s="127"/>
      <c r="D333" s="127"/>
      <c r="E333" s="128" t="s">
        <v>602</v>
      </c>
      <c r="F333" s="129"/>
      <c r="G333" s="130">
        <f>SUM(G331:G332)</f>
        <v>6.09</v>
      </c>
    </row>
    <row r="334" spans="1:7" s="115" customFormat="1" ht="11.5">
      <c r="A334" s="126"/>
      <c r="B334" s="127"/>
      <c r="C334" s="127"/>
      <c r="D334" s="127"/>
      <c r="E334" s="131" t="s">
        <v>78</v>
      </c>
      <c r="F334" s="132">
        <f>A326</f>
        <v>91170</v>
      </c>
      <c r="G334" s="133">
        <f>SUM(G329,G333)</f>
        <v>9.83</v>
      </c>
    </row>
    <row r="335" spans="1:7" s="115" customFormat="1" ht="11.5">
      <c r="A335" s="126"/>
      <c r="B335" s="127"/>
      <c r="C335" s="127"/>
      <c r="D335" s="127"/>
      <c r="E335" s="134"/>
      <c r="F335" s="135"/>
      <c r="G335" s="135"/>
    </row>
    <row r="336" spans="1:7" s="115" customFormat="1" ht="57.5">
      <c r="A336" s="113">
        <v>5930</v>
      </c>
      <c r="B336" s="114" t="s">
        <v>422</v>
      </c>
      <c r="C336" s="114"/>
      <c r="D336" s="114"/>
      <c r="E336" s="113"/>
      <c r="F336" s="114"/>
      <c r="G336" s="114"/>
    </row>
    <row r="337" spans="1:7" s="115" customFormat="1" ht="23">
      <c r="A337" s="116" t="s">
        <v>65</v>
      </c>
      <c r="B337" s="117"/>
      <c r="C337" s="118" t="s">
        <v>4</v>
      </c>
      <c r="D337" s="118" t="s">
        <v>66</v>
      </c>
      <c r="E337" s="119" t="s">
        <v>67</v>
      </c>
      <c r="F337" s="118" t="s">
        <v>765</v>
      </c>
      <c r="G337" s="118" t="s">
        <v>69</v>
      </c>
    </row>
    <row r="338" spans="1:7" s="115" customFormat="1" ht="23">
      <c r="A338" s="120" t="s">
        <v>119</v>
      </c>
      <c r="B338" s="121" t="s">
        <v>120</v>
      </c>
      <c r="C338" s="122" t="s">
        <v>24</v>
      </c>
      <c r="D338" s="122" t="s">
        <v>87</v>
      </c>
      <c r="E338" s="140">
        <v>1</v>
      </c>
      <c r="F338" s="124">
        <v>27.96</v>
      </c>
      <c r="G338" s="125">
        <f>TRUNC(TRUNC(E338,8)*F338,2)</f>
        <v>27.96</v>
      </c>
    </row>
    <row r="339" spans="1:7" s="115" customFormat="1" ht="11.5">
      <c r="A339" s="126"/>
      <c r="B339" s="127"/>
      <c r="C339" s="127"/>
      <c r="D339" s="127"/>
      <c r="E339" s="128" t="s">
        <v>602</v>
      </c>
      <c r="F339" s="129"/>
      <c r="G339" s="130">
        <f>SUM(G338:G338)</f>
        <v>27.96</v>
      </c>
    </row>
    <row r="340" spans="1:7" s="115" customFormat="1" ht="23">
      <c r="A340" s="116" t="s">
        <v>73</v>
      </c>
      <c r="B340" s="117"/>
      <c r="C340" s="118" t="s">
        <v>4</v>
      </c>
      <c r="D340" s="118" t="s">
        <v>66</v>
      </c>
      <c r="E340" s="119" t="s">
        <v>67</v>
      </c>
      <c r="F340" s="118" t="s">
        <v>765</v>
      </c>
      <c r="G340" s="118" t="s">
        <v>69</v>
      </c>
    </row>
    <row r="341" spans="1:7" s="115" customFormat="1" ht="57.5">
      <c r="A341" s="120" t="s">
        <v>363</v>
      </c>
      <c r="B341" s="121" t="s">
        <v>364</v>
      </c>
      <c r="C341" s="122" t="s">
        <v>24</v>
      </c>
      <c r="D341" s="122" t="s">
        <v>87</v>
      </c>
      <c r="E341" s="140">
        <v>1</v>
      </c>
      <c r="F341" s="124">
        <v>27.72</v>
      </c>
      <c r="G341" s="125">
        <f>TRUNC(TRUNC(E341,8)*F341,2)</f>
        <v>27.72</v>
      </c>
    </row>
    <row r="342" spans="1:7" s="115" customFormat="1" ht="57.5">
      <c r="A342" s="120" t="s">
        <v>365</v>
      </c>
      <c r="B342" s="121" t="s">
        <v>366</v>
      </c>
      <c r="C342" s="122" t="s">
        <v>24</v>
      </c>
      <c r="D342" s="122" t="s">
        <v>87</v>
      </c>
      <c r="E342" s="140">
        <v>1</v>
      </c>
      <c r="F342" s="124">
        <v>4.12</v>
      </c>
      <c r="G342" s="125">
        <f>TRUNC(TRUNC(E342,8)*F342,2)</f>
        <v>4.12</v>
      </c>
    </row>
    <row r="343" spans="1:7" s="115" customFormat="1" ht="46">
      <c r="A343" s="120" t="s">
        <v>367</v>
      </c>
      <c r="B343" s="121" t="s">
        <v>368</v>
      </c>
      <c r="C343" s="122" t="s">
        <v>24</v>
      </c>
      <c r="D343" s="122" t="s">
        <v>87</v>
      </c>
      <c r="E343" s="140">
        <v>1</v>
      </c>
      <c r="F343" s="124">
        <v>10.199999999999999</v>
      </c>
      <c r="G343" s="125">
        <f>TRUNC(TRUNC(E343,8)*F343,2)</f>
        <v>10.199999999999999</v>
      </c>
    </row>
    <row r="344" spans="1:7" s="115" customFormat="1" ht="11.5">
      <c r="A344" s="126"/>
      <c r="B344" s="127"/>
      <c r="C344" s="127"/>
      <c r="D344" s="127"/>
      <c r="E344" s="128" t="s">
        <v>77</v>
      </c>
      <c r="F344" s="129"/>
      <c r="G344" s="130">
        <f>SUM(G341:G343)</f>
        <v>42.04</v>
      </c>
    </row>
    <row r="345" spans="1:7" s="115" customFormat="1" ht="11.5">
      <c r="A345" s="126"/>
      <c r="B345" s="127"/>
      <c r="C345" s="127"/>
      <c r="D345" s="127"/>
      <c r="E345" s="131" t="s">
        <v>78</v>
      </c>
      <c r="F345" s="132">
        <f>A336</f>
        <v>5930</v>
      </c>
      <c r="G345" s="133">
        <f>SUM(G339,G344)</f>
        <v>70</v>
      </c>
    </row>
    <row r="346" spans="1:7" s="115" customFormat="1" ht="11.5">
      <c r="A346" s="126"/>
      <c r="B346" s="127"/>
      <c r="C346" s="127"/>
      <c r="D346" s="127"/>
      <c r="E346" s="134"/>
      <c r="F346" s="135"/>
      <c r="G346" s="135"/>
    </row>
    <row r="347" spans="1:7" s="115" customFormat="1" ht="57.5">
      <c r="A347" s="113">
        <v>5928</v>
      </c>
      <c r="B347" s="114" t="s">
        <v>423</v>
      </c>
      <c r="C347" s="114"/>
      <c r="D347" s="114"/>
      <c r="E347" s="113"/>
      <c r="F347" s="114"/>
      <c r="G347" s="114"/>
    </row>
    <row r="348" spans="1:7" s="115" customFormat="1" ht="23">
      <c r="A348" s="116" t="s">
        <v>65</v>
      </c>
      <c r="B348" s="117"/>
      <c r="C348" s="118" t="s">
        <v>4</v>
      </c>
      <c r="D348" s="118" t="s">
        <v>66</v>
      </c>
      <c r="E348" s="119" t="s">
        <v>67</v>
      </c>
      <c r="F348" s="118" t="s">
        <v>765</v>
      </c>
      <c r="G348" s="118" t="s">
        <v>69</v>
      </c>
    </row>
    <row r="349" spans="1:7" s="115" customFormat="1" ht="23">
      <c r="A349" s="120" t="s">
        <v>119</v>
      </c>
      <c r="B349" s="121" t="s">
        <v>120</v>
      </c>
      <c r="C349" s="122" t="s">
        <v>24</v>
      </c>
      <c r="D349" s="122" t="s">
        <v>87</v>
      </c>
      <c r="E349" s="140">
        <v>1</v>
      </c>
      <c r="F349" s="124">
        <v>27.96</v>
      </c>
      <c r="G349" s="125">
        <f>TRUNC(TRUNC(E349,8)*F349,2)</f>
        <v>27.96</v>
      </c>
    </row>
    <row r="350" spans="1:7" s="115" customFormat="1" ht="11.5">
      <c r="A350" s="126"/>
      <c r="B350" s="127"/>
      <c r="C350" s="127"/>
      <c r="D350" s="127"/>
      <c r="E350" s="128" t="s">
        <v>602</v>
      </c>
      <c r="F350" s="129"/>
      <c r="G350" s="130">
        <f>SUM(G349:G349)</f>
        <v>27.96</v>
      </c>
    </row>
    <row r="351" spans="1:7" s="115" customFormat="1" ht="23">
      <c r="A351" s="116" t="s">
        <v>73</v>
      </c>
      <c r="B351" s="117"/>
      <c r="C351" s="118" t="s">
        <v>4</v>
      </c>
      <c r="D351" s="118" t="s">
        <v>66</v>
      </c>
      <c r="E351" s="119" t="s">
        <v>67</v>
      </c>
      <c r="F351" s="118" t="s">
        <v>765</v>
      </c>
      <c r="G351" s="118" t="s">
        <v>69</v>
      </c>
    </row>
    <row r="352" spans="1:7" s="115" customFormat="1" ht="57.5">
      <c r="A352" s="120" t="s">
        <v>363</v>
      </c>
      <c r="B352" s="121" t="s">
        <v>364</v>
      </c>
      <c r="C352" s="122" t="s">
        <v>24</v>
      </c>
      <c r="D352" s="122" t="s">
        <v>87</v>
      </c>
      <c r="E352" s="140">
        <v>1</v>
      </c>
      <c r="F352" s="124">
        <v>27.72</v>
      </c>
      <c r="G352" s="125">
        <f>TRUNC(TRUNC(E352,8)*F352,2)</f>
        <v>27.72</v>
      </c>
    </row>
    <row r="353" spans="1:7" s="115" customFormat="1" ht="57.5">
      <c r="A353" s="120" t="s">
        <v>365</v>
      </c>
      <c r="B353" s="121" t="s">
        <v>366</v>
      </c>
      <c r="C353" s="122" t="s">
        <v>24</v>
      </c>
      <c r="D353" s="122" t="s">
        <v>87</v>
      </c>
      <c r="E353" s="140">
        <v>1</v>
      </c>
      <c r="F353" s="124">
        <v>4.12</v>
      </c>
      <c r="G353" s="125">
        <f>TRUNC(TRUNC(E353,8)*F353,2)</f>
        <v>4.12</v>
      </c>
    </row>
    <row r="354" spans="1:7" s="115" customFormat="1" ht="46">
      <c r="A354" s="120" t="s">
        <v>367</v>
      </c>
      <c r="B354" s="121" t="s">
        <v>368</v>
      </c>
      <c r="C354" s="122" t="s">
        <v>24</v>
      </c>
      <c r="D354" s="122" t="s">
        <v>87</v>
      </c>
      <c r="E354" s="140">
        <v>1</v>
      </c>
      <c r="F354" s="124">
        <v>10.199999999999999</v>
      </c>
      <c r="G354" s="125">
        <f>TRUNC(TRUNC(E354,8)*F354,2)</f>
        <v>10.199999999999999</v>
      </c>
    </row>
    <row r="355" spans="1:7" s="115" customFormat="1" ht="57.5">
      <c r="A355" s="120" t="s">
        <v>369</v>
      </c>
      <c r="B355" s="121" t="s">
        <v>370</v>
      </c>
      <c r="C355" s="122" t="s">
        <v>24</v>
      </c>
      <c r="D355" s="122" t="s">
        <v>87</v>
      </c>
      <c r="E355" s="140">
        <v>1</v>
      </c>
      <c r="F355" s="124">
        <v>47.04</v>
      </c>
      <c r="G355" s="125">
        <f>TRUNC(TRUNC(E355,8)*F355,2)</f>
        <v>47.04</v>
      </c>
    </row>
    <row r="356" spans="1:7" s="115" customFormat="1" ht="57.5">
      <c r="A356" s="120" t="s">
        <v>371</v>
      </c>
      <c r="B356" s="121" t="s">
        <v>372</v>
      </c>
      <c r="C356" s="122" t="s">
        <v>24</v>
      </c>
      <c r="D356" s="122" t="s">
        <v>87</v>
      </c>
      <c r="E356" s="140">
        <v>1</v>
      </c>
      <c r="F356" s="124">
        <v>166.24</v>
      </c>
      <c r="G356" s="125">
        <f>TRUNC(TRUNC(E356,8)*F356,2)</f>
        <v>166.24</v>
      </c>
    </row>
    <row r="357" spans="1:7" s="115" customFormat="1" ht="11.5">
      <c r="A357" s="126"/>
      <c r="B357" s="127"/>
      <c r="C357" s="127"/>
      <c r="D357" s="127"/>
      <c r="E357" s="128" t="s">
        <v>77</v>
      </c>
      <c r="F357" s="129"/>
      <c r="G357" s="130">
        <f>SUM(G352:G356)</f>
        <v>255.32</v>
      </c>
    </row>
    <row r="358" spans="1:7" s="115" customFormat="1" ht="11.5">
      <c r="A358" s="126"/>
      <c r="B358" s="127"/>
      <c r="C358" s="127"/>
      <c r="D358" s="127"/>
      <c r="E358" s="131" t="s">
        <v>78</v>
      </c>
      <c r="F358" s="132">
        <f>A347</f>
        <v>5928</v>
      </c>
      <c r="G358" s="133">
        <f>SUM(G350,G357)</f>
        <v>283.27999999999997</v>
      </c>
    </row>
    <row r="359" spans="1:7" s="115" customFormat="1" ht="11.5">
      <c r="A359" s="126"/>
      <c r="B359" s="127"/>
      <c r="C359" s="127"/>
      <c r="D359" s="127"/>
      <c r="E359" s="134"/>
      <c r="F359" s="135"/>
      <c r="G359" s="135"/>
    </row>
    <row r="360" spans="1:7" s="115" customFormat="1" ht="57.5">
      <c r="A360" s="113">
        <v>89259</v>
      </c>
      <c r="B360" s="114" t="s">
        <v>424</v>
      </c>
      <c r="C360" s="114"/>
      <c r="D360" s="114"/>
      <c r="E360" s="113"/>
      <c r="F360" s="114"/>
      <c r="G360" s="114"/>
    </row>
    <row r="361" spans="1:7" s="115" customFormat="1" ht="23">
      <c r="A361" s="116" t="s">
        <v>89</v>
      </c>
      <c r="B361" s="117"/>
      <c r="C361" s="118" t="s">
        <v>4</v>
      </c>
      <c r="D361" s="118" t="s">
        <v>66</v>
      </c>
      <c r="E361" s="119" t="s">
        <v>67</v>
      </c>
      <c r="F361" s="118" t="s">
        <v>765</v>
      </c>
      <c r="G361" s="118" t="s">
        <v>69</v>
      </c>
    </row>
    <row r="362" spans="1:7" s="115" customFormat="1" ht="46">
      <c r="A362" s="120" t="s">
        <v>178</v>
      </c>
      <c r="B362" s="121" t="s">
        <v>179</v>
      </c>
      <c r="C362" s="122" t="s">
        <v>24</v>
      </c>
      <c r="D362" s="122" t="s">
        <v>12</v>
      </c>
      <c r="E362" s="123">
        <v>3.43E-5</v>
      </c>
      <c r="F362" s="124">
        <v>578010.79</v>
      </c>
      <c r="G362" s="125">
        <f>TRUNC(TRUNC(E362,8)*F362,2)</f>
        <v>19.82</v>
      </c>
    </row>
    <row r="363" spans="1:7" s="115" customFormat="1" ht="57.5">
      <c r="A363" s="120" t="s">
        <v>204</v>
      </c>
      <c r="B363" s="121" t="s">
        <v>205</v>
      </c>
      <c r="C363" s="122" t="s">
        <v>24</v>
      </c>
      <c r="D363" s="122" t="s">
        <v>12</v>
      </c>
      <c r="E363" s="123">
        <v>5.5099999999999998E-5</v>
      </c>
      <c r="F363" s="124">
        <v>143450</v>
      </c>
      <c r="G363" s="125">
        <f>TRUNC(TRUNC(E363,8)*F363,2)</f>
        <v>7.9</v>
      </c>
    </row>
    <row r="364" spans="1:7" s="115" customFormat="1" ht="11.5">
      <c r="A364" s="126"/>
      <c r="B364" s="127"/>
      <c r="C364" s="127"/>
      <c r="D364" s="127"/>
      <c r="E364" s="128" t="s">
        <v>90</v>
      </c>
      <c r="F364" s="129"/>
      <c r="G364" s="130">
        <f>SUM(G362:G363)</f>
        <v>27.72</v>
      </c>
    </row>
    <row r="365" spans="1:7" s="115" customFormat="1" ht="11.5">
      <c r="A365" s="126"/>
      <c r="B365" s="127"/>
      <c r="C365" s="127"/>
      <c r="D365" s="127"/>
      <c r="E365" s="131" t="s">
        <v>78</v>
      </c>
      <c r="F365" s="132">
        <f>A360</f>
        <v>89259</v>
      </c>
      <c r="G365" s="133">
        <f>SUM(G364)</f>
        <v>27.72</v>
      </c>
    </row>
    <row r="366" spans="1:7" s="115" customFormat="1" ht="11.5">
      <c r="A366" s="126"/>
      <c r="B366" s="127"/>
      <c r="C366" s="127"/>
      <c r="D366" s="127"/>
      <c r="E366" s="134"/>
      <c r="F366" s="135"/>
      <c r="G366" s="135"/>
    </row>
    <row r="367" spans="1:7" s="115" customFormat="1" ht="57.5">
      <c r="A367" s="113">
        <v>91466</v>
      </c>
      <c r="B367" s="114" t="s">
        <v>425</v>
      </c>
      <c r="C367" s="114"/>
      <c r="D367" s="114"/>
      <c r="E367" s="113"/>
      <c r="F367" s="114"/>
      <c r="G367" s="114"/>
    </row>
    <row r="368" spans="1:7" s="115" customFormat="1" ht="23">
      <c r="A368" s="116" t="s">
        <v>89</v>
      </c>
      <c r="B368" s="117"/>
      <c r="C368" s="118" t="s">
        <v>4</v>
      </c>
      <c r="D368" s="118" t="s">
        <v>66</v>
      </c>
      <c r="E368" s="119" t="s">
        <v>67</v>
      </c>
      <c r="F368" s="118" t="s">
        <v>765</v>
      </c>
      <c r="G368" s="118" t="s">
        <v>69</v>
      </c>
    </row>
    <row r="369" spans="1:7" s="115" customFormat="1" ht="46">
      <c r="A369" s="120" t="s">
        <v>178</v>
      </c>
      <c r="B369" s="121" t="s">
        <v>179</v>
      </c>
      <c r="C369" s="122" t="s">
        <v>24</v>
      </c>
      <c r="D369" s="122" t="s">
        <v>12</v>
      </c>
      <c r="E369" s="498">
        <v>5.6999999999999996E-6</v>
      </c>
      <c r="F369" s="124">
        <v>578010.79</v>
      </c>
      <c r="G369" s="125">
        <f>TRUNC(TRUNC(E369,8)*F369,2)</f>
        <v>3.29</v>
      </c>
    </row>
    <row r="370" spans="1:7" s="115" customFormat="1" ht="57.5">
      <c r="A370" s="120" t="s">
        <v>204</v>
      </c>
      <c r="B370" s="121" t="s">
        <v>205</v>
      </c>
      <c r="C370" s="122" t="s">
        <v>24</v>
      </c>
      <c r="D370" s="122" t="s">
        <v>12</v>
      </c>
      <c r="E370" s="498">
        <v>5.8000000000000004E-6</v>
      </c>
      <c r="F370" s="124">
        <v>143450</v>
      </c>
      <c r="G370" s="125">
        <f>TRUNC(TRUNC(E370,8)*F370,2)</f>
        <v>0.83</v>
      </c>
    </row>
    <row r="371" spans="1:7" s="115" customFormat="1" ht="11.5">
      <c r="A371" s="126"/>
      <c r="B371" s="127"/>
      <c r="C371" s="127"/>
      <c r="D371" s="127"/>
      <c r="E371" s="128" t="s">
        <v>90</v>
      </c>
      <c r="F371" s="129"/>
      <c r="G371" s="130">
        <f>SUM(G369:G370)</f>
        <v>4.12</v>
      </c>
    </row>
    <row r="372" spans="1:7" s="115" customFormat="1" ht="11.5">
      <c r="A372" s="126"/>
      <c r="B372" s="127"/>
      <c r="C372" s="127"/>
      <c r="D372" s="127"/>
      <c r="E372" s="131" t="s">
        <v>78</v>
      </c>
      <c r="F372" s="132">
        <f>A367</f>
        <v>91466</v>
      </c>
      <c r="G372" s="133">
        <f>SUM(G371)</f>
        <v>4.12</v>
      </c>
    </row>
    <row r="373" spans="1:7" s="115" customFormat="1" ht="11.5">
      <c r="A373" s="126"/>
      <c r="B373" s="127"/>
      <c r="C373" s="127"/>
      <c r="D373" s="127"/>
      <c r="E373" s="134"/>
      <c r="F373" s="135"/>
      <c r="G373" s="135"/>
    </row>
    <row r="374" spans="1:7" s="115" customFormat="1" ht="57.5">
      <c r="A374" s="113">
        <v>89260</v>
      </c>
      <c r="B374" s="114" t="s">
        <v>426</v>
      </c>
      <c r="C374" s="114"/>
      <c r="D374" s="114"/>
      <c r="E374" s="113"/>
      <c r="F374" s="114"/>
      <c r="G374" s="114"/>
    </row>
    <row r="375" spans="1:7" s="115" customFormat="1" ht="23">
      <c r="A375" s="116" t="s">
        <v>89</v>
      </c>
      <c r="B375" s="117"/>
      <c r="C375" s="118" t="s">
        <v>4</v>
      </c>
      <c r="D375" s="118" t="s">
        <v>66</v>
      </c>
      <c r="E375" s="119" t="s">
        <v>67</v>
      </c>
      <c r="F375" s="118" t="s">
        <v>765</v>
      </c>
      <c r="G375" s="118" t="s">
        <v>69</v>
      </c>
    </row>
    <row r="376" spans="1:7" s="115" customFormat="1" ht="46">
      <c r="A376" s="120" t="s">
        <v>178</v>
      </c>
      <c r="B376" s="121" t="s">
        <v>179</v>
      </c>
      <c r="C376" s="122" t="s">
        <v>24</v>
      </c>
      <c r="D376" s="122" t="s">
        <v>12</v>
      </c>
      <c r="E376" s="123">
        <v>1.4100000000000001E-5</v>
      </c>
      <c r="F376" s="124">
        <v>578010.79</v>
      </c>
      <c r="G376" s="125">
        <f>TRUNC(TRUNC(E376,8)*F376,2)</f>
        <v>8.14</v>
      </c>
    </row>
    <row r="377" spans="1:7" s="115" customFormat="1" ht="57.5">
      <c r="A377" s="120" t="s">
        <v>204</v>
      </c>
      <c r="B377" s="121" t="s">
        <v>205</v>
      </c>
      <c r="C377" s="122" t="s">
        <v>24</v>
      </c>
      <c r="D377" s="122" t="s">
        <v>12</v>
      </c>
      <c r="E377" s="123">
        <v>1.4399999999999999E-5</v>
      </c>
      <c r="F377" s="124">
        <v>143450</v>
      </c>
      <c r="G377" s="125">
        <f>TRUNC(TRUNC(E377,8)*F377,2)</f>
        <v>2.06</v>
      </c>
    </row>
    <row r="378" spans="1:7" s="115" customFormat="1" ht="11.5">
      <c r="A378" s="126"/>
      <c r="B378" s="127"/>
      <c r="C378" s="127"/>
      <c r="D378" s="127"/>
      <c r="E378" s="128" t="s">
        <v>90</v>
      </c>
      <c r="F378" s="129"/>
      <c r="G378" s="130">
        <f>SUM(G376:G377)</f>
        <v>10.200000000000001</v>
      </c>
    </row>
    <row r="379" spans="1:7" s="115" customFormat="1" ht="11.5">
      <c r="A379" s="126"/>
      <c r="B379" s="127"/>
      <c r="C379" s="127"/>
      <c r="D379" s="127"/>
      <c r="E379" s="131" t="s">
        <v>78</v>
      </c>
      <c r="F379" s="132">
        <f>A374</f>
        <v>89260</v>
      </c>
      <c r="G379" s="133">
        <f>SUM(G378)</f>
        <v>10.200000000000001</v>
      </c>
    </row>
    <row r="380" spans="1:7" s="115" customFormat="1" ht="11.5">
      <c r="A380" s="126"/>
      <c r="B380" s="127"/>
      <c r="C380" s="127"/>
      <c r="D380" s="127"/>
      <c r="E380" s="134"/>
      <c r="F380" s="135"/>
      <c r="G380" s="135"/>
    </row>
    <row r="381" spans="1:7" s="115" customFormat="1" ht="57.5">
      <c r="A381" s="113">
        <v>89262</v>
      </c>
      <c r="B381" s="114" t="s">
        <v>649</v>
      </c>
      <c r="C381" s="114"/>
      <c r="D381" s="114"/>
      <c r="E381" s="113"/>
      <c r="F381" s="114"/>
      <c r="G381" s="114"/>
    </row>
    <row r="382" spans="1:7" s="115" customFormat="1" ht="23">
      <c r="A382" s="116" t="s">
        <v>89</v>
      </c>
      <c r="B382" s="117"/>
      <c r="C382" s="118" t="s">
        <v>4</v>
      </c>
      <c r="D382" s="118" t="s">
        <v>66</v>
      </c>
      <c r="E382" s="119" t="s">
        <v>67</v>
      </c>
      <c r="F382" s="118" t="s">
        <v>765</v>
      </c>
      <c r="G382" s="118" t="s">
        <v>69</v>
      </c>
    </row>
    <row r="383" spans="1:7" s="115" customFormat="1" ht="46">
      <c r="A383" s="120" t="s">
        <v>178</v>
      </c>
      <c r="B383" s="121" t="s">
        <v>179</v>
      </c>
      <c r="C383" s="122" t="s">
        <v>24</v>
      </c>
      <c r="D383" s="122" t="s">
        <v>12</v>
      </c>
      <c r="E383" s="123">
        <v>6.4300000000000004E-5</v>
      </c>
      <c r="F383" s="124">
        <v>578010.79</v>
      </c>
      <c r="G383" s="125">
        <f>TRUNC(TRUNC(E383,8)*F383,2)</f>
        <v>37.159999999999997</v>
      </c>
    </row>
    <row r="384" spans="1:7" s="115" customFormat="1" ht="57.5">
      <c r="A384" s="120" t="s">
        <v>204</v>
      </c>
      <c r="B384" s="121" t="s">
        <v>205</v>
      </c>
      <c r="C384" s="122" t="s">
        <v>24</v>
      </c>
      <c r="D384" s="122" t="s">
        <v>12</v>
      </c>
      <c r="E384" s="123">
        <v>6.8899999999999994E-5</v>
      </c>
      <c r="F384" s="124">
        <v>143450</v>
      </c>
      <c r="G384" s="125">
        <f>TRUNC(TRUNC(E384,8)*F384,2)</f>
        <v>9.8800000000000008</v>
      </c>
    </row>
    <row r="385" spans="1:7" s="115" customFormat="1" ht="11.5">
      <c r="A385" s="126"/>
      <c r="B385" s="127"/>
      <c r="C385" s="127"/>
      <c r="D385" s="127"/>
      <c r="E385" s="128" t="s">
        <v>90</v>
      </c>
      <c r="F385" s="129"/>
      <c r="G385" s="130">
        <f>SUM(G383:G384)</f>
        <v>47.04</v>
      </c>
    </row>
    <row r="386" spans="1:7" s="115" customFormat="1" ht="11.5">
      <c r="A386" s="126"/>
      <c r="B386" s="127"/>
      <c r="C386" s="127"/>
      <c r="D386" s="127"/>
      <c r="E386" s="131" t="s">
        <v>78</v>
      </c>
      <c r="F386" s="132">
        <f>A381</f>
        <v>89262</v>
      </c>
      <c r="G386" s="133">
        <f>SUM(G385)</f>
        <v>47.04</v>
      </c>
    </row>
    <row r="387" spans="1:7" s="115" customFormat="1" ht="11.5">
      <c r="A387" s="126"/>
      <c r="B387" s="127"/>
      <c r="C387" s="127"/>
      <c r="D387" s="127"/>
      <c r="E387" s="134"/>
      <c r="F387" s="135"/>
      <c r="G387" s="135"/>
    </row>
    <row r="388" spans="1:7" s="115" customFormat="1" ht="57.5">
      <c r="A388" s="113">
        <v>91467</v>
      </c>
      <c r="B388" s="114" t="s">
        <v>427</v>
      </c>
      <c r="C388" s="114"/>
      <c r="D388" s="114"/>
      <c r="E388" s="113"/>
      <c r="F388" s="114"/>
      <c r="G388" s="114"/>
    </row>
    <row r="389" spans="1:7" s="115" customFormat="1" ht="23">
      <c r="A389" s="116" t="s">
        <v>79</v>
      </c>
      <c r="B389" s="117"/>
      <c r="C389" s="118" t="s">
        <v>4</v>
      </c>
      <c r="D389" s="118" t="s">
        <v>66</v>
      </c>
      <c r="E389" s="119" t="s">
        <v>67</v>
      </c>
      <c r="F389" s="118" t="s">
        <v>765</v>
      </c>
      <c r="G389" s="118" t="s">
        <v>69</v>
      </c>
    </row>
    <row r="390" spans="1:7" s="115" customFormat="1" ht="23">
      <c r="A390" s="120" t="s">
        <v>141</v>
      </c>
      <c r="B390" s="121" t="s">
        <v>142</v>
      </c>
      <c r="C390" s="122" t="s">
        <v>24</v>
      </c>
      <c r="D390" s="122" t="s">
        <v>112</v>
      </c>
      <c r="E390" s="139">
        <v>26.43</v>
      </c>
      <c r="F390" s="124">
        <v>6.29</v>
      </c>
      <c r="G390" s="125">
        <f>TRUNC(TRUNC(E390,8)*F390,2)</f>
        <v>166.24</v>
      </c>
    </row>
    <row r="391" spans="1:7" s="115" customFormat="1" ht="11.5">
      <c r="A391" s="126"/>
      <c r="B391" s="127"/>
      <c r="C391" s="127"/>
      <c r="D391" s="127"/>
      <c r="E391" s="128" t="s">
        <v>82</v>
      </c>
      <c r="F391" s="129"/>
      <c r="G391" s="130">
        <f>SUM(G390:G390)</f>
        <v>166.24</v>
      </c>
    </row>
    <row r="392" spans="1:7" s="115" customFormat="1" ht="11.5">
      <c r="A392" s="126"/>
      <c r="B392" s="127"/>
      <c r="C392" s="127"/>
      <c r="D392" s="127"/>
      <c r="E392" s="131" t="s">
        <v>78</v>
      </c>
      <c r="F392" s="132">
        <f>A388</f>
        <v>91467</v>
      </c>
      <c r="G392" s="133">
        <f>SUM(G391)</f>
        <v>166.24</v>
      </c>
    </row>
    <row r="393" spans="1:7" s="115" customFormat="1" ht="11.5">
      <c r="A393" s="126"/>
      <c r="B393" s="127"/>
      <c r="C393" s="127"/>
      <c r="D393" s="127"/>
      <c r="E393" s="134"/>
      <c r="F393" s="135"/>
      <c r="G393" s="135"/>
    </row>
    <row r="394" spans="1:7" s="115" customFormat="1" ht="46">
      <c r="A394" s="113">
        <v>99833</v>
      </c>
      <c r="B394" s="114" t="s">
        <v>648</v>
      </c>
      <c r="C394" s="114"/>
      <c r="D394" s="114"/>
      <c r="E394" s="113"/>
      <c r="F394" s="114"/>
      <c r="G394" s="114"/>
    </row>
    <row r="395" spans="1:7" s="115" customFormat="1" ht="23">
      <c r="A395" s="116" t="s">
        <v>73</v>
      </c>
      <c r="B395" s="117"/>
      <c r="C395" s="118" t="s">
        <v>4</v>
      </c>
      <c r="D395" s="118" t="s">
        <v>66</v>
      </c>
      <c r="E395" s="119" t="s">
        <v>67</v>
      </c>
      <c r="F395" s="118" t="s">
        <v>765</v>
      </c>
      <c r="G395" s="118" t="s">
        <v>69</v>
      </c>
    </row>
    <row r="396" spans="1:7" s="115" customFormat="1" ht="46">
      <c r="A396" s="120" t="s">
        <v>621</v>
      </c>
      <c r="B396" s="121" t="s">
        <v>622</v>
      </c>
      <c r="C396" s="122" t="s">
        <v>24</v>
      </c>
      <c r="D396" s="122" t="s">
        <v>87</v>
      </c>
      <c r="E396" s="140">
        <v>1</v>
      </c>
      <c r="F396" s="124">
        <v>0.1</v>
      </c>
      <c r="G396" s="125">
        <f>TRUNC(TRUNC(E396,8)*F396,2)</f>
        <v>0.1</v>
      </c>
    </row>
    <row r="397" spans="1:7" s="115" customFormat="1" ht="34.5">
      <c r="A397" s="120" t="s">
        <v>623</v>
      </c>
      <c r="B397" s="121" t="s">
        <v>624</v>
      </c>
      <c r="C397" s="122" t="s">
        <v>24</v>
      </c>
      <c r="D397" s="122" t="s">
        <v>87</v>
      </c>
      <c r="E397" s="140">
        <v>1</v>
      </c>
      <c r="F397" s="124">
        <v>0.02</v>
      </c>
      <c r="G397" s="125">
        <f>TRUNC(TRUNC(E397,8)*F397,2)</f>
        <v>0.02</v>
      </c>
    </row>
    <row r="398" spans="1:7" s="115" customFormat="1" ht="46">
      <c r="A398" s="120" t="s">
        <v>625</v>
      </c>
      <c r="B398" s="121" t="s">
        <v>626</v>
      </c>
      <c r="C398" s="122" t="s">
        <v>24</v>
      </c>
      <c r="D398" s="122" t="s">
        <v>87</v>
      </c>
      <c r="E398" s="140">
        <v>1</v>
      </c>
      <c r="F398" s="124">
        <v>7.0000000000000007E-2</v>
      </c>
      <c r="G398" s="125">
        <f>TRUNC(TRUNC(E398,8)*F398,2)</f>
        <v>7.0000000000000007E-2</v>
      </c>
    </row>
    <row r="399" spans="1:7" s="115" customFormat="1" ht="46">
      <c r="A399" s="120" t="s">
        <v>627</v>
      </c>
      <c r="B399" s="121" t="s">
        <v>628</v>
      </c>
      <c r="C399" s="122" t="s">
        <v>24</v>
      </c>
      <c r="D399" s="122" t="s">
        <v>87</v>
      </c>
      <c r="E399" s="140">
        <v>1</v>
      </c>
      <c r="F399" s="124">
        <v>3.31</v>
      </c>
      <c r="G399" s="125">
        <f>TRUNC(TRUNC(E399,8)*F399,2)</f>
        <v>3.31</v>
      </c>
    </row>
    <row r="400" spans="1:7" s="115" customFormat="1" ht="11.5">
      <c r="A400" s="126"/>
      <c r="B400" s="127"/>
      <c r="C400" s="127"/>
      <c r="D400" s="127"/>
      <c r="E400" s="128" t="s">
        <v>77</v>
      </c>
      <c r="F400" s="129"/>
      <c r="G400" s="130">
        <f>SUM(G396:G399)</f>
        <v>3.5</v>
      </c>
    </row>
    <row r="401" spans="1:7" s="115" customFormat="1" ht="11.5">
      <c r="A401" s="126"/>
      <c r="B401" s="127"/>
      <c r="C401" s="127"/>
      <c r="D401" s="127"/>
      <c r="E401" s="131" t="s">
        <v>78</v>
      </c>
      <c r="F401" s="132">
        <f>A394</f>
        <v>99833</v>
      </c>
      <c r="G401" s="133">
        <f>SUM(G400)</f>
        <v>3.5</v>
      </c>
    </row>
    <row r="402" spans="1:7" s="115" customFormat="1" ht="11.5">
      <c r="A402" s="126"/>
      <c r="B402" s="127"/>
      <c r="C402" s="127"/>
      <c r="D402" s="127"/>
      <c r="E402" s="134"/>
      <c r="F402" s="135"/>
      <c r="G402" s="135"/>
    </row>
    <row r="403" spans="1:7" s="115" customFormat="1" ht="46">
      <c r="A403" s="113">
        <v>99829</v>
      </c>
      <c r="B403" s="114" t="s">
        <v>647</v>
      </c>
      <c r="C403" s="114"/>
      <c r="D403" s="114"/>
      <c r="E403" s="113"/>
      <c r="F403" s="114"/>
      <c r="G403" s="114"/>
    </row>
    <row r="404" spans="1:7" s="115" customFormat="1" ht="23">
      <c r="A404" s="116" t="s">
        <v>89</v>
      </c>
      <c r="B404" s="117"/>
      <c r="C404" s="118" t="s">
        <v>4</v>
      </c>
      <c r="D404" s="118" t="s">
        <v>66</v>
      </c>
      <c r="E404" s="119" t="s">
        <v>67</v>
      </c>
      <c r="F404" s="118" t="s">
        <v>765</v>
      </c>
      <c r="G404" s="118" t="s">
        <v>69</v>
      </c>
    </row>
    <row r="405" spans="1:7" s="115" customFormat="1" ht="46">
      <c r="A405" s="120" t="s">
        <v>629</v>
      </c>
      <c r="B405" s="121" t="s">
        <v>630</v>
      </c>
      <c r="C405" s="122" t="s">
        <v>24</v>
      </c>
      <c r="D405" s="122" t="s">
        <v>12</v>
      </c>
      <c r="E405" s="136">
        <v>7.2000000000000002E-5</v>
      </c>
      <c r="F405" s="124">
        <v>1486.18</v>
      </c>
      <c r="G405" s="125">
        <f>TRUNC(TRUNC(E405,8)*F405,2)</f>
        <v>0.1</v>
      </c>
    </row>
    <row r="406" spans="1:7" s="115" customFormat="1" ht="11.5">
      <c r="A406" s="126"/>
      <c r="B406" s="127"/>
      <c r="C406" s="127"/>
      <c r="D406" s="127"/>
      <c r="E406" s="128" t="s">
        <v>90</v>
      </c>
      <c r="F406" s="129"/>
      <c r="G406" s="130">
        <f>SUM(G405:G405)</f>
        <v>0.1</v>
      </c>
    </row>
    <row r="407" spans="1:7" s="115" customFormat="1" ht="11.5">
      <c r="A407" s="126"/>
      <c r="B407" s="127"/>
      <c r="C407" s="127"/>
      <c r="D407" s="127"/>
      <c r="E407" s="131" t="s">
        <v>78</v>
      </c>
      <c r="F407" s="132">
        <f>A403</f>
        <v>99829</v>
      </c>
      <c r="G407" s="133">
        <f>SUM(G406)</f>
        <v>0.1</v>
      </c>
    </row>
    <row r="408" spans="1:7" s="115" customFormat="1" ht="11.5">
      <c r="A408" s="126"/>
      <c r="B408" s="127"/>
      <c r="C408" s="127"/>
      <c r="D408" s="127"/>
      <c r="E408" s="134"/>
      <c r="F408" s="135"/>
      <c r="G408" s="135"/>
    </row>
    <row r="409" spans="1:7" s="115" customFormat="1" ht="46">
      <c r="A409" s="113">
        <v>99830</v>
      </c>
      <c r="B409" s="114" t="s">
        <v>646</v>
      </c>
      <c r="C409" s="114"/>
      <c r="D409" s="114"/>
      <c r="E409" s="113"/>
      <c r="F409" s="114"/>
      <c r="G409" s="114"/>
    </row>
    <row r="410" spans="1:7" s="115" customFormat="1" ht="23">
      <c r="A410" s="116" t="s">
        <v>89</v>
      </c>
      <c r="B410" s="117"/>
      <c r="C410" s="118" t="s">
        <v>4</v>
      </c>
      <c r="D410" s="118" t="s">
        <v>66</v>
      </c>
      <c r="E410" s="119" t="s">
        <v>67</v>
      </c>
      <c r="F410" s="118" t="s">
        <v>765</v>
      </c>
      <c r="G410" s="118" t="s">
        <v>69</v>
      </c>
    </row>
    <row r="411" spans="1:7" s="115" customFormat="1" ht="46">
      <c r="A411" s="120" t="s">
        <v>629</v>
      </c>
      <c r="B411" s="121" t="s">
        <v>630</v>
      </c>
      <c r="C411" s="122" t="s">
        <v>24</v>
      </c>
      <c r="D411" s="122" t="s">
        <v>12</v>
      </c>
      <c r="E411" s="498">
        <v>1.4800000000000001E-5</v>
      </c>
      <c r="F411" s="124">
        <v>1486.18</v>
      </c>
      <c r="G411" s="125">
        <f>TRUNC(TRUNC(E411,8)*F411,2)</f>
        <v>0.02</v>
      </c>
    </row>
    <row r="412" spans="1:7" s="115" customFormat="1" ht="11.5">
      <c r="A412" s="126"/>
      <c r="B412" s="127"/>
      <c r="C412" s="127"/>
      <c r="D412" s="127"/>
      <c r="E412" s="128" t="s">
        <v>90</v>
      </c>
      <c r="F412" s="129"/>
      <c r="G412" s="130">
        <f>SUM(G411:G411)</f>
        <v>0.02</v>
      </c>
    </row>
    <row r="413" spans="1:7" s="115" customFormat="1" ht="11.5">
      <c r="A413" s="126"/>
      <c r="B413" s="127"/>
      <c r="C413" s="127"/>
      <c r="D413" s="127"/>
      <c r="E413" s="131" t="s">
        <v>78</v>
      </c>
      <c r="F413" s="132">
        <f>A409</f>
        <v>99830</v>
      </c>
      <c r="G413" s="133">
        <f>SUM(G412)</f>
        <v>0.02</v>
      </c>
    </row>
    <row r="414" spans="1:7" s="115" customFormat="1" ht="11.5">
      <c r="A414" s="126"/>
      <c r="B414" s="127"/>
      <c r="C414" s="127"/>
      <c r="D414" s="127"/>
      <c r="E414" s="134"/>
      <c r="F414" s="135"/>
      <c r="G414" s="135"/>
    </row>
    <row r="415" spans="1:7" s="115" customFormat="1" ht="46">
      <c r="A415" s="113">
        <v>99831</v>
      </c>
      <c r="B415" s="114" t="s">
        <v>645</v>
      </c>
      <c r="C415" s="114"/>
      <c r="D415" s="114"/>
      <c r="E415" s="113"/>
      <c r="F415" s="114"/>
      <c r="G415" s="114"/>
    </row>
    <row r="416" spans="1:7" s="115" customFormat="1" ht="23">
      <c r="A416" s="116" t="s">
        <v>89</v>
      </c>
      <c r="B416" s="117"/>
      <c r="C416" s="118" t="s">
        <v>4</v>
      </c>
      <c r="D416" s="118" t="s">
        <v>66</v>
      </c>
      <c r="E416" s="119" t="s">
        <v>67</v>
      </c>
      <c r="F416" s="118" t="s">
        <v>765</v>
      </c>
      <c r="G416" s="118" t="s">
        <v>69</v>
      </c>
    </row>
    <row r="417" spans="1:7" s="115" customFormat="1" ht="46">
      <c r="A417" s="120" t="s">
        <v>629</v>
      </c>
      <c r="B417" s="121" t="s">
        <v>630</v>
      </c>
      <c r="C417" s="122" t="s">
        <v>24</v>
      </c>
      <c r="D417" s="122" t="s">
        <v>12</v>
      </c>
      <c r="E417" s="142">
        <v>5.0000000000000002E-5</v>
      </c>
      <c r="F417" s="124">
        <v>1486.18</v>
      </c>
      <c r="G417" s="125">
        <f>TRUNC(TRUNC(E417,8)*F417,2)</f>
        <v>7.0000000000000007E-2</v>
      </c>
    </row>
    <row r="418" spans="1:7" s="115" customFormat="1" ht="11.5">
      <c r="A418" s="126"/>
      <c r="B418" s="127"/>
      <c r="C418" s="127"/>
      <c r="D418" s="127"/>
      <c r="E418" s="128" t="s">
        <v>90</v>
      </c>
      <c r="F418" s="129"/>
      <c r="G418" s="130">
        <f>SUM(G417:G417)</f>
        <v>7.0000000000000007E-2</v>
      </c>
    </row>
    <row r="419" spans="1:7" s="115" customFormat="1" ht="11.5">
      <c r="A419" s="126"/>
      <c r="B419" s="127"/>
      <c r="C419" s="127"/>
      <c r="D419" s="127"/>
      <c r="E419" s="131" t="s">
        <v>78</v>
      </c>
      <c r="F419" s="132">
        <f>A415</f>
        <v>99831</v>
      </c>
      <c r="G419" s="133">
        <f>SUM(G418)</f>
        <v>7.0000000000000007E-2</v>
      </c>
    </row>
    <row r="420" spans="1:7" s="115" customFormat="1" ht="11.5">
      <c r="A420" s="126"/>
      <c r="B420" s="127"/>
      <c r="C420" s="127"/>
      <c r="D420" s="127"/>
      <c r="E420" s="134"/>
      <c r="F420" s="135"/>
      <c r="G420" s="135"/>
    </row>
    <row r="421" spans="1:7" s="115" customFormat="1" ht="46">
      <c r="A421" s="113">
        <v>99832</v>
      </c>
      <c r="B421" s="114" t="s">
        <v>644</v>
      </c>
      <c r="C421" s="114"/>
      <c r="D421" s="114"/>
      <c r="E421" s="113"/>
      <c r="F421" s="114"/>
      <c r="G421" s="114"/>
    </row>
    <row r="422" spans="1:7" s="115" customFormat="1" ht="23">
      <c r="A422" s="116" t="s">
        <v>210</v>
      </c>
      <c r="B422" s="117"/>
      <c r="C422" s="118" t="s">
        <v>4</v>
      </c>
      <c r="D422" s="118" t="s">
        <v>66</v>
      </c>
      <c r="E422" s="119" t="s">
        <v>67</v>
      </c>
      <c r="F422" s="118" t="s">
        <v>765</v>
      </c>
      <c r="G422" s="118" t="s">
        <v>69</v>
      </c>
    </row>
    <row r="423" spans="1:7" s="115" customFormat="1" ht="23">
      <c r="A423" s="120" t="s">
        <v>208</v>
      </c>
      <c r="B423" s="121" t="s">
        <v>209</v>
      </c>
      <c r="C423" s="122" t="s">
        <v>24</v>
      </c>
      <c r="D423" s="122" t="s">
        <v>211</v>
      </c>
      <c r="E423" s="139">
        <v>4.42</v>
      </c>
      <c r="F423" s="124">
        <v>0.75</v>
      </c>
      <c r="G423" s="125">
        <f>TRUNC(TRUNC(E423,8)*F423,2)</f>
        <v>3.31</v>
      </c>
    </row>
    <row r="424" spans="1:7" s="115" customFormat="1" ht="11.5">
      <c r="A424" s="126"/>
      <c r="B424" s="127"/>
      <c r="C424" s="127"/>
      <c r="D424" s="127"/>
      <c r="E424" s="128" t="s">
        <v>362</v>
      </c>
      <c r="F424" s="129"/>
      <c r="G424" s="130">
        <f>SUM(G423:G423)</f>
        <v>3.31</v>
      </c>
    </row>
    <row r="425" spans="1:7" s="115" customFormat="1" ht="11.5">
      <c r="A425" s="126"/>
      <c r="B425" s="127"/>
      <c r="C425" s="127"/>
      <c r="D425" s="127"/>
      <c r="E425" s="131" t="s">
        <v>78</v>
      </c>
      <c r="F425" s="132">
        <f>A421</f>
        <v>99832</v>
      </c>
      <c r="G425" s="133">
        <f>SUM(G424)</f>
        <v>3.31</v>
      </c>
    </row>
    <row r="426" spans="1:7" s="115" customFormat="1" ht="11.5">
      <c r="A426" s="126"/>
      <c r="B426" s="127"/>
      <c r="C426" s="127"/>
      <c r="D426" s="127"/>
      <c r="E426" s="134"/>
      <c r="F426" s="135"/>
      <c r="G426" s="135"/>
    </row>
    <row r="427" spans="1:7" s="115" customFormat="1" ht="23">
      <c r="A427" s="113">
        <v>88274</v>
      </c>
      <c r="B427" s="114" t="s">
        <v>643</v>
      </c>
      <c r="C427" s="114"/>
      <c r="D427" s="114"/>
      <c r="E427" s="113"/>
      <c r="F427" s="114"/>
      <c r="G427" s="114"/>
    </row>
    <row r="428" spans="1:7" s="115" customFormat="1" ht="23">
      <c r="A428" s="116" t="s">
        <v>145</v>
      </c>
      <c r="B428" s="117"/>
      <c r="C428" s="118" t="s">
        <v>4</v>
      </c>
      <c r="D428" s="118" t="s">
        <v>66</v>
      </c>
      <c r="E428" s="119" t="s">
        <v>67</v>
      </c>
      <c r="F428" s="118" t="s">
        <v>765</v>
      </c>
      <c r="G428" s="118" t="s">
        <v>69</v>
      </c>
    </row>
    <row r="429" spans="1:7" s="115" customFormat="1" ht="23">
      <c r="A429" s="120" t="s">
        <v>150</v>
      </c>
      <c r="B429" s="121" t="s">
        <v>151</v>
      </c>
      <c r="C429" s="122" t="s">
        <v>24</v>
      </c>
      <c r="D429" s="122" t="s">
        <v>87</v>
      </c>
      <c r="E429" s="140">
        <v>1</v>
      </c>
      <c r="F429" s="124">
        <v>0.92</v>
      </c>
      <c r="G429" s="125">
        <f t="shared" ref="G429:G434" si="6">TRUNC(TRUNC(E429,8)*F429,2)</f>
        <v>0.92</v>
      </c>
    </row>
    <row r="430" spans="1:7" s="115" customFormat="1" ht="23">
      <c r="A430" s="120" t="s">
        <v>182</v>
      </c>
      <c r="B430" s="121" t="s">
        <v>183</v>
      </c>
      <c r="C430" s="122" t="s">
        <v>24</v>
      </c>
      <c r="D430" s="122" t="s">
        <v>87</v>
      </c>
      <c r="E430" s="140">
        <v>1</v>
      </c>
      <c r="F430" s="124">
        <v>1.31</v>
      </c>
      <c r="G430" s="125">
        <f t="shared" si="6"/>
        <v>1.31</v>
      </c>
    </row>
    <row r="431" spans="1:7" s="115" customFormat="1" ht="23">
      <c r="A431" s="120" t="s">
        <v>143</v>
      </c>
      <c r="B431" s="121" t="s">
        <v>144</v>
      </c>
      <c r="C431" s="122" t="s">
        <v>24</v>
      </c>
      <c r="D431" s="122" t="s">
        <v>87</v>
      </c>
      <c r="E431" s="140">
        <v>1</v>
      </c>
      <c r="F431" s="124">
        <v>1.43</v>
      </c>
      <c r="G431" s="125">
        <f t="shared" si="6"/>
        <v>1.43</v>
      </c>
    </row>
    <row r="432" spans="1:7" s="115" customFormat="1" ht="23">
      <c r="A432" s="120" t="s">
        <v>190</v>
      </c>
      <c r="B432" s="121" t="s">
        <v>191</v>
      </c>
      <c r="C432" s="122" t="s">
        <v>24</v>
      </c>
      <c r="D432" s="122" t="s">
        <v>87</v>
      </c>
      <c r="E432" s="140">
        <v>1</v>
      </c>
      <c r="F432" s="124">
        <v>0.78</v>
      </c>
      <c r="G432" s="125">
        <f t="shared" si="6"/>
        <v>0.78</v>
      </c>
    </row>
    <row r="433" spans="1:7" s="115" customFormat="1" ht="23">
      <c r="A433" s="120" t="s">
        <v>202</v>
      </c>
      <c r="B433" s="121" t="s">
        <v>203</v>
      </c>
      <c r="C433" s="122" t="s">
        <v>24</v>
      </c>
      <c r="D433" s="122" t="s">
        <v>87</v>
      </c>
      <c r="E433" s="140">
        <v>1</v>
      </c>
      <c r="F433" s="124">
        <v>0.08</v>
      </c>
      <c r="G433" s="125">
        <f t="shared" si="6"/>
        <v>0.08</v>
      </c>
    </row>
    <row r="434" spans="1:7" s="115" customFormat="1" ht="23">
      <c r="A434" s="120" t="s">
        <v>154</v>
      </c>
      <c r="B434" s="121" t="s">
        <v>155</v>
      </c>
      <c r="C434" s="122" t="s">
        <v>24</v>
      </c>
      <c r="D434" s="122" t="s">
        <v>87</v>
      </c>
      <c r="E434" s="123">
        <v>1</v>
      </c>
      <c r="F434" s="124">
        <v>0.8</v>
      </c>
      <c r="G434" s="125">
        <f t="shared" si="6"/>
        <v>0.8</v>
      </c>
    </row>
    <row r="435" spans="1:7" s="115" customFormat="1" ht="11.5">
      <c r="A435" s="126"/>
      <c r="B435" s="127"/>
      <c r="C435" s="127"/>
      <c r="D435" s="127"/>
      <c r="E435" s="128" t="s">
        <v>591</v>
      </c>
      <c r="F435" s="129"/>
      <c r="G435" s="130">
        <f>SUM(G429:G434)</f>
        <v>5.32</v>
      </c>
    </row>
    <row r="436" spans="1:7" s="115" customFormat="1" ht="23">
      <c r="A436" s="116" t="s">
        <v>130</v>
      </c>
      <c r="B436" s="117"/>
      <c r="C436" s="118" t="s">
        <v>4</v>
      </c>
      <c r="D436" s="118" t="s">
        <v>66</v>
      </c>
      <c r="E436" s="119" t="s">
        <v>67</v>
      </c>
      <c r="F436" s="118" t="s">
        <v>765</v>
      </c>
      <c r="G436" s="118" t="s">
        <v>69</v>
      </c>
    </row>
    <row r="437" spans="1:7" s="115" customFormat="1" ht="11.5">
      <c r="A437" s="120" t="s">
        <v>613</v>
      </c>
      <c r="B437" s="121" t="s">
        <v>614</v>
      </c>
      <c r="C437" s="122" t="s">
        <v>24</v>
      </c>
      <c r="D437" s="122" t="s">
        <v>87</v>
      </c>
      <c r="E437" s="140">
        <v>1</v>
      </c>
      <c r="F437" s="124">
        <v>19.48</v>
      </c>
      <c r="G437" s="125">
        <f>TRUNC(TRUNC(E437,8)*F437,2)</f>
        <v>19.48</v>
      </c>
    </row>
    <row r="438" spans="1:7" s="115" customFormat="1" ht="11.5">
      <c r="A438" s="126"/>
      <c r="B438" s="127"/>
      <c r="C438" s="127"/>
      <c r="D438" s="127"/>
      <c r="E438" s="128" t="s">
        <v>592</v>
      </c>
      <c r="F438" s="129"/>
      <c r="G438" s="130">
        <f>SUM(G437:G437)</f>
        <v>19.48</v>
      </c>
    </row>
    <row r="439" spans="1:7" s="115" customFormat="1" ht="23">
      <c r="A439" s="116" t="s">
        <v>73</v>
      </c>
      <c r="B439" s="117"/>
      <c r="C439" s="118" t="s">
        <v>4</v>
      </c>
      <c r="D439" s="118" t="s">
        <v>66</v>
      </c>
      <c r="E439" s="119" t="s">
        <v>67</v>
      </c>
      <c r="F439" s="118" t="s">
        <v>765</v>
      </c>
      <c r="G439" s="118" t="s">
        <v>69</v>
      </c>
    </row>
    <row r="440" spans="1:7" s="115" customFormat="1" ht="23">
      <c r="A440" s="120" t="s">
        <v>631</v>
      </c>
      <c r="B440" s="121" t="s">
        <v>632</v>
      </c>
      <c r="C440" s="122" t="s">
        <v>24</v>
      </c>
      <c r="D440" s="122" t="s">
        <v>87</v>
      </c>
      <c r="E440" s="140">
        <v>1</v>
      </c>
      <c r="F440" s="124">
        <v>0.28000000000000003</v>
      </c>
      <c r="G440" s="125">
        <f>TRUNC(TRUNC(E440,8)*F440,2)</f>
        <v>0.28000000000000003</v>
      </c>
    </row>
    <row r="441" spans="1:7" s="115" customFormat="1" ht="11.5">
      <c r="A441" s="126"/>
      <c r="B441" s="127"/>
      <c r="C441" s="127"/>
      <c r="D441" s="127"/>
      <c r="E441" s="128" t="s">
        <v>77</v>
      </c>
      <c r="F441" s="129"/>
      <c r="G441" s="130">
        <f>SUM(G440:G440)</f>
        <v>0.28000000000000003</v>
      </c>
    </row>
    <row r="442" spans="1:7" s="115" customFormat="1" ht="11.5">
      <c r="A442" s="126"/>
      <c r="B442" s="127"/>
      <c r="C442" s="127"/>
      <c r="D442" s="127"/>
      <c r="E442" s="131" t="s">
        <v>78</v>
      </c>
      <c r="F442" s="132">
        <f>A427</f>
        <v>88274</v>
      </c>
      <c r="G442" s="133">
        <f>SUM(G435,G438,G441)</f>
        <v>25.080000000000002</v>
      </c>
    </row>
    <row r="443" spans="1:7" s="115" customFormat="1" ht="11.5">
      <c r="A443" s="126"/>
      <c r="B443" s="127"/>
      <c r="C443" s="127"/>
      <c r="D443" s="127"/>
      <c r="E443" s="134"/>
      <c r="F443" s="135"/>
      <c r="G443" s="135"/>
    </row>
    <row r="444" spans="1:7" s="115" customFormat="1" ht="23">
      <c r="A444" s="113">
        <v>88279</v>
      </c>
      <c r="B444" s="114" t="s">
        <v>764</v>
      </c>
      <c r="C444" s="114"/>
      <c r="D444" s="114"/>
      <c r="E444" s="113"/>
      <c r="F444" s="114"/>
      <c r="G444" s="114"/>
    </row>
    <row r="445" spans="1:7" s="115" customFormat="1" ht="23">
      <c r="A445" s="116" t="s">
        <v>145</v>
      </c>
      <c r="B445" s="117"/>
      <c r="C445" s="118" t="s">
        <v>4</v>
      </c>
      <c r="D445" s="118" t="s">
        <v>66</v>
      </c>
      <c r="E445" s="119" t="s">
        <v>67</v>
      </c>
      <c r="F445" s="118" t="s">
        <v>765</v>
      </c>
      <c r="G445" s="118" t="s">
        <v>69</v>
      </c>
    </row>
    <row r="446" spans="1:7" s="115" customFormat="1" ht="23">
      <c r="A446" s="120" t="s">
        <v>150</v>
      </c>
      <c r="B446" s="121" t="s">
        <v>151</v>
      </c>
      <c r="C446" s="122" t="s">
        <v>24</v>
      </c>
      <c r="D446" s="122" t="s">
        <v>87</v>
      </c>
      <c r="E446" s="140">
        <v>1</v>
      </c>
      <c r="F446" s="124">
        <v>0.92</v>
      </c>
      <c r="G446" s="125">
        <f t="shared" ref="G446:G451" si="7">TRUNC(TRUNC(E446,8)*F446,2)</f>
        <v>0.92</v>
      </c>
    </row>
    <row r="447" spans="1:7" s="115" customFormat="1" ht="23">
      <c r="A447" s="120" t="s">
        <v>156</v>
      </c>
      <c r="B447" s="121" t="s">
        <v>157</v>
      </c>
      <c r="C447" s="122" t="s">
        <v>24</v>
      </c>
      <c r="D447" s="122" t="s">
        <v>87</v>
      </c>
      <c r="E447" s="140">
        <v>1</v>
      </c>
      <c r="F447" s="124">
        <v>1.26</v>
      </c>
      <c r="G447" s="125">
        <f t="shared" si="7"/>
        <v>1.26</v>
      </c>
    </row>
    <row r="448" spans="1:7" s="115" customFormat="1" ht="23">
      <c r="A448" s="120" t="s">
        <v>143</v>
      </c>
      <c r="B448" s="121" t="s">
        <v>144</v>
      </c>
      <c r="C448" s="122" t="s">
        <v>24</v>
      </c>
      <c r="D448" s="122" t="s">
        <v>87</v>
      </c>
      <c r="E448" s="140">
        <v>1</v>
      </c>
      <c r="F448" s="124">
        <v>1.43</v>
      </c>
      <c r="G448" s="125">
        <f t="shared" si="7"/>
        <v>1.43</v>
      </c>
    </row>
    <row r="449" spans="1:7" s="115" customFormat="1" ht="23">
      <c r="A449" s="120" t="s">
        <v>160</v>
      </c>
      <c r="B449" s="121" t="s">
        <v>161</v>
      </c>
      <c r="C449" s="122" t="s">
        <v>24</v>
      </c>
      <c r="D449" s="122" t="s">
        <v>87</v>
      </c>
      <c r="E449" s="140">
        <v>1</v>
      </c>
      <c r="F449" s="124">
        <v>0.86</v>
      </c>
      <c r="G449" s="125">
        <f t="shared" si="7"/>
        <v>0.86</v>
      </c>
    </row>
    <row r="450" spans="1:7" s="115" customFormat="1" ht="23">
      <c r="A450" s="120" t="s">
        <v>202</v>
      </c>
      <c r="B450" s="121" t="s">
        <v>203</v>
      </c>
      <c r="C450" s="122" t="s">
        <v>24</v>
      </c>
      <c r="D450" s="122" t="s">
        <v>87</v>
      </c>
      <c r="E450" s="140">
        <v>1</v>
      </c>
      <c r="F450" s="124">
        <v>0.08</v>
      </c>
      <c r="G450" s="125">
        <f t="shared" si="7"/>
        <v>0.08</v>
      </c>
    </row>
    <row r="451" spans="1:7" s="115" customFormat="1" ht="23">
      <c r="A451" s="120" t="s">
        <v>154</v>
      </c>
      <c r="B451" s="121" t="s">
        <v>155</v>
      </c>
      <c r="C451" s="122" t="s">
        <v>24</v>
      </c>
      <c r="D451" s="122" t="s">
        <v>87</v>
      </c>
      <c r="E451" s="140">
        <v>1</v>
      </c>
      <c r="F451" s="124">
        <v>0.8</v>
      </c>
      <c r="G451" s="125">
        <f t="shared" si="7"/>
        <v>0.8</v>
      </c>
    </row>
    <row r="452" spans="1:7" s="115" customFormat="1" ht="11.5">
      <c r="A452" s="126"/>
      <c r="B452" s="127"/>
      <c r="C452" s="127"/>
      <c r="D452" s="127"/>
      <c r="E452" s="128" t="s">
        <v>591</v>
      </c>
      <c r="F452" s="129"/>
      <c r="G452" s="130">
        <f>SUM(G446:G451)</f>
        <v>5.3500000000000005</v>
      </c>
    </row>
    <row r="453" spans="1:7" s="115" customFormat="1" ht="23">
      <c r="A453" s="116" t="s">
        <v>130</v>
      </c>
      <c r="B453" s="117"/>
      <c r="C453" s="118" t="s">
        <v>4</v>
      </c>
      <c r="D453" s="118" t="s">
        <v>66</v>
      </c>
      <c r="E453" s="119" t="s">
        <v>67</v>
      </c>
      <c r="F453" s="118" t="s">
        <v>765</v>
      </c>
      <c r="G453" s="118" t="s">
        <v>69</v>
      </c>
    </row>
    <row r="454" spans="1:7" s="115" customFormat="1" ht="11.5">
      <c r="A454" s="120" t="s">
        <v>146</v>
      </c>
      <c r="B454" s="121" t="s">
        <v>147</v>
      </c>
      <c r="C454" s="122" t="s">
        <v>24</v>
      </c>
      <c r="D454" s="122" t="s">
        <v>87</v>
      </c>
      <c r="E454" s="123">
        <v>1</v>
      </c>
      <c r="F454" s="124">
        <v>18.600000000000001</v>
      </c>
      <c r="G454" s="125">
        <f>TRUNC(TRUNC(E454,8)*F454,2)</f>
        <v>18.600000000000001</v>
      </c>
    </row>
    <row r="455" spans="1:7" s="115" customFormat="1" ht="11.5">
      <c r="A455" s="126"/>
      <c r="B455" s="127"/>
      <c r="C455" s="127"/>
      <c r="D455" s="127"/>
      <c r="E455" s="128" t="s">
        <v>592</v>
      </c>
      <c r="F455" s="129"/>
      <c r="G455" s="130">
        <f>SUM(G454:G454)</f>
        <v>18.600000000000001</v>
      </c>
    </row>
    <row r="456" spans="1:7" s="115" customFormat="1" ht="23">
      <c r="A456" s="116" t="s">
        <v>73</v>
      </c>
      <c r="B456" s="117"/>
      <c r="C456" s="118" t="s">
        <v>4</v>
      </c>
      <c r="D456" s="118" t="s">
        <v>66</v>
      </c>
      <c r="E456" s="119" t="s">
        <v>67</v>
      </c>
      <c r="F456" s="118" t="s">
        <v>765</v>
      </c>
      <c r="G456" s="118" t="s">
        <v>69</v>
      </c>
    </row>
    <row r="457" spans="1:7" s="115" customFormat="1" ht="34.5">
      <c r="A457" s="120" t="s">
        <v>373</v>
      </c>
      <c r="B457" s="121" t="s">
        <v>374</v>
      </c>
      <c r="C457" s="122" t="s">
        <v>24</v>
      </c>
      <c r="D457" s="122" t="s">
        <v>87</v>
      </c>
      <c r="E457" s="140">
        <v>1</v>
      </c>
      <c r="F457" s="124">
        <v>0.56999999999999995</v>
      </c>
      <c r="G457" s="125">
        <f>TRUNC(TRUNC(E457,8)*F457,2)</f>
        <v>0.56999999999999995</v>
      </c>
    </row>
    <row r="458" spans="1:7" s="115" customFormat="1" ht="11.5">
      <c r="A458" s="126"/>
      <c r="B458" s="127"/>
      <c r="C458" s="127"/>
      <c r="D458" s="127"/>
      <c r="E458" s="128" t="s">
        <v>77</v>
      </c>
      <c r="F458" s="129"/>
      <c r="G458" s="130">
        <f>SUM(G457:G457)</f>
        <v>0.56999999999999995</v>
      </c>
    </row>
    <row r="459" spans="1:7" s="115" customFormat="1" ht="11.5">
      <c r="A459" s="126"/>
      <c r="B459" s="127"/>
      <c r="C459" s="127"/>
      <c r="D459" s="127"/>
      <c r="E459" s="131" t="s">
        <v>78</v>
      </c>
      <c r="F459" s="132">
        <f>A444</f>
        <v>88279</v>
      </c>
      <c r="G459" s="133">
        <f>SUM(G452,G455,G458)</f>
        <v>24.520000000000003</v>
      </c>
    </row>
    <row r="460" spans="1:7" s="115" customFormat="1" ht="11.5">
      <c r="A460" s="126"/>
      <c r="B460" s="127"/>
      <c r="C460" s="127"/>
      <c r="D460" s="127"/>
      <c r="E460" s="134"/>
      <c r="F460" s="135"/>
      <c r="G460" s="135"/>
    </row>
    <row r="461" spans="1:7" s="115" customFormat="1" ht="23">
      <c r="A461" s="113">
        <v>88286</v>
      </c>
      <c r="B461" s="114" t="s">
        <v>428</v>
      </c>
      <c r="C461" s="114"/>
      <c r="D461" s="114"/>
      <c r="E461" s="113"/>
      <c r="F461" s="114"/>
      <c r="G461" s="114"/>
    </row>
    <row r="462" spans="1:7" s="115" customFormat="1" ht="23">
      <c r="A462" s="116" t="s">
        <v>145</v>
      </c>
      <c r="B462" s="117"/>
      <c r="C462" s="118" t="s">
        <v>4</v>
      </c>
      <c r="D462" s="118" t="s">
        <v>66</v>
      </c>
      <c r="E462" s="119" t="s">
        <v>67</v>
      </c>
      <c r="F462" s="118" t="s">
        <v>765</v>
      </c>
      <c r="G462" s="118" t="s">
        <v>69</v>
      </c>
    </row>
    <row r="463" spans="1:7" s="115" customFormat="1" ht="23">
      <c r="A463" s="120" t="s">
        <v>150</v>
      </c>
      <c r="B463" s="121" t="s">
        <v>151</v>
      </c>
      <c r="C463" s="122" t="s">
        <v>24</v>
      </c>
      <c r="D463" s="122" t="s">
        <v>87</v>
      </c>
      <c r="E463" s="140">
        <v>1</v>
      </c>
      <c r="F463" s="124">
        <v>0.92</v>
      </c>
      <c r="G463" s="125">
        <f t="shared" ref="G463:G468" si="8">TRUNC(TRUNC(E463,8)*F463,2)</f>
        <v>0.92</v>
      </c>
    </row>
    <row r="464" spans="1:7" s="115" customFormat="1" ht="23">
      <c r="A464" s="120" t="s">
        <v>192</v>
      </c>
      <c r="B464" s="121" t="s">
        <v>193</v>
      </c>
      <c r="C464" s="122" t="s">
        <v>24</v>
      </c>
      <c r="D464" s="122" t="s">
        <v>87</v>
      </c>
      <c r="E464" s="140">
        <v>1</v>
      </c>
      <c r="F464" s="124">
        <v>0.89</v>
      </c>
      <c r="G464" s="125">
        <f t="shared" si="8"/>
        <v>0.89</v>
      </c>
    </row>
    <row r="465" spans="1:7" s="115" customFormat="1" ht="23">
      <c r="A465" s="120" t="s">
        <v>143</v>
      </c>
      <c r="B465" s="121" t="s">
        <v>144</v>
      </c>
      <c r="C465" s="122" t="s">
        <v>24</v>
      </c>
      <c r="D465" s="122" t="s">
        <v>87</v>
      </c>
      <c r="E465" s="140">
        <v>1</v>
      </c>
      <c r="F465" s="124">
        <v>1.43</v>
      </c>
      <c r="G465" s="125">
        <f t="shared" si="8"/>
        <v>1.43</v>
      </c>
    </row>
    <row r="466" spans="1:7" s="115" customFormat="1" ht="34.5">
      <c r="A466" s="120" t="s">
        <v>222</v>
      </c>
      <c r="B466" s="121" t="s">
        <v>223</v>
      </c>
      <c r="C466" s="122" t="s">
        <v>24</v>
      </c>
      <c r="D466" s="122" t="s">
        <v>87</v>
      </c>
      <c r="E466" s="140">
        <v>1</v>
      </c>
      <c r="F466" s="124">
        <v>0.01</v>
      </c>
      <c r="G466" s="125">
        <f t="shared" si="8"/>
        <v>0.01</v>
      </c>
    </row>
    <row r="467" spans="1:7" s="115" customFormat="1" ht="23">
      <c r="A467" s="120" t="s">
        <v>202</v>
      </c>
      <c r="B467" s="121" t="s">
        <v>203</v>
      </c>
      <c r="C467" s="122" t="s">
        <v>24</v>
      </c>
      <c r="D467" s="122" t="s">
        <v>87</v>
      </c>
      <c r="E467" s="140">
        <v>1</v>
      </c>
      <c r="F467" s="124">
        <v>0.08</v>
      </c>
      <c r="G467" s="125">
        <f t="shared" si="8"/>
        <v>0.08</v>
      </c>
    </row>
    <row r="468" spans="1:7" s="115" customFormat="1" ht="23">
      <c r="A468" s="120" t="s">
        <v>154</v>
      </c>
      <c r="B468" s="121" t="s">
        <v>155</v>
      </c>
      <c r="C468" s="122" t="s">
        <v>24</v>
      </c>
      <c r="D468" s="122" t="s">
        <v>87</v>
      </c>
      <c r="E468" s="140">
        <v>1</v>
      </c>
      <c r="F468" s="124">
        <v>0.8</v>
      </c>
      <c r="G468" s="125">
        <f t="shared" si="8"/>
        <v>0.8</v>
      </c>
    </row>
    <row r="469" spans="1:7" s="115" customFormat="1" ht="11.5">
      <c r="A469" s="126"/>
      <c r="B469" s="127"/>
      <c r="C469" s="127"/>
      <c r="D469" s="127"/>
      <c r="E469" s="128" t="s">
        <v>591</v>
      </c>
      <c r="F469" s="129"/>
      <c r="G469" s="130">
        <f>SUM(G463:G468)</f>
        <v>4.13</v>
      </c>
    </row>
    <row r="470" spans="1:7" s="115" customFormat="1" ht="23">
      <c r="A470" s="116" t="s">
        <v>130</v>
      </c>
      <c r="B470" s="117"/>
      <c r="C470" s="118" t="s">
        <v>4</v>
      </c>
      <c r="D470" s="118" t="s">
        <v>66</v>
      </c>
      <c r="E470" s="119" t="s">
        <v>67</v>
      </c>
      <c r="F470" s="118" t="s">
        <v>765</v>
      </c>
      <c r="G470" s="118" t="s">
        <v>69</v>
      </c>
    </row>
    <row r="471" spans="1:7" s="115" customFormat="1" ht="23">
      <c r="A471" s="120" t="s">
        <v>166</v>
      </c>
      <c r="B471" s="121" t="s">
        <v>167</v>
      </c>
      <c r="C471" s="122" t="s">
        <v>24</v>
      </c>
      <c r="D471" s="122" t="s">
        <v>87</v>
      </c>
      <c r="E471" s="140">
        <v>1</v>
      </c>
      <c r="F471" s="124">
        <v>23.45</v>
      </c>
      <c r="G471" s="125">
        <f>TRUNC(TRUNC(E471,8)*F471,2)</f>
        <v>23.45</v>
      </c>
    </row>
    <row r="472" spans="1:7" s="115" customFormat="1" ht="11.5">
      <c r="A472" s="126"/>
      <c r="B472" s="127"/>
      <c r="C472" s="127"/>
      <c r="D472" s="127"/>
      <c r="E472" s="128" t="s">
        <v>592</v>
      </c>
      <c r="F472" s="129"/>
      <c r="G472" s="130">
        <f>SUM(G471:G471)</f>
        <v>23.45</v>
      </c>
    </row>
    <row r="473" spans="1:7" s="115" customFormat="1" ht="23">
      <c r="A473" s="116" t="s">
        <v>73</v>
      </c>
      <c r="B473" s="117"/>
      <c r="C473" s="118" t="s">
        <v>4</v>
      </c>
      <c r="D473" s="118" t="s">
        <v>66</v>
      </c>
      <c r="E473" s="119" t="s">
        <v>67</v>
      </c>
      <c r="F473" s="118" t="s">
        <v>765</v>
      </c>
      <c r="G473" s="118" t="s">
        <v>69</v>
      </c>
    </row>
    <row r="474" spans="1:7" s="115" customFormat="1" ht="23">
      <c r="A474" s="120" t="s">
        <v>375</v>
      </c>
      <c r="B474" s="121" t="s">
        <v>376</v>
      </c>
      <c r="C474" s="122" t="s">
        <v>24</v>
      </c>
      <c r="D474" s="122" t="s">
        <v>87</v>
      </c>
      <c r="E474" s="140">
        <v>1</v>
      </c>
      <c r="F474" s="124">
        <v>0.38</v>
      </c>
      <c r="G474" s="125">
        <f>TRUNC(TRUNC(E474,8)*F474,2)</f>
        <v>0.38</v>
      </c>
    </row>
    <row r="475" spans="1:7" s="115" customFormat="1" ht="11.5">
      <c r="A475" s="126"/>
      <c r="B475" s="127"/>
      <c r="C475" s="127"/>
      <c r="D475" s="127"/>
      <c r="E475" s="128" t="s">
        <v>77</v>
      </c>
      <c r="F475" s="129"/>
      <c r="G475" s="130">
        <f>SUM(G474:G474)</f>
        <v>0.38</v>
      </c>
    </row>
    <row r="476" spans="1:7" s="115" customFormat="1" ht="11.5">
      <c r="A476" s="126"/>
      <c r="B476" s="127"/>
      <c r="C476" s="127"/>
      <c r="D476" s="127"/>
      <c r="E476" s="131" t="s">
        <v>78</v>
      </c>
      <c r="F476" s="132">
        <f>A461</f>
        <v>88286</v>
      </c>
      <c r="G476" s="133">
        <f>SUM(G469,G472,G475)</f>
        <v>27.959999999999997</v>
      </c>
    </row>
    <row r="477" spans="1:7" s="115" customFormat="1" ht="11.5">
      <c r="A477" s="126"/>
      <c r="B477" s="127"/>
      <c r="C477" s="127"/>
      <c r="D477" s="127"/>
      <c r="E477" s="134"/>
      <c r="F477" s="135"/>
      <c r="G477" s="135"/>
    </row>
    <row r="478" spans="1:7" s="115" customFormat="1" ht="23">
      <c r="A478" s="113">
        <v>88377</v>
      </c>
      <c r="B478" s="114" t="s">
        <v>642</v>
      </c>
      <c r="C478" s="114"/>
      <c r="D478" s="114"/>
      <c r="E478" s="113"/>
      <c r="F478" s="114"/>
      <c r="G478" s="114"/>
    </row>
    <row r="479" spans="1:7" s="115" customFormat="1" ht="23">
      <c r="A479" s="116" t="s">
        <v>145</v>
      </c>
      <c r="B479" s="117"/>
      <c r="C479" s="118" t="s">
        <v>4</v>
      </c>
      <c r="D479" s="118" t="s">
        <v>66</v>
      </c>
      <c r="E479" s="119" t="s">
        <v>67</v>
      </c>
      <c r="F479" s="118" t="s">
        <v>765</v>
      </c>
      <c r="G479" s="118" t="s">
        <v>69</v>
      </c>
    </row>
    <row r="480" spans="1:7" s="115" customFormat="1" ht="23">
      <c r="A480" s="120" t="s">
        <v>150</v>
      </c>
      <c r="B480" s="121" t="s">
        <v>151</v>
      </c>
      <c r="C480" s="122" t="s">
        <v>24</v>
      </c>
      <c r="D480" s="122" t="s">
        <v>87</v>
      </c>
      <c r="E480" s="140">
        <v>1</v>
      </c>
      <c r="F480" s="124">
        <v>0.92</v>
      </c>
      <c r="G480" s="125">
        <f t="shared" ref="G480:G485" si="9">TRUNC(TRUNC(E480,8)*F480,2)</f>
        <v>0.92</v>
      </c>
    </row>
    <row r="481" spans="1:7" s="115" customFormat="1" ht="23">
      <c r="A481" s="120" t="s">
        <v>192</v>
      </c>
      <c r="B481" s="121" t="s">
        <v>193</v>
      </c>
      <c r="C481" s="122" t="s">
        <v>24</v>
      </c>
      <c r="D481" s="122" t="s">
        <v>87</v>
      </c>
      <c r="E481" s="140">
        <v>1</v>
      </c>
      <c r="F481" s="124">
        <v>0.89</v>
      </c>
      <c r="G481" s="125">
        <f t="shared" si="9"/>
        <v>0.89</v>
      </c>
    </row>
    <row r="482" spans="1:7" s="115" customFormat="1" ht="23">
      <c r="A482" s="120" t="s">
        <v>143</v>
      </c>
      <c r="B482" s="121" t="s">
        <v>144</v>
      </c>
      <c r="C482" s="122" t="s">
        <v>24</v>
      </c>
      <c r="D482" s="122" t="s">
        <v>87</v>
      </c>
      <c r="E482" s="140">
        <v>1</v>
      </c>
      <c r="F482" s="124">
        <v>1.43</v>
      </c>
      <c r="G482" s="125">
        <f t="shared" si="9"/>
        <v>1.43</v>
      </c>
    </row>
    <row r="483" spans="1:7" s="115" customFormat="1" ht="34.5">
      <c r="A483" s="120" t="s">
        <v>222</v>
      </c>
      <c r="B483" s="121" t="s">
        <v>223</v>
      </c>
      <c r="C483" s="122" t="s">
        <v>24</v>
      </c>
      <c r="D483" s="122" t="s">
        <v>87</v>
      </c>
      <c r="E483" s="140">
        <v>1</v>
      </c>
      <c r="F483" s="124">
        <v>0.01</v>
      </c>
      <c r="G483" s="125">
        <f t="shared" si="9"/>
        <v>0.01</v>
      </c>
    </row>
    <row r="484" spans="1:7" s="115" customFormat="1" ht="23">
      <c r="A484" s="120" t="s">
        <v>202</v>
      </c>
      <c r="B484" s="121" t="s">
        <v>203</v>
      </c>
      <c r="C484" s="122" t="s">
        <v>24</v>
      </c>
      <c r="D484" s="122" t="s">
        <v>87</v>
      </c>
      <c r="E484" s="140">
        <v>1</v>
      </c>
      <c r="F484" s="124">
        <v>0.08</v>
      </c>
      <c r="G484" s="125">
        <f t="shared" si="9"/>
        <v>0.08</v>
      </c>
    </row>
    <row r="485" spans="1:7" s="115" customFormat="1" ht="23">
      <c r="A485" s="120" t="s">
        <v>154</v>
      </c>
      <c r="B485" s="121" t="s">
        <v>155</v>
      </c>
      <c r="C485" s="122" t="s">
        <v>24</v>
      </c>
      <c r="D485" s="122" t="s">
        <v>87</v>
      </c>
      <c r="E485" s="140">
        <v>1</v>
      </c>
      <c r="F485" s="124">
        <v>0.8</v>
      </c>
      <c r="G485" s="125">
        <f t="shared" si="9"/>
        <v>0.8</v>
      </c>
    </row>
    <row r="486" spans="1:7" s="115" customFormat="1" ht="11.5">
      <c r="A486" s="126"/>
      <c r="B486" s="127"/>
      <c r="C486" s="127"/>
      <c r="D486" s="127"/>
      <c r="E486" s="128" t="s">
        <v>591</v>
      </c>
      <c r="F486" s="129"/>
      <c r="G486" s="130">
        <f>SUM(G480:G485)</f>
        <v>4.13</v>
      </c>
    </row>
    <row r="487" spans="1:7" s="115" customFormat="1" ht="23">
      <c r="A487" s="116" t="s">
        <v>130</v>
      </c>
      <c r="B487" s="117"/>
      <c r="C487" s="118" t="s">
        <v>4</v>
      </c>
      <c r="D487" s="118" t="s">
        <v>66</v>
      </c>
      <c r="E487" s="119" t="s">
        <v>67</v>
      </c>
      <c r="F487" s="118" t="s">
        <v>765</v>
      </c>
      <c r="G487" s="118" t="s">
        <v>69</v>
      </c>
    </row>
    <row r="488" spans="1:7" s="115" customFormat="1" ht="23">
      <c r="A488" s="120" t="s">
        <v>615</v>
      </c>
      <c r="B488" s="121" t="s">
        <v>616</v>
      </c>
      <c r="C488" s="122" t="s">
        <v>24</v>
      </c>
      <c r="D488" s="122" t="s">
        <v>87</v>
      </c>
      <c r="E488" s="140">
        <v>1</v>
      </c>
      <c r="F488" s="124">
        <v>12.41</v>
      </c>
      <c r="G488" s="125">
        <f>TRUNC(TRUNC(E488,8)*F488,2)</f>
        <v>12.41</v>
      </c>
    </row>
    <row r="489" spans="1:7" s="115" customFormat="1" ht="11.5">
      <c r="A489" s="126"/>
      <c r="B489" s="127"/>
      <c r="C489" s="127"/>
      <c r="D489" s="127"/>
      <c r="E489" s="128" t="s">
        <v>592</v>
      </c>
      <c r="F489" s="129"/>
      <c r="G489" s="130">
        <f>SUM(G488:G488)</f>
        <v>12.41</v>
      </c>
    </row>
    <row r="490" spans="1:7" s="115" customFormat="1" ht="23">
      <c r="A490" s="116" t="s">
        <v>73</v>
      </c>
      <c r="B490" s="117"/>
      <c r="C490" s="118" t="s">
        <v>4</v>
      </c>
      <c r="D490" s="118" t="s">
        <v>66</v>
      </c>
      <c r="E490" s="119" t="s">
        <v>67</v>
      </c>
      <c r="F490" s="118" t="s">
        <v>765</v>
      </c>
      <c r="G490" s="118" t="s">
        <v>69</v>
      </c>
    </row>
    <row r="491" spans="1:7" s="115" customFormat="1" ht="34.5">
      <c r="A491" s="120" t="s">
        <v>633</v>
      </c>
      <c r="B491" s="121" t="s">
        <v>634</v>
      </c>
      <c r="C491" s="122" t="s">
        <v>24</v>
      </c>
      <c r="D491" s="122" t="s">
        <v>87</v>
      </c>
      <c r="E491" s="140">
        <v>1</v>
      </c>
      <c r="F491" s="124">
        <v>0.1</v>
      </c>
      <c r="G491" s="125">
        <f>TRUNC(TRUNC(E491,8)*F491,2)</f>
        <v>0.1</v>
      </c>
    </row>
    <row r="492" spans="1:7" s="115" customFormat="1" ht="11.5">
      <c r="A492" s="126"/>
      <c r="B492" s="127"/>
      <c r="C492" s="127"/>
      <c r="D492" s="127"/>
      <c r="E492" s="128" t="s">
        <v>77</v>
      </c>
      <c r="F492" s="129"/>
      <c r="G492" s="130">
        <f>SUM(G491:G491)</f>
        <v>0.1</v>
      </c>
    </row>
    <row r="493" spans="1:7" s="115" customFormat="1" ht="11.5">
      <c r="A493" s="126"/>
      <c r="B493" s="127"/>
      <c r="C493" s="127"/>
      <c r="D493" s="127"/>
      <c r="E493" s="131" t="s">
        <v>78</v>
      </c>
      <c r="F493" s="132">
        <f>A478</f>
        <v>88377</v>
      </c>
      <c r="G493" s="133">
        <f>SUM(G486,G489,G492)</f>
        <v>16.64</v>
      </c>
    </row>
    <row r="494" spans="1:7" s="115" customFormat="1" ht="11.5">
      <c r="A494" s="126"/>
      <c r="B494" s="127"/>
      <c r="C494" s="127"/>
      <c r="D494" s="127"/>
      <c r="E494" s="134"/>
      <c r="F494" s="135"/>
      <c r="G494" s="135"/>
    </row>
    <row r="495" spans="1:7" s="115" customFormat="1" ht="23">
      <c r="A495" s="113">
        <v>88297</v>
      </c>
      <c r="B495" s="114" t="s">
        <v>429</v>
      </c>
      <c r="C495" s="114"/>
      <c r="D495" s="114"/>
      <c r="E495" s="113"/>
      <c r="F495" s="114"/>
      <c r="G495" s="114"/>
    </row>
    <row r="496" spans="1:7" s="115" customFormat="1" ht="23">
      <c r="A496" s="116" t="s">
        <v>145</v>
      </c>
      <c r="B496" s="117"/>
      <c r="C496" s="118" t="s">
        <v>4</v>
      </c>
      <c r="D496" s="118" t="s">
        <v>66</v>
      </c>
      <c r="E496" s="119" t="s">
        <v>67</v>
      </c>
      <c r="F496" s="118" t="s">
        <v>765</v>
      </c>
      <c r="G496" s="118" t="s">
        <v>69</v>
      </c>
    </row>
    <row r="497" spans="1:7" s="115" customFormat="1" ht="23">
      <c r="A497" s="120" t="s">
        <v>150</v>
      </c>
      <c r="B497" s="121" t="s">
        <v>151</v>
      </c>
      <c r="C497" s="122" t="s">
        <v>24</v>
      </c>
      <c r="D497" s="122" t="s">
        <v>87</v>
      </c>
      <c r="E497" s="140">
        <v>1</v>
      </c>
      <c r="F497" s="124">
        <v>0.92</v>
      </c>
      <c r="G497" s="125">
        <f t="shared" ref="G497:G502" si="10">TRUNC(TRUNC(E497,8)*F497,2)</f>
        <v>0.92</v>
      </c>
    </row>
    <row r="498" spans="1:7" s="115" customFormat="1" ht="23">
      <c r="A498" s="120" t="s">
        <v>192</v>
      </c>
      <c r="B498" s="121" t="s">
        <v>193</v>
      </c>
      <c r="C498" s="122" t="s">
        <v>24</v>
      </c>
      <c r="D498" s="122" t="s">
        <v>87</v>
      </c>
      <c r="E498" s="140">
        <v>1</v>
      </c>
      <c r="F498" s="124">
        <v>0.89</v>
      </c>
      <c r="G498" s="125">
        <f t="shared" si="10"/>
        <v>0.89</v>
      </c>
    </row>
    <row r="499" spans="1:7" s="115" customFormat="1" ht="23">
      <c r="A499" s="120" t="s">
        <v>143</v>
      </c>
      <c r="B499" s="121" t="s">
        <v>144</v>
      </c>
      <c r="C499" s="122" t="s">
        <v>24</v>
      </c>
      <c r="D499" s="122" t="s">
        <v>87</v>
      </c>
      <c r="E499" s="140">
        <v>1</v>
      </c>
      <c r="F499" s="124">
        <v>1.43</v>
      </c>
      <c r="G499" s="125">
        <f t="shared" si="10"/>
        <v>1.43</v>
      </c>
    </row>
    <row r="500" spans="1:7" s="115" customFormat="1" ht="34.5">
      <c r="A500" s="120" t="s">
        <v>222</v>
      </c>
      <c r="B500" s="121" t="s">
        <v>223</v>
      </c>
      <c r="C500" s="122" t="s">
        <v>24</v>
      </c>
      <c r="D500" s="122" t="s">
        <v>87</v>
      </c>
      <c r="E500" s="140">
        <v>1</v>
      </c>
      <c r="F500" s="124">
        <v>0.01</v>
      </c>
      <c r="G500" s="125">
        <f t="shared" si="10"/>
        <v>0.01</v>
      </c>
    </row>
    <row r="501" spans="1:7" s="115" customFormat="1" ht="23">
      <c r="A501" s="120" t="s">
        <v>202</v>
      </c>
      <c r="B501" s="121" t="s">
        <v>203</v>
      </c>
      <c r="C501" s="122" t="s">
        <v>24</v>
      </c>
      <c r="D501" s="122" t="s">
        <v>87</v>
      </c>
      <c r="E501" s="140">
        <v>1</v>
      </c>
      <c r="F501" s="124">
        <v>0.08</v>
      </c>
      <c r="G501" s="125">
        <f t="shared" si="10"/>
        <v>0.08</v>
      </c>
    </row>
    <row r="502" spans="1:7" s="115" customFormat="1" ht="23">
      <c r="A502" s="120" t="s">
        <v>154</v>
      </c>
      <c r="B502" s="121" t="s">
        <v>155</v>
      </c>
      <c r="C502" s="122" t="s">
        <v>24</v>
      </c>
      <c r="D502" s="122" t="s">
        <v>87</v>
      </c>
      <c r="E502" s="140">
        <v>1</v>
      </c>
      <c r="F502" s="124">
        <v>0.8</v>
      </c>
      <c r="G502" s="125">
        <f t="shared" si="10"/>
        <v>0.8</v>
      </c>
    </row>
    <row r="503" spans="1:7" s="115" customFormat="1" ht="11.5">
      <c r="A503" s="126"/>
      <c r="B503" s="127"/>
      <c r="C503" s="127"/>
      <c r="D503" s="127"/>
      <c r="E503" s="128" t="s">
        <v>591</v>
      </c>
      <c r="F503" s="129"/>
      <c r="G503" s="130">
        <f>SUM(G497:G502)</f>
        <v>4.13</v>
      </c>
    </row>
    <row r="504" spans="1:7" s="115" customFormat="1" ht="23">
      <c r="A504" s="116" t="s">
        <v>130</v>
      </c>
      <c r="B504" s="117"/>
      <c r="C504" s="118" t="s">
        <v>4</v>
      </c>
      <c r="D504" s="118" t="s">
        <v>66</v>
      </c>
      <c r="E504" s="119" t="s">
        <v>67</v>
      </c>
      <c r="F504" s="118" t="s">
        <v>765</v>
      </c>
      <c r="G504" s="118" t="s">
        <v>69</v>
      </c>
    </row>
    <row r="505" spans="1:7" s="115" customFormat="1" ht="23">
      <c r="A505" s="120" t="s">
        <v>200</v>
      </c>
      <c r="B505" s="121" t="s">
        <v>201</v>
      </c>
      <c r="C505" s="122" t="s">
        <v>24</v>
      </c>
      <c r="D505" s="122" t="s">
        <v>87</v>
      </c>
      <c r="E505" s="140">
        <v>1</v>
      </c>
      <c r="F505" s="124">
        <v>19.45</v>
      </c>
      <c r="G505" s="125">
        <f>TRUNC(TRUNC(E505,8)*F505,2)</f>
        <v>19.45</v>
      </c>
    </row>
    <row r="506" spans="1:7" s="115" customFormat="1" ht="11.5">
      <c r="A506" s="126"/>
      <c r="B506" s="127"/>
      <c r="C506" s="127"/>
      <c r="D506" s="127"/>
      <c r="E506" s="128" t="s">
        <v>592</v>
      </c>
      <c r="F506" s="129"/>
      <c r="G506" s="130">
        <f>SUM(G505:G505)</f>
        <v>19.45</v>
      </c>
    </row>
    <row r="507" spans="1:7" s="115" customFormat="1" ht="23">
      <c r="A507" s="116" t="s">
        <v>73</v>
      </c>
      <c r="B507" s="117"/>
      <c r="C507" s="118" t="s">
        <v>4</v>
      </c>
      <c r="D507" s="118" t="s">
        <v>66</v>
      </c>
      <c r="E507" s="119" t="s">
        <v>67</v>
      </c>
      <c r="F507" s="118" t="s">
        <v>765</v>
      </c>
      <c r="G507" s="118" t="s">
        <v>69</v>
      </c>
    </row>
    <row r="508" spans="1:7" s="115" customFormat="1" ht="23">
      <c r="A508" s="120" t="s">
        <v>377</v>
      </c>
      <c r="B508" s="121" t="s">
        <v>378</v>
      </c>
      <c r="C508" s="122" t="s">
        <v>24</v>
      </c>
      <c r="D508" s="122" t="s">
        <v>87</v>
      </c>
      <c r="E508" s="140">
        <v>1</v>
      </c>
      <c r="F508" s="124">
        <v>0.22</v>
      </c>
      <c r="G508" s="125">
        <f>TRUNC(TRUNC(E508,8)*F508,2)</f>
        <v>0.22</v>
      </c>
    </row>
    <row r="509" spans="1:7" s="115" customFormat="1" ht="11.5">
      <c r="A509" s="126"/>
      <c r="B509" s="127"/>
      <c r="C509" s="127"/>
      <c r="D509" s="127"/>
      <c r="E509" s="128" t="s">
        <v>77</v>
      </c>
      <c r="F509" s="129"/>
      <c r="G509" s="130">
        <f>SUM(G508:G508)</f>
        <v>0.22</v>
      </c>
    </row>
    <row r="510" spans="1:7" s="115" customFormat="1" ht="11.5">
      <c r="A510" s="126"/>
      <c r="B510" s="127"/>
      <c r="C510" s="127"/>
      <c r="D510" s="127"/>
      <c r="E510" s="131" t="s">
        <v>78</v>
      </c>
      <c r="F510" s="132">
        <f>A495</f>
        <v>88297</v>
      </c>
      <c r="G510" s="133">
        <f>SUM(G503,G506,G509)</f>
        <v>23.799999999999997</v>
      </c>
    </row>
    <row r="511" spans="1:7" s="115" customFormat="1" ht="11.5">
      <c r="A511" s="126"/>
      <c r="B511" s="127"/>
      <c r="C511" s="127"/>
      <c r="D511" s="127"/>
      <c r="E511" s="134"/>
      <c r="F511" s="135"/>
      <c r="G511" s="135"/>
    </row>
    <row r="512" spans="1:7" s="115" customFormat="1" ht="11.5">
      <c r="A512" s="113">
        <v>88309</v>
      </c>
      <c r="B512" s="114" t="s">
        <v>430</v>
      </c>
      <c r="C512" s="114"/>
      <c r="D512" s="114"/>
      <c r="E512" s="113"/>
      <c r="F512" s="114"/>
      <c r="G512" s="114"/>
    </row>
    <row r="513" spans="1:7" s="115" customFormat="1" ht="23">
      <c r="A513" s="116" t="s">
        <v>145</v>
      </c>
      <c r="B513" s="117"/>
      <c r="C513" s="118" t="s">
        <v>4</v>
      </c>
      <c r="D513" s="118" t="s">
        <v>66</v>
      </c>
      <c r="E513" s="119" t="s">
        <v>67</v>
      </c>
      <c r="F513" s="118" t="s">
        <v>765</v>
      </c>
      <c r="G513" s="118" t="s">
        <v>69</v>
      </c>
    </row>
    <row r="514" spans="1:7" s="115" customFormat="1" ht="23">
      <c r="A514" s="120" t="s">
        <v>150</v>
      </c>
      <c r="B514" s="121" t="s">
        <v>151</v>
      </c>
      <c r="C514" s="122" t="s">
        <v>24</v>
      </c>
      <c r="D514" s="122" t="s">
        <v>87</v>
      </c>
      <c r="E514" s="140">
        <v>1</v>
      </c>
      <c r="F514" s="124">
        <v>0.92</v>
      </c>
      <c r="G514" s="125">
        <f t="shared" ref="G514:G519" si="11">TRUNC(TRUNC(E514,8)*F514,2)</f>
        <v>0.92</v>
      </c>
    </row>
    <row r="515" spans="1:7" s="115" customFormat="1" ht="23">
      <c r="A515" s="120" t="s">
        <v>182</v>
      </c>
      <c r="B515" s="121" t="s">
        <v>183</v>
      </c>
      <c r="C515" s="122" t="s">
        <v>24</v>
      </c>
      <c r="D515" s="122" t="s">
        <v>87</v>
      </c>
      <c r="E515" s="140">
        <v>1</v>
      </c>
      <c r="F515" s="124">
        <v>1.31</v>
      </c>
      <c r="G515" s="125">
        <f t="shared" si="11"/>
        <v>1.31</v>
      </c>
    </row>
    <row r="516" spans="1:7" s="115" customFormat="1" ht="23">
      <c r="A516" s="120" t="s">
        <v>143</v>
      </c>
      <c r="B516" s="121" t="s">
        <v>144</v>
      </c>
      <c r="C516" s="122" t="s">
        <v>24</v>
      </c>
      <c r="D516" s="122" t="s">
        <v>87</v>
      </c>
      <c r="E516" s="140">
        <v>1</v>
      </c>
      <c r="F516" s="124">
        <v>1.43</v>
      </c>
      <c r="G516" s="125">
        <f t="shared" si="11"/>
        <v>1.43</v>
      </c>
    </row>
    <row r="517" spans="1:7" s="115" customFormat="1" ht="23">
      <c r="A517" s="120" t="s">
        <v>190</v>
      </c>
      <c r="B517" s="121" t="s">
        <v>191</v>
      </c>
      <c r="C517" s="122" t="s">
        <v>24</v>
      </c>
      <c r="D517" s="122" t="s">
        <v>87</v>
      </c>
      <c r="E517" s="140">
        <v>1</v>
      </c>
      <c r="F517" s="124">
        <v>0.78</v>
      </c>
      <c r="G517" s="125">
        <f t="shared" si="11"/>
        <v>0.78</v>
      </c>
    </row>
    <row r="518" spans="1:7" s="115" customFormat="1" ht="23">
      <c r="A518" s="120" t="s">
        <v>202</v>
      </c>
      <c r="B518" s="121" t="s">
        <v>203</v>
      </c>
      <c r="C518" s="122" t="s">
        <v>24</v>
      </c>
      <c r="D518" s="122" t="s">
        <v>87</v>
      </c>
      <c r="E518" s="140">
        <v>1</v>
      </c>
      <c r="F518" s="124">
        <v>0.08</v>
      </c>
      <c r="G518" s="125">
        <f t="shared" si="11"/>
        <v>0.08</v>
      </c>
    </row>
    <row r="519" spans="1:7" s="115" customFormat="1" ht="23">
      <c r="A519" s="120" t="s">
        <v>154</v>
      </c>
      <c r="B519" s="121" t="s">
        <v>155</v>
      </c>
      <c r="C519" s="122" t="s">
        <v>24</v>
      </c>
      <c r="D519" s="122" t="s">
        <v>87</v>
      </c>
      <c r="E519" s="140">
        <v>1</v>
      </c>
      <c r="F519" s="124">
        <v>0.8</v>
      </c>
      <c r="G519" s="125">
        <f t="shared" si="11"/>
        <v>0.8</v>
      </c>
    </row>
    <row r="520" spans="1:7" s="115" customFormat="1" ht="11.5">
      <c r="A520" s="126"/>
      <c r="B520" s="127"/>
      <c r="C520" s="127"/>
      <c r="D520" s="127"/>
      <c r="E520" s="128" t="s">
        <v>591</v>
      </c>
      <c r="F520" s="129"/>
      <c r="G520" s="130">
        <f>SUM(G514:G519)</f>
        <v>5.32</v>
      </c>
    </row>
    <row r="521" spans="1:7" s="115" customFormat="1" ht="23">
      <c r="A521" s="116" t="s">
        <v>130</v>
      </c>
      <c r="B521" s="117"/>
      <c r="C521" s="118" t="s">
        <v>4</v>
      </c>
      <c r="D521" s="118" t="s">
        <v>66</v>
      </c>
      <c r="E521" s="119" t="s">
        <v>67</v>
      </c>
      <c r="F521" s="118" t="s">
        <v>765</v>
      </c>
      <c r="G521" s="118" t="s">
        <v>69</v>
      </c>
    </row>
    <row r="522" spans="1:7" s="115" customFormat="1" ht="11.5">
      <c r="A522" s="120" t="s">
        <v>152</v>
      </c>
      <c r="B522" s="121" t="s">
        <v>153</v>
      </c>
      <c r="C522" s="122" t="s">
        <v>24</v>
      </c>
      <c r="D522" s="122" t="s">
        <v>87</v>
      </c>
      <c r="E522" s="140">
        <v>1</v>
      </c>
      <c r="F522" s="124">
        <v>19.48</v>
      </c>
      <c r="G522" s="125">
        <f>TRUNC(TRUNC(E522,8)*F522,2)</f>
        <v>19.48</v>
      </c>
    </row>
    <row r="523" spans="1:7" s="115" customFormat="1" ht="11.5">
      <c r="A523" s="126"/>
      <c r="B523" s="127"/>
      <c r="C523" s="127"/>
      <c r="D523" s="127"/>
      <c r="E523" s="128" t="s">
        <v>592</v>
      </c>
      <c r="F523" s="129"/>
      <c r="G523" s="130">
        <f>SUM(G522:G522)</f>
        <v>19.48</v>
      </c>
    </row>
    <row r="524" spans="1:7" s="115" customFormat="1" ht="23">
      <c r="A524" s="116" t="s">
        <v>73</v>
      </c>
      <c r="B524" s="117"/>
      <c r="C524" s="118" t="s">
        <v>4</v>
      </c>
      <c r="D524" s="118" t="s">
        <v>66</v>
      </c>
      <c r="E524" s="119" t="s">
        <v>67</v>
      </c>
      <c r="F524" s="118" t="s">
        <v>765</v>
      </c>
      <c r="G524" s="118" t="s">
        <v>69</v>
      </c>
    </row>
    <row r="525" spans="1:7" s="115" customFormat="1" ht="23">
      <c r="A525" s="120" t="s">
        <v>379</v>
      </c>
      <c r="B525" s="121" t="s">
        <v>380</v>
      </c>
      <c r="C525" s="122" t="s">
        <v>24</v>
      </c>
      <c r="D525" s="122" t="s">
        <v>87</v>
      </c>
      <c r="E525" s="140">
        <v>1</v>
      </c>
      <c r="F525" s="124">
        <v>0.41</v>
      </c>
      <c r="G525" s="125">
        <f>TRUNC(TRUNC(E525,8)*F525,2)</f>
        <v>0.41</v>
      </c>
    </row>
    <row r="526" spans="1:7" s="115" customFormat="1" ht="11.5">
      <c r="A526" s="126"/>
      <c r="B526" s="127"/>
      <c r="C526" s="127"/>
      <c r="D526" s="127"/>
      <c r="E526" s="128" t="s">
        <v>77</v>
      </c>
      <c r="F526" s="129"/>
      <c r="G526" s="130">
        <f>SUM(G525:G525)</f>
        <v>0.41</v>
      </c>
    </row>
    <row r="527" spans="1:7" s="115" customFormat="1" ht="11.5">
      <c r="A527" s="126"/>
      <c r="B527" s="127"/>
      <c r="C527" s="127"/>
      <c r="D527" s="127"/>
      <c r="E527" s="131" t="s">
        <v>78</v>
      </c>
      <c r="F527" s="132">
        <f>A512</f>
        <v>88309</v>
      </c>
      <c r="G527" s="133">
        <f>SUM(G520,G523,G526)</f>
        <v>25.21</v>
      </c>
    </row>
    <row r="528" spans="1:7" s="115" customFormat="1" ht="11.5">
      <c r="A528" s="126"/>
      <c r="B528" s="127"/>
      <c r="C528" s="127"/>
      <c r="D528" s="127"/>
      <c r="E528" s="134"/>
      <c r="F528" s="135"/>
      <c r="G528" s="135"/>
    </row>
    <row r="529" spans="1:7" s="115" customFormat="1" ht="11.5">
      <c r="A529" s="113">
        <v>88310</v>
      </c>
      <c r="B529" s="114" t="s">
        <v>431</v>
      </c>
      <c r="C529" s="114"/>
      <c r="D529" s="114"/>
      <c r="E529" s="113"/>
      <c r="F529" s="114"/>
      <c r="G529" s="114"/>
    </row>
    <row r="530" spans="1:7" s="115" customFormat="1" ht="23">
      <c r="A530" s="116" t="s">
        <v>145</v>
      </c>
      <c r="B530" s="117"/>
      <c r="C530" s="118" t="s">
        <v>4</v>
      </c>
      <c r="D530" s="118" t="s">
        <v>66</v>
      </c>
      <c r="E530" s="119" t="s">
        <v>67</v>
      </c>
      <c r="F530" s="118" t="s">
        <v>765</v>
      </c>
      <c r="G530" s="118" t="s">
        <v>69</v>
      </c>
    </row>
    <row r="531" spans="1:7" s="115" customFormat="1" ht="23">
      <c r="A531" s="120" t="s">
        <v>150</v>
      </c>
      <c r="B531" s="121" t="s">
        <v>151</v>
      </c>
      <c r="C531" s="122" t="s">
        <v>24</v>
      </c>
      <c r="D531" s="122" t="s">
        <v>87</v>
      </c>
      <c r="E531" s="140">
        <v>1</v>
      </c>
      <c r="F531" s="124">
        <v>0.92</v>
      </c>
      <c r="G531" s="125">
        <f t="shared" ref="G531:G536" si="12">TRUNC(TRUNC(E531,8)*F531,2)</f>
        <v>0.92</v>
      </c>
    </row>
    <row r="532" spans="1:7" s="115" customFormat="1" ht="23">
      <c r="A532" s="120" t="s">
        <v>184</v>
      </c>
      <c r="B532" s="121" t="s">
        <v>185</v>
      </c>
      <c r="C532" s="122" t="s">
        <v>24</v>
      </c>
      <c r="D532" s="122" t="s">
        <v>87</v>
      </c>
      <c r="E532" s="140">
        <v>1</v>
      </c>
      <c r="F532" s="124">
        <v>1.85</v>
      </c>
      <c r="G532" s="125">
        <f t="shared" si="12"/>
        <v>1.85</v>
      </c>
    </row>
    <row r="533" spans="1:7" s="115" customFormat="1" ht="23">
      <c r="A533" s="120" t="s">
        <v>143</v>
      </c>
      <c r="B533" s="121" t="s">
        <v>144</v>
      </c>
      <c r="C533" s="122" t="s">
        <v>24</v>
      </c>
      <c r="D533" s="122" t="s">
        <v>87</v>
      </c>
      <c r="E533" s="140">
        <v>1</v>
      </c>
      <c r="F533" s="124">
        <v>1.43</v>
      </c>
      <c r="G533" s="125">
        <f t="shared" si="12"/>
        <v>1.43</v>
      </c>
    </row>
    <row r="534" spans="1:7" s="115" customFormat="1" ht="23">
      <c r="A534" s="120" t="s">
        <v>180</v>
      </c>
      <c r="B534" s="121" t="s">
        <v>181</v>
      </c>
      <c r="C534" s="122" t="s">
        <v>24</v>
      </c>
      <c r="D534" s="122" t="s">
        <v>87</v>
      </c>
      <c r="E534" s="140">
        <v>1</v>
      </c>
      <c r="F534" s="124">
        <v>2.0499999999999998</v>
      </c>
      <c r="G534" s="125">
        <f t="shared" si="12"/>
        <v>2.0499999999999998</v>
      </c>
    </row>
    <row r="535" spans="1:7" s="115" customFormat="1" ht="23">
      <c r="A535" s="120" t="s">
        <v>202</v>
      </c>
      <c r="B535" s="121" t="s">
        <v>203</v>
      </c>
      <c r="C535" s="122" t="s">
        <v>24</v>
      </c>
      <c r="D535" s="122" t="s">
        <v>87</v>
      </c>
      <c r="E535" s="140">
        <v>1</v>
      </c>
      <c r="F535" s="124">
        <v>0.08</v>
      </c>
      <c r="G535" s="125">
        <f t="shared" si="12"/>
        <v>0.08</v>
      </c>
    </row>
    <row r="536" spans="1:7" s="115" customFormat="1" ht="23">
      <c r="A536" s="120" t="s">
        <v>154</v>
      </c>
      <c r="B536" s="121" t="s">
        <v>155</v>
      </c>
      <c r="C536" s="122" t="s">
        <v>24</v>
      </c>
      <c r="D536" s="122" t="s">
        <v>87</v>
      </c>
      <c r="E536" s="140">
        <v>1</v>
      </c>
      <c r="F536" s="124">
        <v>0.8</v>
      </c>
      <c r="G536" s="125">
        <f t="shared" si="12"/>
        <v>0.8</v>
      </c>
    </row>
    <row r="537" spans="1:7" s="115" customFormat="1" ht="11.5">
      <c r="A537" s="126"/>
      <c r="B537" s="127"/>
      <c r="C537" s="127"/>
      <c r="D537" s="127"/>
      <c r="E537" s="128" t="s">
        <v>591</v>
      </c>
      <c r="F537" s="129"/>
      <c r="G537" s="130">
        <f>SUM(G531:G536)</f>
        <v>7.13</v>
      </c>
    </row>
    <row r="538" spans="1:7" s="115" customFormat="1" ht="23">
      <c r="A538" s="116" t="s">
        <v>130</v>
      </c>
      <c r="B538" s="117"/>
      <c r="C538" s="118" t="s">
        <v>4</v>
      </c>
      <c r="D538" s="118" t="s">
        <v>66</v>
      </c>
      <c r="E538" s="119" t="s">
        <v>67</v>
      </c>
      <c r="F538" s="118" t="s">
        <v>765</v>
      </c>
      <c r="G538" s="118" t="s">
        <v>69</v>
      </c>
    </row>
    <row r="539" spans="1:7" s="115" customFormat="1" ht="11.5">
      <c r="A539" s="120" t="s">
        <v>158</v>
      </c>
      <c r="B539" s="121" t="s">
        <v>159</v>
      </c>
      <c r="C539" s="122" t="s">
        <v>24</v>
      </c>
      <c r="D539" s="122" t="s">
        <v>87</v>
      </c>
      <c r="E539" s="140">
        <v>1</v>
      </c>
      <c r="F539" s="124">
        <v>19.18</v>
      </c>
      <c r="G539" s="125">
        <f>TRUNC(TRUNC(E539,8)*F539,2)</f>
        <v>19.18</v>
      </c>
    </row>
    <row r="540" spans="1:7" s="115" customFormat="1" ht="11.5">
      <c r="A540" s="126"/>
      <c r="B540" s="127"/>
      <c r="C540" s="127"/>
      <c r="D540" s="127"/>
      <c r="E540" s="128" t="s">
        <v>592</v>
      </c>
      <c r="F540" s="129"/>
      <c r="G540" s="130">
        <f>SUM(G539:G539)</f>
        <v>19.18</v>
      </c>
    </row>
    <row r="541" spans="1:7" s="115" customFormat="1" ht="23">
      <c r="A541" s="116" t="s">
        <v>73</v>
      </c>
      <c r="B541" s="117"/>
      <c r="C541" s="118" t="s">
        <v>4</v>
      </c>
      <c r="D541" s="118" t="s">
        <v>66</v>
      </c>
      <c r="E541" s="119" t="s">
        <v>67</v>
      </c>
      <c r="F541" s="118" t="s">
        <v>765</v>
      </c>
      <c r="G541" s="118" t="s">
        <v>69</v>
      </c>
    </row>
    <row r="542" spans="1:7" s="115" customFormat="1" ht="23">
      <c r="A542" s="120" t="s">
        <v>381</v>
      </c>
      <c r="B542" s="121" t="s">
        <v>382</v>
      </c>
      <c r="C542" s="122" t="s">
        <v>24</v>
      </c>
      <c r="D542" s="122" t="s">
        <v>87</v>
      </c>
      <c r="E542" s="140">
        <v>1</v>
      </c>
      <c r="F542" s="124">
        <v>0.28000000000000003</v>
      </c>
      <c r="G542" s="125">
        <f>TRUNC(TRUNC(E542,8)*F542,2)</f>
        <v>0.28000000000000003</v>
      </c>
    </row>
    <row r="543" spans="1:7" s="115" customFormat="1" ht="11.5">
      <c r="A543" s="126"/>
      <c r="B543" s="127"/>
      <c r="C543" s="127"/>
      <c r="D543" s="127"/>
      <c r="E543" s="128" t="s">
        <v>77</v>
      </c>
      <c r="F543" s="129"/>
      <c r="G543" s="130">
        <f>SUM(G542:G542)</f>
        <v>0.28000000000000003</v>
      </c>
    </row>
    <row r="544" spans="1:7" s="115" customFormat="1" ht="11.5">
      <c r="A544" s="126"/>
      <c r="B544" s="127"/>
      <c r="C544" s="127"/>
      <c r="D544" s="127"/>
      <c r="E544" s="131" t="s">
        <v>78</v>
      </c>
      <c r="F544" s="132">
        <f>A529</f>
        <v>88310</v>
      </c>
      <c r="G544" s="133">
        <f>SUM(G537,G540,G543)</f>
        <v>26.59</v>
      </c>
    </row>
    <row r="545" spans="1:7" s="115" customFormat="1" ht="11.5">
      <c r="A545" s="126"/>
      <c r="B545" s="127"/>
      <c r="C545" s="127"/>
      <c r="D545" s="127"/>
      <c r="E545" s="134"/>
      <c r="F545" s="135"/>
      <c r="G545" s="135"/>
    </row>
    <row r="546" spans="1:7" s="115" customFormat="1" ht="23">
      <c r="A546" s="113">
        <v>102234</v>
      </c>
      <c r="B546" s="114" t="s">
        <v>432</v>
      </c>
      <c r="C546" s="114"/>
      <c r="D546" s="114"/>
      <c r="E546" s="113"/>
      <c r="F546" s="114"/>
      <c r="G546" s="114"/>
    </row>
    <row r="547" spans="1:7" s="115" customFormat="1" ht="23">
      <c r="A547" s="116" t="s">
        <v>79</v>
      </c>
      <c r="B547" s="117"/>
      <c r="C547" s="118" t="s">
        <v>4</v>
      </c>
      <c r="D547" s="118" t="s">
        <v>66</v>
      </c>
      <c r="E547" s="119" t="s">
        <v>67</v>
      </c>
      <c r="F547" s="118" t="s">
        <v>765</v>
      </c>
      <c r="G547" s="118" t="s">
        <v>69</v>
      </c>
    </row>
    <row r="548" spans="1:7" s="115" customFormat="1" ht="11.5">
      <c r="A548" s="120" t="s">
        <v>194</v>
      </c>
      <c r="B548" s="121" t="s">
        <v>195</v>
      </c>
      <c r="C548" s="122" t="s">
        <v>24</v>
      </c>
      <c r="D548" s="122" t="s">
        <v>112</v>
      </c>
      <c r="E548" s="140">
        <v>0.32569999999999999</v>
      </c>
      <c r="F548" s="124">
        <v>33.5</v>
      </c>
      <c r="G548" s="125">
        <f>TRUNC(TRUNC(E548,8)*F548,2)</f>
        <v>10.91</v>
      </c>
    </row>
    <row r="549" spans="1:7" s="115" customFormat="1" ht="11.5">
      <c r="A549" s="126"/>
      <c r="B549" s="127"/>
      <c r="C549" s="127"/>
      <c r="D549" s="127"/>
      <c r="E549" s="128" t="s">
        <v>82</v>
      </c>
      <c r="F549" s="129"/>
      <c r="G549" s="130">
        <f>SUM(G548:G548)</f>
        <v>10.91</v>
      </c>
    </row>
    <row r="550" spans="1:7" s="115" customFormat="1" ht="23">
      <c r="A550" s="116" t="s">
        <v>65</v>
      </c>
      <c r="B550" s="117"/>
      <c r="C550" s="118" t="s">
        <v>4</v>
      </c>
      <c r="D550" s="118" t="s">
        <v>66</v>
      </c>
      <c r="E550" s="119" t="s">
        <v>67</v>
      </c>
      <c r="F550" s="118" t="s">
        <v>765</v>
      </c>
      <c r="G550" s="118" t="s">
        <v>69</v>
      </c>
    </row>
    <row r="551" spans="1:7" s="115" customFormat="1" ht="11.5">
      <c r="A551" s="120" t="s">
        <v>113</v>
      </c>
      <c r="B551" s="121" t="s">
        <v>114</v>
      </c>
      <c r="C551" s="122" t="s">
        <v>24</v>
      </c>
      <c r="D551" s="122" t="s">
        <v>87</v>
      </c>
      <c r="E551" s="140">
        <v>0.45290000000000002</v>
      </c>
      <c r="F551" s="124">
        <v>26.59</v>
      </c>
      <c r="G551" s="125">
        <f>TRUNC(TRUNC(E551,8)*F551,2)</f>
        <v>12.04</v>
      </c>
    </row>
    <row r="552" spans="1:7" s="115" customFormat="1" ht="11.5">
      <c r="A552" s="126"/>
      <c r="B552" s="127"/>
      <c r="C552" s="127"/>
      <c r="D552" s="127"/>
      <c r="E552" s="128" t="s">
        <v>602</v>
      </c>
      <c r="F552" s="129"/>
      <c r="G552" s="130">
        <f>SUM(G551:G551)</f>
        <v>12.04</v>
      </c>
    </row>
    <row r="553" spans="1:7" s="115" customFormat="1" ht="11.5">
      <c r="A553" s="126"/>
      <c r="B553" s="127"/>
      <c r="C553" s="127"/>
      <c r="D553" s="127"/>
      <c r="E553" s="131" t="s">
        <v>78</v>
      </c>
      <c r="F553" s="132">
        <f>A546</f>
        <v>102234</v>
      </c>
      <c r="G553" s="133">
        <f>SUM(G549,G552)</f>
        <v>22.95</v>
      </c>
    </row>
    <row r="554" spans="1:7" s="115" customFormat="1" ht="11.5">
      <c r="A554" s="126"/>
      <c r="B554" s="127"/>
      <c r="C554" s="127"/>
      <c r="D554" s="127"/>
      <c r="E554" s="134"/>
      <c r="F554" s="135"/>
      <c r="G554" s="135"/>
    </row>
    <row r="555" spans="1:7" s="115" customFormat="1" ht="34.5">
      <c r="A555" s="113">
        <v>91693</v>
      </c>
      <c r="B555" s="114" t="s">
        <v>433</v>
      </c>
      <c r="C555" s="114"/>
      <c r="D555" s="114"/>
      <c r="E555" s="113"/>
      <c r="F555" s="114"/>
      <c r="G555" s="114"/>
    </row>
    <row r="556" spans="1:7" s="115" customFormat="1" ht="23">
      <c r="A556" s="116" t="s">
        <v>65</v>
      </c>
      <c r="B556" s="117"/>
      <c r="C556" s="118" t="s">
        <v>4</v>
      </c>
      <c r="D556" s="118" t="s">
        <v>66</v>
      </c>
      <c r="E556" s="119" t="s">
        <v>67</v>
      </c>
      <c r="F556" s="118" t="s">
        <v>765</v>
      </c>
      <c r="G556" s="118" t="s">
        <v>69</v>
      </c>
    </row>
    <row r="557" spans="1:7" s="115" customFormat="1" ht="23">
      <c r="A557" s="120" t="s">
        <v>383</v>
      </c>
      <c r="B557" s="121" t="s">
        <v>384</v>
      </c>
      <c r="C557" s="122" t="s">
        <v>24</v>
      </c>
      <c r="D557" s="122" t="s">
        <v>87</v>
      </c>
      <c r="E557" s="140">
        <v>1</v>
      </c>
      <c r="F557" s="124">
        <v>23.8</v>
      </c>
      <c r="G557" s="125">
        <f>TRUNC(TRUNC(E557,8)*F557,2)</f>
        <v>23.8</v>
      </c>
    </row>
    <row r="558" spans="1:7" s="115" customFormat="1" ht="11.5">
      <c r="A558" s="126"/>
      <c r="B558" s="127"/>
      <c r="C558" s="127"/>
      <c r="D558" s="127"/>
      <c r="E558" s="128" t="s">
        <v>602</v>
      </c>
      <c r="F558" s="129"/>
      <c r="G558" s="130">
        <f>SUM(G557:G557)</f>
        <v>23.8</v>
      </c>
    </row>
    <row r="559" spans="1:7" s="115" customFormat="1" ht="23">
      <c r="A559" s="116" t="s">
        <v>73</v>
      </c>
      <c r="B559" s="117"/>
      <c r="C559" s="118" t="s">
        <v>4</v>
      </c>
      <c r="D559" s="118" t="s">
        <v>66</v>
      </c>
      <c r="E559" s="119" t="s">
        <v>67</v>
      </c>
      <c r="F559" s="118" t="s">
        <v>765</v>
      </c>
      <c r="G559" s="118" t="s">
        <v>69</v>
      </c>
    </row>
    <row r="560" spans="1:7" s="115" customFormat="1" ht="34.5">
      <c r="A560" s="120" t="s">
        <v>385</v>
      </c>
      <c r="B560" s="121" t="s">
        <v>386</v>
      </c>
      <c r="C560" s="122" t="s">
        <v>24</v>
      </c>
      <c r="D560" s="122" t="s">
        <v>87</v>
      </c>
      <c r="E560" s="140">
        <v>1</v>
      </c>
      <c r="F560" s="124">
        <v>0.08</v>
      </c>
      <c r="G560" s="125">
        <f>TRUNC(TRUNC(E560,8)*F560,2)</f>
        <v>0.08</v>
      </c>
    </row>
    <row r="561" spans="1:7" s="115" customFormat="1" ht="34.5">
      <c r="A561" s="120" t="s">
        <v>387</v>
      </c>
      <c r="B561" s="121" t="s">
        <v>388</v>
      </c>
      <c r="C561" s="122" t="s">
        <v>24</v>
      </c>
      <c r="D561" s="122" t="s">
        <v>87</v>
      </c>
      <c r="E561" s="140">
        <v>1</v>
      </c>
      <c r="F561" s="124">
        <v>0.01</v>
      </c>
      <c r="G561" s="125">
        <f>TRUNC(TRUNC(E561,8)*F561,2)</f>
        <v>0.01</v>
      </c>
    </row>
    <row r="562" spans="1:7" s="115" customFormat="1" ht="11.5">
      <c r="A562" s="126"/>
      <c r="B562" s="127"/>
      <c r="C562" s="127"/>
      <c r="D562" s="127"/>
      <c r="E562" s="128" t="s">
        <v>77</v>
      </c>
      <c r="F562" s="129"/>
      <c r="G562" s="130">
        <f>SUM(G560:G561)</f>
        <v>0.09</v>
      </c>
    </row>
    <row r="563" spans="1:7" s="115" customFormat="1" ht="11.5">
      <c r="A563" s="126"/>
      <c r="B563" s="127"/>
      <c r="C563" s="127"/>
      <c r="D563" s="127"/>
      <c r="E563" s="131" t="s">
        <v>78</v>
      </c>
      <c r="F563" s="132">
        <f>A555</f>
        <v>91693</v>
      </c>
      <c r="G563" s="133">
        <f>SUM(G558,G562)</f>
        <v>23.89</v>
      </c>
    </row>
    <row r="564" spans="1:7" s="115" customFormat="1" ht="11.5">
      <c r="A564" s="126"/>
      <c r="B564" s="127"/>
      <c r="C564" s="127"/>
      <c r="D564" s="127"/>
      <c r="E564" s="134"/>
      <c r="F564" s="135"/>
      <c r="G564" s="135"/>
    </row>
    <row r="565" spans="1:7" s="115" customFormat="1" ht="34.5">
      <c r="A565" s="113">
        <v>91692</v>
      </c>
      <c r="B565" s="114" t="s">
        <v>434</v>
      </c>
      <c r="C565" s="114"/>
      <c r="D565" s="114"/>
      <c r="E565" s="113"/>
      <c r="F565" s="114"/>
      <c r="G565" s="114"/>
    </row>
    <row r="566" spans="1:7" s="115" customFormat="1" ht="23">
      <c r="A566" s="116" t="s">
        <v>65</v>
      </c>
      <c r="B566" s="117"/>
      <c r="C566" s="118" t="s">
        <v>4</v>
      </c>
      <c r="D566" s="118" t="s">
        <v>66</v>
      </c>
      <c r="E566" s="119" t="s">
        <v>67</v>
      </c>
      <c r="F566" s="118" t="s">
        <v>765</v>
      </c>
      <c r="G566" s="118" t="s">
        <v>69</v>
      </c>
    </row>
    <row r="567" spans="1:7" s="115" customFormat="1" ht="23">
      <c r="A567" s="120" t="s">
        <v>383</v>
      </c>
      <c r="B567" s="121" t="s">
        <v>384</v>
      </c>
      <c r="C567" s="122" t="s">
        <v>24</v>
      </c>
      <c r="D567" s="122" t="s">
        <v>87</v>
      </c>
      <c r="E567" s="140">
        <v>1</v>
      </c>
      <c r="F567" s="124">
        <v>23.8</v>
      </c>
      <c r="G567" s="125">
        <f>TRUNC(TRUNC(E567,8)*F567,2)</f>
        <v>23.8</v>
      </c>
    </row>
    <row r="568" spans="1:7" s="115" customFormat="1" ht="11.5">
      <c r="A568" s="126"/>
      <c r="B568" s="127"/>
      <c r="C568" s="127"/>
      <c r="D568" s="127"/>
      <c r="E568" s="128" t="s">
        <v>602</v>
      </c>
      <c r="F568" s="129"/>
      <c r="G568" s="130">
        <f>SUM(G567:G567)</f>
        <v>23.8</v>
      </c>
    </row>
    <row r="569" spans="1:7" s="115" customFormat="1" ht="23">
      <c r="A569" s="116" t="s">
        <v>73</v>
      </c>
      <c r="B569" s="117"/>
      <c r="C569" s="118" t="s">
        <v>4</v>
      </c>
      <c r="D569" s="118" t="s">
        <v>66</v>
      </c>
      <c r="E569" s="119" t="s">
        <v>67</v>
      </c>
      <c r="F569" s="118" t="s">
        <v>765</v>
      </c>
      <c r="G569" s="118" t="s">
        <v>69</v>
      </c>
    </row>
    <row r="570" spans="1:7" s="115" customFormat="1" ht="34.5">
      <c r="A570" s="120" t="s">
        <v>385</v>
      </c>
      <c r="B570" s="121" t="s">
        <v>386</v>
      </c>
      <c r="C570" s="122" t="s">
        <v>24</v>
      </c>
      <c r="D570" s="122" t="s">
        <v>87</v>
      </c>
      <c r="E570" s="140">
        <v>1</v>
      </c>
      <c r="F570" s="124">
        <v>0.08</v>
      </c>
      <c r="G570" s="125">
        <f>TRUNC(TRUNC(E570,8)*F570,2)</f>
        <v>0.08</v>
      </c>
    </row>
    <row r="571" spans="1:7" s="115" customFormat="1" ht="34.5">
      <c r="A571" s="120" t="s">
        <v>387</v>
      </c>
      <c r="B571" s="121" t="s">
        <v>388</v>
      </c>
      <c r="C571" s="122" t="s">
        <v>24</v>
      </c>
      <c r="D571" s="122" t="s">
        <v>87</v>
      </c>
      <c r="E571" s="140">
        <v>1</v>
      </c>
      <c r="F571" s="124">
        <v>0.01</v>
      </c>
      <c r="G571" s="125">
        <f>TRUNC(TRUNC(E571,8)*F571,2)</f>
        <v>0.01</v>
      </c>
    </row>
    <row r="572" spans="1:7" s="115" customFormat="1" ht="34.5">
      <c r="A572" s="120" t="s">
        <v>389</v>
      </c>
      <c r="B572" s="121" t="s">
        <v>390</v>
      </c>
      <c r="C572" s="122" t="s">
        <v>24</v>
      </c>
      <c r="D572" s="122" t="s">
        <v>87</v>
      </c>
      <c r="E572" s="140">
        <v>1</v>
      </c>
      <c r="F572" s="124">
        <v>0.05</v>
      </c>
      <c r="G572" s="125">
        <f>TRUNC(TRUNC(E572,8)*F572,2)</f>
        <v>0.05</v>
      </c>
    </row>
    <row r="573" spans="1:7" s="115" customFormat="1" ht="34.5">
      <c r="A573" s="120" t="s">
        <v>391</v>
      </c>
      <c r="B573" s="121" t="s">
        <v>392</v>
      </c>
      <c r="C573" s="122" t="s">
        <v>24</v>
      </c>
      <c r="D573" s="122" t="s">
        <v>87</v>
      </c>
      <c r="E573" s="140">
        <v>1</v>
      </c>
      <c r="F573" s="124">
        <v>1.02</v>
      </c>
      <c r="G573" s="125">
        <f>TRUNC(TRUNC(E573,8)*F573,2)</f>
        <v>1.02</v>
      </c>
    </row>
    <row r="574" spans="1:7" s="115" customFormat="1" ht="11.5">
      <c r="A574" s="126"/>
      <c r="B574" s="127"/>
      <c r="C574" s="127"/>
      <c r="D574" s="127"/>
      <c r="E574" s="128" t="s">
        <v>77</v>
      </c>
      <c r="F574" s="129"/>
      <c r="G574" s="130">
        <f>SUM(G570:G573)</f>
        <v>1.1600000000000001</v>
      </c>
    </row>
    <row r="575" spans="1:7" s="115" customFormat="1" ht="11.5">
      <c r="A575" s="126"/>
      <c r="B575" s="127"/>
      <c r="C575" s="127"/>
      <c r="D575" s="127"/>
      <c r="E575" s="131" t="s">
        <v>78</v>
      </c>
      <c r="F575" s="132">
        <f>A565</f>
        <v>91692</v>
      </c>
      <c r="G575" s="133">
        <f>SUM(G568,G574)</f>
        <v>24.96</v>
      </c>
    </row>
    <row r="576" spans="1:7" s="115" customFormat="1" ht="11.5">
      <c r="A576" s="126"/>
      <c r="B576" s="127"/>
      <c r="C576" s="127"/>
      <c r="D576" s="127"/>
      <c r="E576" s="134"/>
      <c r="F576" s="135"/>
      <c r="G576" s="135"/>
    </row>
    <row r="577" spans="1:7" s="115" customFormat="1" ht="34.5">
      <c r="A577" s="113">
        <v>91688</v>
      </c>
      <c r="B577" s="114" t="s">
        <v>435</v>
      </c>
      <c r="C577" s="114"/>
      <c r="D577" s="114"/>
      <c r="E577" s="113"/>
      <c r="F577" s="114"/>
      <c r="G577" s="114"/>
    </row>
    <row r="578" spans="1:7" s="115" customFormat="1" ht="23">
      <c r="A578" s="116" t="s">
        <v>89</v>
      </c>
      <c r="B578" s="117"/>
      <c r="C578" s="118" t="s">
        <v>4</v>
      </c>
      <c r="D578" s="118" t="s">
        <v>66</v>
      </c>
      <c r="E578" s="119" t="s">
        <v>67</v>
      </c>
      <c r="F578" s="118" t="s">
        <v>765</v>
      </c>
      <c r="G578" s="118" t="s">
        <v>69</v>
      </c>
    </row>
    <row r="579" spans="1:7" s="115" customFormat="1" ht="34.5">
      <c r="A579" s="120" t="s">
        <v>226</v>
      </c>
      <c r="B579" s="121" t="s">
        <v>227</v>
      </c>
      <c r="C579" s="122" t="s">
        <v>24</v>
      </c>
      <c r="D579" s="122" t="s">
        <v>12</v>
      </c>
      <c r="E579" s="141">
        <v>7.2000000000000002E-5</v>
      </c>
      <c r="F579" s="124">
        <v>1192.76</v>
      </c>
      <c r="G579" s="125">
        <f>TRUNC(TRUNC(E579,8)*F579,2)</f>
        <v>0.08</v>
      </c>
    </row>
    <row r="580" spans="1:7" s="115" customFormat="1" ht="11.5">
      <c r="A580" s="126"/>
      <c r="B580" s="127"/>
      <c r="C580" s="127"/>
      <c r="D580" s="127"/>
      <c r="E580" s="128" t="s">
        <v>90</v>
      </c>
      <c r="F580" s="129"/>
      <c r="G580" s="130">
        <f>SUM(G579:G579)</f>
        <v>0.08</v>
      </c>
    </row>
    <row r="581" spans="1:7" s="115" customFormat="1" ht="11.5">
      <c r="A581" s="126"/>
      <c r="B581" s="127"/>
      <c r="C581" s="127"/>
      <c r="D581" s="127"/>
      <c r="E581" s="131" t="s">
        <v>78</v>
      </c>
      <c r="F581" s="132">
        <f>A577</f>
        <v>91688</v>
      </c>
      <c r="G581" s="133">
        <f>SUM(G580)</f>
        <v>0.08</v>
      </c>
    </row>
    <row r="582" spans="1:7" s="115" customFormat="1" ht="11.5">
      <c r="A582" s="126"/>
      <c r="B582" s="127"/>
      <c r="C582" s="127"/>
      <c r="D582" s="127"/>
      <c r="E582" s="134"/>
      <c r="F582" s="135"/>
      <c r="G582" s="135"/>
    </row>
    <row r="583" spans="1:7" s="115" customFormat="1" ht="34.5">
      <c r="A583" s="113">
        <v>91689</v>
      </c>
      <c r="B583" s="114" t="s">
        <v>436</v>
      </c>
      <c r="C583" s="114"/>
      <c r="D583" s="114"/>
      <c r="E583" s="113"/>
      <c r="F583" s="114"/>
      <c r="G583" s="114"/>
    </row>
    <row r="584" spans="1:7" s="115" customFormat="1" ht="23">
      <c r="A584" s="116" t="s">
        <v>89</v>
      </c>
      <c r="B584" s="117"/>
      <c r="C584" s="118" t="s">
        <v>4</v>
      </c>
      <c r="D584" s="118" t="s">
        <v>66</v>
      </c>
      <c r="E584" s="119" t="s">
        <v>67</v>
      </c>
      <c r="F584" s="118" t="s">
        <v>765</v>
      </c>
      <c r="G584" s="118" t="s">
        <v>69</v>
      </c>
    </row>
    <row r="585" spans="1:7" s="115" customFormat="1" ht="34.5">
      <c r="A585" s="120" t="s">
        <v>226</v>
      </c>
      <c r="B585" s="121" t="s">
        <v>227</v>
      </c>
      <c r="C585" s="122" t="s">
        <v>24</v>
      </c>
      <c r="D585" s="122" t="s">
        <v>12</v>
      </c>
      <c r="E585" s="123">
        <v>1.4800000000000001E-5</v>
      </c>
      <c r="F585" s="124">
        <v>1192.76</v>
      </c>
      <c r="G585" s="125">
        <f>TRUNC(TRUNC(E585,8)*F585,2)</f>
        <v>0.01</v>
      </c>
    </row>
    <row r="586" spans="1:7" s="115" customFormat="1" ht="11.5">
      <c r="A586" s="126"/>
      <c r="B586" s="127"/>
      <c r="C586" s="127"/>
      <c r="D586" s="127"/>
      <c r="E586" s="128" t="s">
        <v>90</v>
      </c>
      <c r="F586" s="129"/>
      <c r="G586" s="130">
        <f>SUM(G585:G585)</f>
        <v>0.01</v>
      </c>
    </row>
    <row r="587" spans="1:7" s="115" customFormat="1" ht="11.5">
      <c r="A587" s="126"/>
      <c r="B587" s="127"/>
      <c r="C587" s="127"/>
      <c r="D587" s="127"/>
      <c r="E587" s="131" t="s">
        <v>78</v>
      </c>
      <c r="F587" s="132">
        <f>A583</f>
        <v>91689</v>
      </c>
      <c r="G587" s="133">
        <f>SUM(G586)</f>
        <v>0.01</v>
      </c>
    </row>
    <row r="588" spans="1:7" s="115" customFormat="1" ht="11.5">
      <c r="A588" s="126"/>
      <c r="B588" s="127"/>
      <c r="C588" s="127"/>
      <c r="D588" s="127"/>
      <c r="E588" s="134"/>
      <c r="F588" s="135"/>
      <c r="G588" s="135"/>
    </row>
    <row r="589" spans="1:7" s="115" customFormat="1" ht="34.5">
      <c r="A589" s="113">
        <v>91690</v>
      </c>
      <c r="B589" s="114" t="s">
        <v>437</v>
      </c>
      <c r="C589" s="114"/>
      <c r="D589" s="114"/>
      <c r="E589" s="113"/>
      <c r="F589" s="114"/>
      <c r="G589" s="114"/>
    </row>
    <row r="590" spans="1:7" s="115" customFormat="1" ht="23">
      <c r="A590" s="116" t="s">
        <v>89</v>
      </c>
      <c r="B590" s="117"/>
      <c r="C590" s="118" t="s">
        <v>4</v>
      </c>
      <c r="D590" s="118" t="s">
        <v>66</v>
      </c>
      <c r="E590" s="119" t="s">
        <v>67</v>
      </c>
      <c r="F590" s="118" t="s">
        <v>765</v>
      </c>
      <c r="G590" s="118" t="s">
        <v>69</v>
      </c>
    </row>
    <row r="591" spans="1:7" s="115" customFormat="1" ht="34.5">
      <c r="A591" s="120" t="s">
        <v>226</v>
      </c>
      <c r="B591" s="121" t="s">
        <v>227</v>
      </c>
      <c r="C591" s="122" t="s">
        <v>24</v>
      </c>
      <c r="D591" s="122" t="s">
        <v>12</v>
      </c>
      <c r="E591" s="142">
        <v>5.0000000000000002E-5</v>
      </c>
      <c r="F591" s="124">
        <v>1192.76</v>
      </c>
      <c r="G591" s="125">
        <f>TRUNC(TRUNC(E591,8)*F591,2)</f>
        <v>0.05</v>
      </c>
    </row>
    <row r="592" spans="1:7" s="115" customFormat="1" ht="11.5">
      <c r="A592" s="126"/>
      <c r="B592" s="127"/>
      <c r="C592" s="127"/>
      <c r="D592" s="127"/>
      <c r="E592" s="128" t="s">
        <v>90</v>
      </c>
      <c r="F592" s="129"/>
      <c r="G592" s="130">
        <f>SUM(G591:G591)</f>
        <v>0.05</v>
      </c>
    </row>
    <row r="593" spans="1:7" s="115" customFormat="1" ht="11.5">
      <c r="A593" s="126"/>
      <c r="B593" s="127"/>
      <c r="C593" s="127"/>
      <c r="D593" s="127"/>
      <c r="E593" s="131" t="s">
        <v>78</v>
      </c>
      <c r="F593" s="132">
        <f>A589</f>
        <v>91690</v>
      </c>
      <c r="G593" s="133">
        <f>SUM(G592)</f>
        <v>0.05</v>
      </c>
    </row>
    <row r="594" spans="1:7" s="115" customFormat="1" ht="11.5">
      <c r="A594" s="126"/>
      <c r="B594" s="127"/>
      <c r="C594" s="127"/>
      <c r="D594" s="127"/>
      <c r="E594" s="134"/>
      <c r="F594" s="135"/>
      <c r="G594" s="135"/>
    </row>
    <row r="595" spans="1:7" s="115" customFormat="1" ht="34.5">
      <c r="A595" s="113">
        <v>91691</v>
      </c>
      <c r="B595" s="114" t="s">
        <v>438</v>
      </c>
      <c r="C595" s="114"/>
      <c r="D595" s="114"/>
      <c r="E595" s="113"/>
      <c r="F595" s="114"/>
      <c r="G595" s="114"/>
    </row>
    <row r="596" spans="1:7" s="115" customFormat="1" ht="23">
      <c r="A596" s="116" t="s">
        <v>210</v>
      </c>
      <c r="B596" s="117"/>
      <c r="C596" s="118" t="s">
        <v>4</v>
      </c>
      <c r="D596" s="118" t="s">
        <v>66</v>
      </c>
      <c r="E596" s="119" t="s">
        <v>67</v>
      </c>
      <c r="F596" s="118" t="s">
        <v>765</v>
      </c>
      <c r="G596" s="118" t="s">
        <v>69</v>
      </c>
    </row>
    <row r="597" spans="1:7" s="115" customFormat="1" ht="23">
      <c r="A597" s="120" t="s">
        <v>208</v>
      </c>
      <c r="B597" s="121" t="s">
        <v>209</v>
      </c>
      <c r="C597" s="122" t="s">
        <v>24</v>
      </c>
      <c r="D597" s="122" t="s">
        <v>211</v>
      </c>
      <c r="E597" s="143">
        <v>1.36</v>
      </c>
      <c r="F597" s="124">
        <v>0.75</v>
      </c>
      <c r="G597" s="125">
        <f>TRUNC(TRUNC(E597,8)*F597,2)</f>
        <v>1.02</v>
      </c>
    </row>
    <row r="598" spans="1:7" s="115" customFormat="1" ht="11.5">
      <c r="A598" s="126"/>
      <c r="B598" s="127"/>
      <c r="C598" s="127"/>
      <c r="D598" s="127"/>
      <c r="E598" s="128" t="s">
        <v>362</v>
      </c>
      <c r="F598" s="129"/>
      <c r="G598" s="130">
        <f>SUM(G597:G597)</f>
        <v>1.02</v>
      </c>
    </row>
    <row r="599" spans="1:7" s="115" customFormat="1" ht="11.5">
      <c r="A599" s="126"/>
      <c r="B599" s="127"/>
      <c r="C599" s="127"/>
      <c r="D599" s="127"/>
      <c r="E599" s="131" t="s">
        <v>78</v>
      </c>
      <c r="F599" s="132">
        <f>A595</f>
        <v>91691</v>
      </c>
      <c r="G599" s="133">
        <f>SUM(G598)</f>
        <v>1.02</v>
      </c>
    </row>
    <row r="600" spans="1:7" s="115" customFormat="1" ht="11.5">
      <c r="A600" s="126"/>
      <c r="B600" s="127"/>
      <c r="C600" s="127"/>
      <c r="D600" s="127"/>
      <c r="E600" s="134"/>
      <c r="F600" s="135"/>
      <c r="G600" s="135"/>
    </row>
    <row r="601" spans="1:7" s="115" customFormat="1" ht="11.5">
      <c r="A601" s="113">
        <v>88316</v>
      </c>
      <c r="B601" s="114" t="s">
        <v>439</v>
      </c>
      <c r="C601" s="114"/>
      <c r="D601" s="114"/>
      <c r="E601" s="113"/>
      <c r="F601" s="114"/>
      <c r="G601" s="114"/>
    </row>
    <row r="602" spans="1:7" s="115" customFormat="1" ht="23">
      <c r="A602" s="116" t="s">
        <v>145</v>
      </c>
      <c r="B602" s="117"/>
      <c r="C602" s="118" t="s">
        <v>4</v>
      </c>
      <c r="D602" s="118" t="s">
        <v>66</v>
      </c>
      <c r="E602" s="119" t="s">
        <v>67</v>
      </c>
      <c r="F602" s="118" t="s">
        <v>765</v>
      </c>
      <c r="G602" s="118" t="s">
        <v>69</v>
      </c>
    </row>
    <row r="603" spans="1:7" s="115" customFormat="1" ht="23">
      <c r="A603" s="120" t="s">
        <v>150</v>
      </c>
      <c r="B603" s="121" t="s">
        <v>151</v>
      </c>
      <c r="C603" s="122" t="s">
        <v>24</v>
      </c>
      <c r="D603" s="122" t="s">
        <v>87</v>
      </c>
      <c r="E603" s="140">
        <v>1</v>
      </c>
      <c r="F603" s="124">
        <v>0.92</v>
      </c>
      <c r="G603" s="125">
        <f t="shared" ref="G603:G608" si="13">TRUNC(TRUNC(E603,8)*F603,2)</f>
        <v>0.92</v>
      </c>
    </row>
    <row r="604" spans="1:7" s="115" customFormat="1" ht="23">
      <c r="A604" s="120" t="s">
        <v>168</v>
      </c>
      <c r="B604" s="121" t="s">
        <v>169</v>
      </c>
      <c r="C604" s="122" t="s">
        <v>24</v>
      </c>
      <c r="D604" s="122" t="s">
        <v>87</v>
      </c>
      <c r="E604" s="140">
        <v>1</v>
      </c>
      <c r="F604" s="124">
        <v>1.39</v>
      </c>
      <c r="G604" s="125">
        <f t="shared" si="13"/>
        <v>1.39</v>
      </c>
    </row>
    <row r="605" spans="1:7" s="115" customFormat="1" ht="23">
      <c r="A605" s="120" t="s">
        <v>143</v>
      </c>
      <c r="B605" s="121" t="s">
        <v>144</v>
      </c>
      <c r="C605" s="122" t="s">
        <v>24</v>
      </c>
      <c r="D605" s="122" t="s">
        <v>87</v>
      </c>
      <c r="E605" s="140">
        <v>1</v>
      </c>
      <c r="F605" s="124">
        <v>1.43</v>
      </c>
      <c r="G605" s="125">
        <f t="shared" si="13"/>
        <v>1.43</v>
      </c>
    </row>
    <row r="606" spans="1:7" s="115" customFormat="1" ht="23">
      <c r="A606" s="120" t="s">
        <v>174</v>
      </c>
      <c r="B606" s="121" t="s">
        <v>175</v>
      </c>
      <c r="C606" s="122" t="s">
        <v>24</v>
      </c>
      <c r="D606" s="122" t="s">
        <v>87</v>
      </c>
      <c r="E606" s="140">
        <v>1</v>
      </c>
      <c r="F606" s="124">
        <v>0.61</v>
      </c>
      <c r="G606" s="125">
        <f t="shared" si="13"/>
        <v>0.61</v>
      </c>
    </row>
    <row r="607" spans="1:7" s="115" customFormat="1" ht="23">
      <c r="A607" s="120" t="s">
        <v>202</v>
      </c>
      <c r="B607" s="121" t="s">
        <v>203</v>
      </c>
      <c r="C607" s="122" t="s">
        <v>24</v>
      </c>
      <c r="D607" s="122" t="s">
        <v>87</v>
      </c>
      <c r="E607" s="140">
        <v>1</v>
      </c>
      <c r="F607" s="124">
        <v>0.08</v>
      </c>
      <c r="G607" s="125">
        <f t="shared" si="13"/>
        <v>0.08</v>
      </c>
    </row>
    <row r="608" spans="1:7" s="115" customFormat="1" ht="23">
      <c r="A608" s="120" t="s">
        <v>154</v>
      </c>
      <c r="B608" s="121" t="s">
        <v>155</v>
      </c>
      <c r="C608" s="122" t="s">
        <v>24</v>
      </c>
      <c r="D608" s="122" t="s">
        <v>87</v>
      </c>
      <c r="E608" s="140">
        <v>1</v>
      </c>
      <c r="F608" s="124">
        <v>0.8</v>
      </c>
      <c r="G608" s="125">
        <f t="shared" si="13"/>
        <v>0.8</v>
      </c>
    </row>
    <row r="609" spans="1:7" s="115" customFormat="1" ht="11.5">
      <c r="A609" s="126"/>
      <c r="B609" s="127"/>
      <c r="C609" s="127"/>
      <c r="D609" s="127"/>
      <c r="E609" s="128" t="s">
        <v>591</v>
      </c>
      <c r="F609" s="129"/>
      <c r="G609" s="130">
        <f>SUM(G603:G608)</f>
        <v>5.23</v>
      </c>
    </row>
    <row r="610" spans="1:7" s="115" customFormat="1" ht="23">
      <c r="A610" s="116" t="s">
        <v>130</v>
      </c>
      <c r="B610" s="117"/>
      <c r="C610" s="118" t="s">
        <v>4</v>
      </c>
      <c r="D610" s="118" t="s">
        <v>66</v>
      </c>
      <c r="E610" s="119" t="s">
        <v>67</v>
      </c>
      <c r="F610" s="118" t="s">
        <v>765</v>
      </c>
      <c r="G610" s="118" t="s">
        <v>69</v>
      </c>
    </row>
    <row r="611" spans="1:7" s="115" customFormat="1" ht="11.5">
      <c r="A611" s="120" t="s">
        <v>137</v>
      </c>
      <c r="B611" s="121" t="s">
        <v>138</v>
      </c>
      <c r="C611" s="122" t="s">
        <v>24</v>
      </c>
      <c r="D611" s="122" t="s">
        <v>87</v>
      </c>
      <c r="E611" s="140">
        <v>1</v>
      </c>
      <c r="F611" s="124">
        <v>14.73</v>
      </c>
      <c r="G611" s="125">
        <f>TRUNC(TRUNC(E611,8)*F611,2)</f>
        <v>14.73</v>
      </c>
    </row>
    <row r="612" spans="1:7" s="115" customFormat="1" ht="11.5">
      <c r="A612" s="126"/>
      <c r="B612" s="127"/>
      <c r="C612" s="127"/>
      <c r="D612" s="127"/>
      <c r="E612" s="128" t="s">
        <v>592</v>
      </c>
      <c r="F612" s="129"/>
      <c r="G612" s="130">
        <f>SUM(G611:G611)</f>
        <v>14.73</v>
      </c>
    </row>
    <row r="613" spans="1:7" s="115" customFormat="1" ht="23">
      <c r="A613" s="116" t="s">
        <v>73</v>
      </c>
      <c r="B613" s="117"/>
      <c r="C613" s="118" t="s">
        <v>4</v>
      </c>
      <c r="D613" s="118" t="s">
        <v>66</v>
      </c>
      <c r="E613" s="119" t="s">
        <v>67</v>
      </c>
      <c r="F613" s="118" t="s">
        <v>765</v>
      </c>
      <c r="G613" s="118" t="s">
        <v>69</v>
      </c>
    </row>
    <row r="614" spans="1:7" s="115" customFormat="1" ht="23">
      <c r="A614" s="120" t="s">
        <v>393</v>
      </c>
      <c r="B614" s="121" t="s">
        <v>394</v>
      </c>
      <c r="C614" s="122" t="s">
        <v>24</v>
      </c>
      <c r="D614" s="122" t="s">
        <v>87</v>
      </c>
      <c r="E614" s="140">
        <v>1</v>
      </c>
      <c r="F614" s="124">
        <v>0.31</v>
      </c>
      <c r="G614" s="125">
        <f>TRUNC(TRUNC(E614,8)*F614,2)</f>
        <v>0.31</v>
      </c>
    </row>
    <row r="615" spans="1:7" s="115" customFormat="1" ht="11.5">
      <c r="A615" s="126"/>
      <c r="B615" s="127"/>
      <c r="C615" s="127"/>
      <c r="D615" s="127"/>
      <c r="E615" s="128" t="s">
        <v>77</v>
      </c>
      <c r="F615" s="129"/>
      <c r="G615" s="130">
        <f>SUM(G614:G614)</f>
        <v>0.31</v>
      </c>
    </row>
    <row r="616" spans="1:7" s="115" customFormat="1" ht="11.5">
      <c r="A616" s="126"/>
      <c r="B616" s="127"/>
      <c r="C616" s="127"/>
      <c r="D616" s="127"/>
      <c r="E616" s="131" t="s">
        <v>78</v>
      </c>
      <c r="F616" s="132">
        <f>A601</f>
        <v>88316</v>
      </c>
      <c r="G616" s="133">
        <f>SUM(G609,G612,G615)</f>
        <v>20.27</v>
      </c>
    </row>
    <row r="617" spans="1:7" s="115" customFormat="1" ht="11.5">
      <c r="A617" s="126"/>
      <c r="B617" s="127"/>
      <c r="C617" s="127"/>
      <c r="D617" s="127"/>
      <c r="E617" s="134"/>
      <c r="F617" s="135"/>
      <c r="G617" s="135"/>
    </row>
    <row r="618" spans="1:7" s="115" customFormat="1" ht="23">
      <c r="A618" s="113">
        <v>100321</v>
      </c>
      <c r="B618" s="114" t="s">
        <v>440</v>
      </c>
      <c r="C618" s="114"/>
      <c r="D618" s="114"/>
      <c r="E618" s="113"/>
      <c r="F618" s="114"/>
      <c r="G618" s="114"/>
    </row>
    <row r="619" spans="1:7" s="115" customFormat="1" ht="23">
      <c r="A619" s="116" t="s">
        <v>145</v>
      </c>
      <c r="B619" s="117"/>
      <c r="C619" s="118" t="s">
        <v>4</v>
      </c>
      <c r="D619" s="118" t="s">
        <v>66</v>
      </c>
      <c r="E619" s="119" t="s">
        <v>67</v>
      </c>
      <c r="F619" s="118" t="s">
        <v>765</v>
      </c>
      <c r="G619" s="118" t="s">
        <v>69</v>
      </c>
    </row>
    <row r="620" spans="1:7" s="115" customFormat="1" ht="23">
      <c r="A620" s="120" t="s">
        <v>176</v>
      </c>
      <c r="B620" s="121" t="s">
        <v>177</v>
      </c>
      <c r="C620" s="122" t="s">
        <v>24</v>
      </c>
      <c r="D620" s="122" t="s">
        <v>27</v>
      </c>
      <c r="E620" s="140">
        <v>1</v>
      </c>
      <c r="F620" s="124">
        <v>153.54</v>
      </c>
      <c r="G620" s="125">
        <f>TRUNC(TRUNC(E620,8)*F620,2)</f>
        <v>153.54</v>
      </c>
    </row>
    <row r="621" spans="1:7" s="115" customFormat="1" ht="23">
      <c r="A621" s="120" t="s">
        <v>148</v>
      </c>
      <c r="B621" s="121" t="s">
        <v>149</v>
      </c>
      <c r="C621" s="122" t="s">
        <v>24</v>
      </c>
      <c r="D621" s="122" t="s">
        <v>27</v>
      </c>
      <c r="E621" s="140">
        <v>1</v>
      </c>
      <c r="F621" s="124">
        <v>270.51</v>
      </c>
      <c r="G621" s="125">
        <f>TRUNC(TRUNC(E621,8)*F621,2)</f>
        <v>270.51</v>
      </c>
    </row>
    <row r="622" spans="1:7" s="115" customFormat="1" ht="23">
      <c r="A622" s="120" t="s">
        <v>212</v>
      </c>
      <c r="B622" s="121" t="s">
        <v>213</v>
      </c>
      <c r="C622" s="122" t="s">
        <v>24</v>
      </c>
      <c r="D622" s="122" t="s">
        <v>27</v>
      </c>
      <c r="E622" s="140">
        <v>1</v>
      </c>
      <c r="F622" s="124">
        <v>11.14</v>
      </c>
      <c r="G622" s="125">
        <f>TRUNC(TRUNC(E622,8)*F622,2)</f>
        <v>11.14</v>
      </c>
    </row>
    <row r="623" spans="1:7" s="115" customFormat="1" ht="23">
      <c r="A623" s="120" t="s">
        <v>228</v>
      </c>
      <c r="B623" s="121" t="s">
        <v>229</v>
      </c>
      <c r="C623" s="122" t="s">
        <v>24</v>
      </c>
      <c r="D623" s="122" t="s">
        <v>27</v>
      </c>
      <c r="E623" s="140">
        <v>1</v>
      </c>
      <c r="F623" s="124">
        <v>15.46</v>
      </c>
      <c r="G623" s="125">
        <f>TRUNC(TRUNC(E623,8)*F623,2)</f>
        <v>15.46</v>
      </c>
    </row>
    <row r="624" spans="1:7" s="115" customFormat="1" ht="11.5">
      <c r="A624" s="126"/>
      <c r="B624" s="127"/>
      <c r="C624" s="127"/>
      <c r="D624" s="127"/>
      <c r="E624" s="128" t="s">
        <v>591</v>
      </c>
      <c r="F624" s="129"/>
      <c r="G624" s="130">
        <f>SUM(G620:G623)</f>
        <v>450.64999999999992</v>
      </c>
    </row>
    <row r="625" spans="1:7" s="115" customFormat="1" ht="23">
      <c r="A625" s="116" t="s">
        <v>130</v>
      </c>
      <c r="B625" s="117"/>
      <c r="C625" s="118" t="s">
        <v>4</v>
      </c>
      <c r="D625" s="118" t="s">
        <v>66</v>
      </c>
      <c r="E625" s="119" t="s">
        <v>67</v>
      </c>
      <c r="F625" s="118" t="s">
        <v>765</v>
      </c>
      <c r="G625" s="118" t="s">
        <v>69</v>
      </c>
    </row>
    <row r="626" spans="1:7" s="115" customFormat="1" ht="11.5">
      <c r="A626" s="120" t="s">
        <v>139</v>
      </c>
      <c r="B626" s="121" t="s">
        <v>140</v>
      </c>
      <c r="C626" s="122" t="s">
        <v>24</v>
      </c>
      <c r="D626" s="122" t="s">
        <v>27</v>
      </c>
      <c r="E626" s="140">
        <v>1</v>
      </c>
      <c r="F626" s="124">
        <v>4775.3100000000004</v>
      </c>
      <c r="G626" s="125">
        <f>TRUNC(TRUNC(E626,8)*F626,2)</f>
        <v>4775.3100000000004</v>
      </c>
    </row>
    <row r="627" spans="1:7" s="115" customFormat="1" ht="11.5">
      <c r="A627" s="126"/>
      <c r="B627" s="127"/>
      <c r="C627" s="127"/>
      <c r="D627" s="127"/>
      <c r="E627" s="128" t="s">
        <v>592</v>
      </c>
      <c r="F627" s="129"/>
      <c r="G627" s="130">
        <f>SUM(G626:G626)</f>
        <v>4775.3100000000004</v>
      </c>
    </row>
    <row r="628" spans="1:7" s="115" customFormat="1" ht="23">
      <c r="A628" s="116" t="s">
        <v>73</v>
      </c>
      <c r="B628" s="117"/>
      <c r="C628" s="118" t="s">
        <v>4</v>
      </c>
      <c r="D628" s="118" t="s">
        <v>66</v>
      </c>
      <c r="E628" s="119" t="s">
        <v>67</v>
      </c>
      <c r="F628" s="118" t="s">
        <v>765</v>
      </c>
      <c r="G628" s="118" t="s">
        <v>69</v>
      </c>
    </row>
    <row r="629" spans="1:7" s="115" customFormat="1" ht="34.5">
      <c r="A629" s="120" t="s">
        <v>395</v>
      </c>
      <c r="B629" s="121" t="s">
        <v>396</v>
      </c>
      <c r="C629" s="122" t="s">
        <v>24</v>
      </c>
      <c r="D629" s="122" t="s">
        <v>27</v>
      </c>
      <c r="E629" s="140">
        <v>1</v>
      </c>
      <c r="F629" s="124">
        <v>64.650000000000006</v>
      </c>
      <c r="G629" s="125">
        <f>TRUNC(TRUNC(E629,8)*F629,2)</f>
        <v>64.650000000000006</v>
      </c>
    </row>
    <row r="630" spans="1:7" s="115" customFormat="1" ht="11.5">
      <c r="A630" s="126"/>
      <c r="B630" s="127"/>
      <c r="C630" s="127"/>
      <c r="D630" s="127"/>
      <c r="E630" s="128" t="s">
        <v>77</v>
      </c>
      <c r="F630" s="129"/>
      <c r="G630" s="130">
        <f>SUM(G629:G629)</f>
        <v>64.650000000000006</v>
      </c>
    </row>
    <row r="631" spans="1:7" s="115" customFormat="1" ht="11.5">
      <c r="A631" s="126"/>
      <c r="B631" s="127"/>
      <c r="C631" s="127"/>
      <c r="D631" s="127"/>
      <c r="E631" s="131" t="s">
        <v>78</v>
      </c>
      <c r="F631" s="132">
        <f>A618</f>
        <v>100321</v>
      </c>
      <c r="G631" s="133">
        <f>SUM(G624,G627,G630)</f>
        <v>5290.61</v>
      </c>
    </row>
    <row r="632" spans="1:7" s="115" customFormat="1" ht="11.5"/>
    <row r="633" spans="1:7" s="115" customFormat="1" ht="11.5"/>
    <row r="634" spans="1:7" s="115" customFormat="1" ht="11.5"/>
    <row r="635" spans="1:7" s="115" customFormat="1" ht="11.5"/>
    <row r="636" spans="1:7" s="115" customFormat="1" ht="11.5"/>
    <row r="637" spans="1:7" s="115" customFormat="1" ht="11.5"/>
    <row r="638" spans="1:7" s="115" customFormat="1" ht="11.5"/>
    <row r="639" spans="1:7" s="115" customFormat="1" ht="11.5"/>
  </sheetData>
  <conditionalFormatting sqref="E5:E9">
    <cfRule type="cellIs" dxfId="34" priority="2" operator="equal">
      <formula>0</formula>
    </cfRule>
  </conditionalFormatting>
  <conditionalFormatting sqref="F5:F9">
    <cfRule type="cellIs" dxfId="33" priority="1" operator="equal">
      <formula>0</formula>
    </cfRule>
  </conditionalFormatting>
  <pageMargins left="0.51181102362204722" right="0.51181102362204722" top="0.51181102362204722" bottom="0.70866141732283472" header="0" footer="0.19685039370078741"/>
  <pageSetup paperSize="9" scale="85" orientation="portrait" r:id="rId1"/>
  <headerFooter>
    <oddFooter>&amp;L&amp;9&amp;A&amp;R&amp;9Página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outlinePr summaryBelow="0"/>
  </sheetPr>
  <dimension ref="A1:L130"/>
  <sheetViews>
    <sheetView view="pageBreakPreview" topLeftCell="A46" zoomScale="70" zoomScaleNormal="100" zoomScaleSheetLayoutView="70" workbookViewId="0">
      <selection activeCell="J25" sqref="J25"/>
    </sheetView>
  </sheetViews>
  <sheetFormatPr defaultColWidth="9.08203125" defaultRowHeight="10"/>
  <cols>
    <col min="1" max="1" width="9.25" style="17" customWidth="1"/>
    <col min="2" max="2" width="58" style="17" customWidth="1"/>
    <col min="3" max="3" width="9.25" style="17" customWidth="1"/>
    <col min="4" max="4" width="10.25" style="17" customWidth="1"/>
    <col min="5" max="5" width="7.9140625" style="17" bestFit="1" customWidth="1"/>
    <col min="6" max="6" width="8.1640625" style="17" customWidth="1"/>
    <col min="7" max="8" width="10.25" style="17" bestFit="1" customWidth="1"/>
    <col min="9" max="9" width="8.33203125" style="17" bestFit="1" customWidth="1"/>
    <col min="10" max="10" width="7.58203125" style="17" customWidth="1"/>
    <col min="11" max="11" width="8.75" style="17" customWidth="1"/>
    <col min="12" max="12" width="8.1640625" style="17" customWidth="1"/>
    <col min="13" max="16384" width="9.08203125" style="17"/>
  </cols>
  <sheetData>
    <row r="1" spans="1:12" ht="50.15" customHeight="1"/>
    <row r="2" spans="1:12" ht="25" customHeight="1">
      <c r="A2" s="14" t="s">
        <v>345</v>
      </c>
      <c r="B2" s="14"/>
      <c r="C2" s="14"/>
      <c r="D2" s="14"/>
      <c r="E2" s="14"/>
      <c r="F2" s="14"/>
      <c r="G2" s="14"/>
      <c r="H2" s="14"/>
      <c r="I2" s="14"/>
      <c r="J2" s="14"/>
      <c r="K2" s="14"/>
      <c r="L2" s="14"/>
    </row>
    <row r="3" spans="1:12" ht="5.15" customHeight="1">
      <c r="A3" s="27"/>
      <c r="B3" s="27"/>
      <c r="C3" s="27"/>
      <c r="D3" s="27"/>
      <c r="E3" s="27"/>
      <c r="F3" s="27"/>
      <c r="G3" s="27"/>
      <c r="H3" s="27"/>
      <c r="I3" s="27"/>
      <c r="J3" s="27"/>
    </row>
    <row r="4" spans="1:12" ht="15" customHeight="1">
      <c r="A4" s="18" t="s">
        <v>321</v>
      </c>
      <c r="B4" s="19" t="str">
        <f>RESUMO!B4</f>
        <v>SUBSTITUIÇÃO DE ELEVADORES NA SEDE DA JUSTIÇA FEDERAL NA PARAÍBA - R2</v>
      </c>
      <c r="C4" s="19"/>
      <c r="D4" s="19"/>
      <c r="E4" s="19"/>
      <c r="F4" s="19"/>
      <c r="G4" s="19"/>
      <c r="H4" s="19"/>
      <c r="I4" s="19"/>
      <c r="J4" s="19"/>
      <c r="K4" s="19"/>
      <c r="L4" s="80"/>
    </row>
    <row r="5" spans="1:12" ht="15" customHeight="1">
      <c r="A5" s="26" t="s">
        <v>325</v>
      </c>
      <c r="B5" s="22" t="str">
        <f>RESUMO!B5</f>
        <v>R2 - 15/04/2025</v>
      </c>
      <c r="C5" s="27"/>
      <c r="D5" s="27"/>
      <c r="E5" s="27"/>
      <c r="F5" s="27"/>
      <c r="G5" s="27"/>
      <c r="H5" s="21" t="s">
        <v>334</v>
      </c>
      <c r="I5" s="24"/>
      <c r="J5" s="21" t="s">
        <v>329</v>
      </c>
      <c r="K5" s="25">
        <f>RESUMO!$F$5</f>
        <v>45762</v>
      </c>
      <c r="L5" s="162"/>
    </row>
    <row r="6" spans="1:12" ht="15" customHeight="1">
      <c r="A6" s="26" t="s">
        <v>322</v>
      </c>
      <c r="B6" s="27" t="str">
        <f>RESUMO!B6</f>
        <v>RUA JOÃO TEIXEIRA DE CARVALHO, 480, PEDRO GONDIM, JOÃO PESSOA/PB</v>
      </c>
      <c r="C6" s="27"/>
      <c r="D6" s="27"/>
      <c r="E6" s="27"/>
      <c r="F6" s="27"/>
      <c r="G6" s="27"/>
      <c r="H6" s="29" t="str">
        <f>RESUMO!$C$6</f>
        <v>SINAPI</v>
      </c>
      <c r="I6" s="30" t="str">
        <f>RESUMO!$D$6</f>
        <v>2025/02</v>
      </c>
      <c r="J6" s="26" t="s">
        <v>443</v>
      </c>
      <c r="K6" s="30">
        <f>RESUMO!$F$6</f>
        <v>0.23530000000000001</v>
      </c>
      <c r="L6" s="28"/>
    </row>
    <row r="7" spans="1:12" ht="15" customHeight="1">
      <c r="A7" s="26" t="s">
        <v>323</v>
      </c>
      <c r="B7" s="27" t="str">
        <f>RESUMO!B7</f>
        <v>JUSTIÇA FEDERAL NA PARAÍBA</v>
      </c>
      <c r="C7" s="27"/>
      <c r="D7" s="27"/>
      <c r="E7" s="27"/>
      <c r="F7" s="27"/>
      <c r="G7" s="27"/>
      <c r="H7" s="29" t="str">
        <f>RESUMO!$C$7</f>
        <v>SICRO</v>
      </c>
      <c r="I7" s="30" t="str">
        <f>RESUMO!$D$7</f>
        <v>2025/01</v>
      </c>
      <c r="J7" s="26" t="s">
        <v>330</v>
      </c>
      <c r="K7" s="30">
        <f>RESUMO!$F$7</f>
        <v>0.1527</v>
      </c>
      <c r="L7" s="28"/>
    </row>
    <row r="8" spans="1:12" ht="15" customHeight="1">
      <c r="A8" s="26" t="s">
        <v>328</v>
      </c>
      <c r="B8" s="27" t="str">
        <f>RESUMO!B8</f>
        <v>JOSÉ MENDONÇA FILHO SEGUNDO</v>
      </c>
      <c r="C8" s="27"/>
      <c r="D8" s="27"/>
      <c r="E8" s="27"/>
      <c r="F8" s="27"/>
      <c r="G8" s="27"/>
      <c r="H8" s="29" t="str">
        <f>RESUMO!$C$8</f>
        <v>SBC</v>
      </c>
      <c r="I8" s="30" t="str">
        <f>RESUMO!$D$8</f>
        <v>2025/02</v>
      </c>
      <c r="J8" s="26" t="s">
        <v>331</v>
      </c>
      <c r="K8" s="30">
        <f>RESUMO!$F$8</f>
        <v>1.1359999999999999</v>
      </c>
      <c r="L8" s="28"/>
    </row>
    <row r="9" spans="1:12" ht="15" customHeight="1">
      <c r="A9" s="31" t="s">
        <v>324</v>
      </c>
      <c r="B9" s="32" t="str">
        <f>RESUMO!B9</f>
        <v>ENGENHEIRO MECÂNICO - CREA 060136183-0</v>
      </c>
      <c r="C9" s="32"/>
      <c r="D9" s="32"/>
      <c r="E9" s="32"/>
      <c r="F9" s="32"/>
      <c r="G9" s="32"/>
      <c r="H9" s="31" t="s">
        <v>325</v>
      </c>
      <c r="I9" s="34" t="str">
        <f>RESUMO!$D$9</f>
        <v>R2</v>
      </c>
      <c r="J9" s="31" t="s">
        <v>332</v>
      </c>
      <c r="K9" s="34">
        <f>RESUMO!$F$9</f>
        <v>0.6984999999999999</v>
      </c>
      <c r="L9" s="33"/>
    </row>
    <row r="10" spans="1:12" ht="5.15" customHeight="1"/>
    <row r="11" spans="1:12" ht="22" customHeight="1">
      <c r="A11" s="163" t="s">
        <v>2</v>
      </c>
      <c r="B11" s="164" t="s">
        <v>3</v>
      </c>
      <c r="C11" s="163" t="s">
        <v>4</v>
      </c>
      <c r="D11" s="163" t="s">
        <v>121</v>
      </c>
      <c r="E11" s="163" t="s">
        <v>122</v>
      </c>
      <c r="F11" s="163" t="s">
        <v>767</v>
      </c>
      <c r="G11" s="163" t="s">
        <v>765</v>
      </c>
      <c r="H11" s="163" t="s">
        <v>68</v>
      </c>
      <c r="I11" s="163" t="s">
        <v>123</v>
      </c>
      <c r="J11" s="163" t="s">
        <v>124</v>
      </c>
      <c r="K11" s="163" t="s">
        <v>125</v>
      </c>
      <c r="L11" s="163" t="s">
        <v>126</v>
      </c>
    </row>
    <row r="12" spans="1:12" ht="21.75" customHeight="1">
      <c r="A12" s="165" t="s">
        <v>506</v>
      </c>
      <c r="B12" s="166" t="s">
        <v>697</v>
      </c>
      <c r="C12" s="165" t="s">
        <v>127</v>
      </c>
      <c r="D12" s="165" t="s">
        <v>89</v>
      </c>
      <c r="E12" s="165" t="s">
        <v>12</v>
      </c>
      <c r="F12" s="167">
        <f>SUMIF('PLANILHA ORCAMENTARIA'!$B$11:$B$72,A12,'PLANILHA ORCAMENTARIA'!$G$11:$G$72)</f>
        <v>3</v>
      </c>
      <c r="G12" s="167">
        <f>_xlfn.XLOOKUP(A12,COMP_GERAL!$F$11:$F$248,COMP_GERAL!$G$11:$G$248)</f>
        <v>199855.84</v>
      </c>
      <c r="H12" s="167">
        <f t="shared" ref="H12:H43" si="0">TRUNC(G12*(IF(D12="Serviço",1+$K$6,1+$K$7)),2)</f>
        <v>230373.82</v>
      </c>
      <c r="I12" s="167">
        <f t="shared" ref="I12:I43" si="1">TRUNC(F12*H12,2)</f>
        <v>691121.46</v>
      </c>
      <c r="J12" s="168">
        <f t="shared" ref="J12:J45" si="2">I12/SUM($I$12:$I$63)</f>
        <v>0.44842335778301284</v>
      </c>
      <c r="K12" s="168">
        <f>J12</f>
        <v>0.44842335778301284</v>
      </c>
      <c r="L12" s="165" t="str">
        <f>IF(K12&lt;=80%,"A",IF(K12&gt;95%,"C","B"))</f>
        <v>A</v>
      </c>
    </row>
    <row r="13" spans="1:12" ht="20">
      <c r="A13" s="165" t="s">
        <v>508</v>
      </c>
      <c r="B13" s="166" t="s">
        <v>669</v>
      </c>
      <c r="C13" s="165" t="s">
        <v>127</v>
      </c>
      <c r="D13" s="165" t="s">
        <v>89</v>
      </c>
      <c r="E13" s="165" t="s">
        <v>12</v>
      </c>
      <c r="F13" s="167">
        <f>SUMIF('PLANILHA ORCAMENTARIA'!$B$11:$B$72,A13,'PLANILHA ORCAMENTARIA'!$G$11:$G$72)</f>
        <v>1</v>
      </c>
      <c r="G13" s="167">
        <f>_xlfn.XLOOKUP(A13,COMP_GERAL!$F$11:$F$248,COMP_GERAL!$G$11:$G$248)</f>
        <v>239827.01</v>
      </c>
      <c r="H13" s="167">
        <f t="shared" si="0"/>
        <v>276448.59000000003</v>
      </c>
      <c r="I13" s="167">
        <f t="shared" si="1"/>
        <v>276448.59000000003</v>
      </c>
      <c r="J13" s="168">
        <f t="shared" si="2"/>
        <v>0.17936934700621138</v>
      </c>
      <c r="K13" s="168">
        <f>J13+K12</f>
        <v>0.62779270478922422</v>
      </c>
      <c r="L13" s="165" t="str">
        <f t="shared" ref="L13:L63" si="3">IF(K13&lt;=80%,"A",IF(K13&gt;95%,"C","B"))</f>
        <v>A</v>
      </c>
    </row>
    <row r="14" spans="1:12" ht="21.75" customHeight="1">
      <c r="A14" s="165" t="s">
        <v>469</v>
      </c>
      <c r="B14" s="166" t="s">
        <v>470</v>
      </c>
      <c r="C14" s="165" t="s">
        <v>127</v>
      </c>
      <c r="D14" s="165" t="s">
        <v>73</v>
      </c>
      <c r="E14" s="165" t="s">
        <v>12</v>
      </c>
      <c r="F14" s="167">
        <f>SUMIF('PLANILHA ORCAMENTARIA'!$B$11:$B$72,A14,'PLANILHA ORCAMENTARIA'!$G$11:$G$72)</f>
        <v>1</v>
      </c>
      <c r="G14" s="167">
        <f>_xlfn.XLOOKUP(A14,COMP_GERAL!$F$11:$F$248,COMP_GERAL!$G$11:$G$248)</f>
        <v>155501.01</v>
      </c>
      <c r="H14" s="167">
        <f t="shared" si="0"/>
        <v>192090.39</v>
      </c>
      <c r="I14" s="167">
        <f t="shared" si="1"/>
        <v>192090.39</v>
      </c>
      <c r="J14" s="168">
        <f t="shared" si="2"/>
        <v>0.12463484737060325</v>
      </c>
      <c r="K14" s="168">
        <f t="shared" ref="K14:K63" si="4">J14+K13</f>
        <v>0.75242755215982748</v>
      </c>
      <c r="L14" s="165" t="str">
        <f t="shared" si="3"/>
        <v>A</v>
      </c>
    </row>
    <row r="15" spans="1:12" ht="21.75" customHeight="1">
      <c r="A15" s="165" t="s">
        <v>511</v>
      </c>
      <c r="B15" s="166" t="s">
        <v>512</v>
      </c>
      <c r="C15" s="165" t="s">
        <v>127</v>
      </c>
      <c r="D15" s="165" t="s">
        <v>73</v>
      </c>
      <c r="E15" s="165" t="s">
        <v>12</v>
      </c>
      <c r="F15" s="167">
        <f>SUMIF('PLANILHA ORCAMENTARIA'!$B$11:$B$72,A15,'PLANILHA ORCAMENTARIA'!$G$11:$G$72)</f>
        <v>3</v>
      </c>
      <c r="G15" s="167">
        <f>_xlfn.XLOOKUP(A15,COMP_GERAL!$F$11:$F$248,COMP_GERAL!$G$11:$G$248)</f>
        <v>45433.78</v>
      </c>
      <c r="H15" s="167">
        <f t="shared" si="0"/>
        <v>56124.34</v>
      </c>
      <c r="I15" s="167">
        <f t="shared" si="1"/>
        <v>168373.02</v>
      </c>
      <c r="J15" s="168">
        <f t="shared" si="2"/>
        <v>0.10924620252490261</v>
      </c>
      <c r="K15" s="168">
        <f t="shared" si="4"/>
        <v>0.86167375468473006</v>
      </c>
      <c r="L15" s="165" t="str">
        <f t="shared" si="3"/>
        <v>B</v>
      </c>
    </row>
    <row r="16" spans="1:12" ht="21.75" customHeight="1">
      <c r="A16" s="165" t="s">
        <v>513</v>
      </c>
      <c r="B16" s="166" t="s">
        <v>514</v>
      </c>
      <c r="C16" s="165" t="s">
        <v>127</v>
      </c>
      <c r="D16" s="165" t="s">
        <v>73</v>
      </c>
      <c r="E16" s="165" t="s">
        <v>12</v>
      </c>
      <c r="F16" s="167">
        <f>SUMIF('PLANILHA ORCAMENTARIA'!$B$11:$B$72,A16,'PLANILHA ORCAMENTARIA'!$G$11:$G$72)</f>
        <v>1</v>
      </c>
      <c r="G16" s="167">
        <f>_xlfn.XLOOKUP(A16,COMP_GERAL!$F$11:$F$248,COMP_GERAL!$G$11:$G$248)</f>
        <v>54520.54</v>
      </c>
      <c r="H16" s="167">
        <f t="shared" si="0"/>
        <v>67349.22</v>
      </c>
      <c r="I16" s="167">
        <f t="shared" si="1"/>
        <v>67349.22</v>
      </c>
      <c r="J16" s="168">
        <f t="shared" si="2"/>
        <v>4.3698488795973496E-2</v>
      </c>
      <c r="K16" s="168">
        <f t="shared" si="4"/>
        <v>0.90537224348070355</v>
      </c>
      <c r="L16" s="165" t="str">
        <f t="shared" si="3"/>
        <v>B</v>
      </c>
    </row>
    <row r="17" spans="1:12" ht="21.75" customHeight="1">
      <c r="A17" s="165">
        <v>10778</v>
      </c>
      <c r="B17" s="166" t="s">
        <v>29</v>
      </c>
      <c r="C17" s="165" t="s">
        <v>24</v>
      </c>
      <c r="D17" s="165" t="s">
        <v>73</v>
      </c>
      <c r="E17" s="165" t="s">
        <v>27</v>
      </c>
      <c r="F17" s="167">
        <f>SUMIF('PLANILHA ORCAMENTARIA'!$B$11:$B$72,A17,'PLANILHA ORCAMENTARIA'!$G$11:$G$72)</f>
        <v>10</v>
      </c>
      <c r="G17" s="167">
        <f>_xlfn.XLOOKUP(A17,COMP_GERAL!$F$11:$F$248,COMP_GERAL!$G$11:$G$248)</f>
        <v>1059.3699999999999</v>
      </c>
      <c r="H17" s="167">
        <f t="shared" si="0"/>
        <v>1308.6300000000001</v>
      </c>
      <c r="I17" s="167">
        <f t="shared" si="1"/>
        <v>13086.3</v>
      </c>
      <c r="J17" s="168">
        <f t="shared" si="2"/>
        <v>8.490841229204257E-3</v>
      </c>
      <c r="K17" s="168">
        <f t="shared" si="4"/>
        <v>0.91386308470990785</v>
      </c>
      <c r="L17" s="165" t="str">
        <f t="shared" si="3"/>
        <v>B</v>
      </c>
    </row>
    <row r="18" spans="1:12" ht="21.75" customHeight="1">
      <c r="A18" s="165" t="s">
        <v>484</v>
      </c>
      <c r="B18" s="166" t="s">
        <v>488</v>
      </c>
      <c r="C18" s="165" t="s">
        <v>127</v>
      </c>
      <c r="D18" s="165" t="s">
        <v>73</v>
      </c>
      <c r="E18" s="165" t="s">
        <v>32</v>
      </c>
      <c r="F18" s="167">
        <f>'PLANILHA ORCAMENTARIA'!G44</f>
        <v>12.075000000000001</v>
      </c>
      <c r="G18" s="167">
        <f>_xlfn.XLOOKUP(A18,COMP_GERAL!$F$11:$F$248,COMP_GERAL!$G$11:$G$248)</f>
        <v>734.86999999999989</v>
      </c>
      <c r="H18" s="167">
        <f t="shared" si="0"/>
        <v>907.78</v>
      </c>
      <c r="I18" s="167">
        <f t="shared" si="1"/>
        <v>10961.44</v>
      </c>
      <c r="J18" s="168">
        <f t="shared" si="2"/>
        <v>7.1121590276433154E-3</v>
      </c>
      <c r="K18" s="168">
        <f t="shared" si="4"/>
        <v>0.92097524373755113</v>
      </c>
      <c r="L18" s="165" t="str">
        <f t="shared" si="3"/>
        <v>B</v>
      </c>
    </row>
    <row r="19" spans="1:12" ht="21.75" customHeight="1">
      <c r="A19" s="165" t="s">
        <v>471</v>
      </c>
      <c r="B19" s="166" t="s">
        <v>475</v>
      </c>
      <c r="C19" s="165" t="s">
        <v>127</v>
      </c>
      <c r="D19" s="165" t="s">
        <v>73</v>
      </c>
      <c r="E19" s="165" t="s">
        <v>49</v>
      </c>
      <c r="F19" s="167">
        <f>'PLANILHA ORCAMENTARIA'!G27</f>
        <v>29.7</v>
      </c>
      <c r="G19" s="167">
        <f>_xlfn.XLOOKUP(A19,COMP_GERAL!$F$11:$F$248,COMP_GERAL!$G$11:$G$248)</f>
        <v>281.86</v>
      </c>
      <c r="H19" s="167">
        <f t="shared" si="0"/>
        <v>348.18</v>
      </c>
      <c r="I19" s="167">
        <f t="shared" si="1"/>
        <v>10340.94</v>
      </c>
      <c r="J19" s="168">
        <f t="shared" si="2"/>
        <v>6.7095573004384342E-3</v>
      </c>
      <c r="K19" s="168">
        <f t="shared" si="4"/>
        <v>0.92768480103798956</v>
      </c>
      <c r="L19" s="165" t="str">
        <f t="shared" si="3"/>
        <v>B</v>
      </c>
    </row>
    <row r="20" spans="1:12" ht="21.75" customHeight="1">
      <c r="A20" s="165" t="s">
        <v>484</v>
      </c>
      <c r="B20" s="166" t="s">
        <v>487</v>
      </c>
      <c r="C20" s="165" t="s">
        <v>127</v>
      </c>
      <c r="D20" s="165" t="s">
        <v>73</v>
      </c>
      <c r="E20" s="165" t="s">
        <v>32</v>
      </c>
      <c r="F20" s="167">
        <f>'PLANILHA ORCAMENTARIA'!G43</f>
        <v>10.0625</v>
      </c>
      <c r="G20" s="167">
        <f>_xlfn.XLOOKUP(A20,COMP_GERAL!$F$11:$F$248,COMP_GERAL!$G$11:$G$248)</f>
        <v>734.86999999999989</v>
      </c>
      <c r="H20" s="167">
        <f t="shared" si="0"/>
        <v>907.78</v>
      </c>
      <c r="I20" s="167">
        <f t="shared" si="1"/>
        <v>9134.5300000000007</v>
      </c>
      <c r="J20" s="168">
        <f t="shared" si="2"/>
        <v>5.9267970269215268E-3</v>
      </c>
      <c r="K20" s="168">
        <f t="shared" si="4"/>
        <v>0.93361159806491112</v>
      </c>
      <c r="L20" s="165" t="str">
        <f t="shared" si="3"/>
        <v>B</v>
      </c>
    </row>
    <row r="21" spans="1:12" ht="21.75" customHeight="1">
      <c r="A21" s="165" t="s">
        <v>484</v>
      </c>
      <c r="B21" s="166" t="s">
        <v>486</v>
      </c>
      <c r="C21" s="165" t="s">
        <v>127</v>
      </c>
      <c r="D21" s="165" t="s">
        <v>73</v>
      </c>
      <c r="E21" s="165" t="s">
        <v>32</v>
      </c>
      <c r="F21" s="167">
        <f>'PLANILHA ORCAMENTARIA'!G42</f>
        <v>10.0625</v>
      </c>
      <c r="G21" s="167">
        <f>_xlfn.XLOOKUP(A21,COMP_GERAL!$F$11:$F$248,COMP_GERAL!$G$11:$G$248)</f>
        <v>734.86999999999989</v>
      </c>
      <c r="H21" s="167">
        <f t="shared" si="0"/>
        <v>907.78</v>
      </c>
      <c r="I21" s="167">
        <f t="shared" si="1"/>
        <v>9134.5300000000007</v>
      </c>
      <c r="J21" s="168">
        <f t="shared" si="2"/>
        <v>5.9267970269215268E-3</v>
      </c>
      <c r="K21" s="168">
        <f t="shared" si="4"/>
        <v>0.93953839509183268</v>
      </c>
      <c r="L21" s="165" t="str">
        <f t="shared" si="3"/>
        <v>B</v>
      </c>
    </row>
    <row r="22" spans="1:12" ht="21.75" customHeight="1">
      <c r="A22" s="165" t="s">
        <v>484</v>
      </c>
      <c r="B22" s="166" t="s">
        <v>485</v>
      </c>
      <c r="C22" s="165" t="s">
        <v>127</v>
      </c>
      <c r="D22" s="165" t="s">
        <v>73</v>
      </c>
      <c r="E22" s="165" t="s">
        <v>32</v>
      </c>
      <c r="F22" s="167">
        <f>'PLANILHA ORCAMENTARIA'!G41</f>
        <v>10.0625</v>
      </c>
      <c r="G22" s="167">
        <f>_xlfn.XLOOKUP(A22,COMP_GERAL!$F$11:$F$248,COMP_GERAL!$G$11:$G$248)</f>
        <v>734.86999999999989</v>
      </c>
      <c r="H22" s="167">
        <f t="shared" si="0"/>
        <v>907.78</v>
      </c>
      <c r="I22" s="167">
        <f t="shared" si="1"/>
        <v>9134.5300000000007</v>
      </c>
      <c r="J22" s="168">
        <f t="shared" si="2"/>
        <v>5.9267970269215268E-3</v>
      </c>
      <c r="K22" s="168">
        <f t="shared" si="4"/>
        <v>0.94546519211875424</v>
      </c>
      <c r="L22" s="165" t="str">
        <f t="shared" si="3"/>
        <v>B</v>
      </c>
    </row>
    <row r="23" spans="1:12" ht="21.75" customHeight="1">
      <c r="A23" s="169" t="s">
        <v>471</v>
      </c>
      <c r="B23" s="166" t="s">
        <v>473</v>
      </c>
      <c r="C23" s="165" t="s">
        <v>127</v>
      </c>
      <c r="D23" s="165" t="s">
        <v>73</v>
      </c>
      <c r="E23" s="165" t="s">
        <v>49</v>
      </c>
      <c r="F23" s="167">
        <f>'PLANILHA ORCAMENTARIA'!G25</f>
        <v>25</v>
      </c>
      <c r="G23" s="167">
        <f>_xlfn.XLOOKUP(A23,COMP_GERAL!$F$11:$F$248,COMP_GERAL!$G$11:$G$248)</f>
        <v>281.86</v>
      </c>
      <c r="H23" s="167">
        <f t="shared" si="0"/>
        <v>348.18</v>
      </c>
      <c r="I23" s="167">
        <f t="shared" si="1"/>
        <v>8704.5</v>
      </c>
      <c r="J23" s="168">
        <f t="shared" si="2"/>
        <v>5.6477787823608246E-3</v>
      </c>
      <c r="K23" s="168">
        <f t="shared" si="4"/>
        <v>0.95111297090111502</v>
      </c>
      <c r="L23" s="165" t="str">
        <f t="shared" si="3"/>
        <v>C</v>
      </c>
    </row>
    <row r="24" spans="1:12" ht="21.75" customHeight="1">
      <c r="A24" s="165" t="s">
        <v>471</v>
      </c>
      <c r="B24" s="166" t="s">
        <v>472</v>
      </c>
      <c r="C24" s="165" t="s">
        <v>127</v>
      </c>
      <c r="D24" s="165" t="s">
        <v>73</v>
      </c>
      <c r="E24" s="165" t="s">
        <v>49</v>
      </c>
      <c r="F24" s="167">
        <f>'PLANILHA ORCAMENTARIA'!G24</f>
        <v>25</v>
      </c>
      <c r="G24" s="167">
        <f>_xlfn.XLOOKUP(A24,COMP_GERAL!$F$11:$F$248,COMP_GERAL!$G$11:$G$248)</f>
        <v>281.86</v>
      </c>
      <c r="H24" s="167">
        <f t="shared" si="0"/>
        <v>348.18</v>
      </c>
      <c r="I24" s="167">
        <f t="shared" si="1"/>
        <v>8704.5</v>
      </c>
      <c r="J24" s="168">
        <f t="shared" si="2"/>
        <v>5.6477787823608246E-3</v>
      </c>
      <c r="K24" s="168">
        <f t="shared" si="4"/>
        <v>0.9567607496834758</v>
      </c>
      <c r="L24" s="165" t="str">
        <f t="shared" si="3"/>
        <v>C</v>
      </c>
    </row>
    <row r="25" spans="1:12" ht="21.75" customHeight="1">
      <c r="A25" s="165" t="s">
        <v>471</v>
      </c>
      <c r="B25" s="166" t="s">
        <v>474</v>
      </c>
      <c r="C25" s="165" t="s">
        <v>127</v>
      </c>
      <c r="D25" s="165" t="s">
        <v>73</v>
      </c>
      <c r="E25" s="165" t="s">
        <v>49</v>
      </c>
      <c r="F25" s="167">
        <f>'PLANILHA ORCAMENTARIA'!G26</f>
        <v>25</v>
      </c>
      <c r="G25" s="167">
        <f>_xlfn.XLOOKUP(A25,COMP_GERAL!$F$11:$F$248,COMP_GERAL!$G$11:$G$248)</f>
        <v>281.86</v>
      </c>
      <c r="H25" s="167">
        <f t="shared" si="0"/>
        <v>348.18</v>
      </c>
      <c r="I25" s="167">
        <f t="shared" si="1"/>
        <v>8704.5</v>
      </c>
      <c r="J25" s="168">
        <f t="shared" si="2"/>
        <v>5.6477787823608246E-3</v>
      </c>
      <c r="K25" s="168">
        <f t="shared" si="4"/>
        <v>0.96240852846583658</v>
      </c>
      <c r="L25" s="165" t="str">
        <f t="shared" si="3"/>
        <v>C</v>
      </c>
    </row>
    <row r="26" spans="1:12" ht="21.75" customHeight="1">
      <c r="A26" s="165">
        <v>10776</v>
      </c>
      <c r="B26" s="166" t="s">
        <v>26</v>
      </c>
      <c r="C26" s="165" t="s">
        <v>24</v>
      </c>
      <c r="D26" s="165" t="s">
        <v>73</v>
      </c>
      <c r="E26" s="165" t="s">
        <v>27</v>
      </c>
      <c r="F26" s="167">
        <f>SUMIF('PLANILHA ORCAMENTARIA'!$B$11:$B$72,A26,'PLANILHA ORCAMENTARIA'!$G$11:$G$72)</f>
        <v>10</v>
      </c>
      <c r="G26" s="167">
        <f>_xlfn.XLOOKUP(A26,COMP_GERAL!$F$11:$F$248,COMP_GERAL!$G$11:$G$248)</f>
        <v>662.1</v>
      </c>
      <c r="H26" s="167">
        <f t="shared" si="0"/>
        <v>817.89</v>
      </c>
      <c r="I26" s="167">
        <f t="shared" si="1"/>
        <v>8178.9</v>
      </c>
      <c r="J26" s="168">
        <f t="shared" si="2"/>
        <v>5.3067514369637483E-3</v>
      </c>
      <c r="K26" s="168">
        <f t="shared" si="4"/>
        <v>0.96771527990280037</v>
      </c>
      <c r="L26" s="165" t="str">
        <f t="shared" si="3"/>
        <v>C</v>
      </c>
    </row>
    <row r="27" spans="1:12" ht="21.75" customHeight="1">
      <c r="A27" s="165">
        <v>89480</v>
      </c>
      <c r="B27" s="166" t="s">
        <v>477</v>
      </c>
      <c r="C27" s="165" t="s">
        <v>24</v>
      </c>
      <c r="D27" s="165" t="s">
        <v>73</v>
      </c>
      <c r="E27" s="165" t="s">
        <v>32</v>
      </c>
      <c r="F27" s="167">
        <f>'PLANILHA ORCAMENTARIA'!G35</f>
        <v>40.949999999999996</v>
      </c>
      <c r="G27" s="167">
        <f>_xlfn.XLOOKUP(A27,COMP_GERAL!$F$11:$F$248,COMP_GERAL!$G$11:$G$248)</f>
        <v>148.5</v>
      </c>
      <c r="H27" s="167">
        <f t="shared" si="0"/>
        <v>183.44</v>
      </c>
      <c r="I27" s="167">
        <f t="shared" si="1"/>
        <v>7511.86</v>
      </c>
      <c r="J27" s="168">
        <f t="shared" si="2"/>
        <v>4.8739529581325733E-3</v>
      </c>
      <c r="K27" s="168">
        <f t="shared" si="4"/>
        <v>0.97258923286093291</v>
      </c>
      <c r="L27" s="165" t="str">
        <f t="shared" si="3"/>
        <v>C</v>
      </c>
    </row>
    <row r="28" spans="1:12" ht="21.75" customHeight="1">
      <c r="A28" s="165">
        <v>89480</v>
      </c>
      <c r="B28" s="166" t="s">
        <v>478</v>
      </c>
      <c r="C28" s="165" t="s">
        <v>24</v>
      </c>
      <c r="D28" s="165" t="s">
        <v>73</v>
      </c>
      <c r="E28" s="165" t="s">
        <v>32</v>
      </c>
      <c r="F28" s="167">
        <f>'PLANILHA ORCAMENTARIA'!G36</f>
        <v>40.949999999999996</v>
      </c>
      <c r="G28" s="167">
        <f>_xlfn.XLOOKUP(A28,COMP_GERAL!$F$11:$F$248,COMP_GERAL!$G$11:$G$248)</f>
        <v>148.5</v>
      </c>
      <c r="H28" s="167">
        <f t="shared" si="0"/>
        <v>183.44</v>
      </c>
      <c r="I28" s="167">
        <f t="shared" si="1"/>
        <v>7511.86</v>
      </c>
      <c r="J28" s="168">
        <f t="shared" si="2"/>
        <v>4.8739529581325733E-3</v>
      </c>
      <c r="K28" s="168">
        <f t="shared" si="4"/>
        <v>0.97746318581906544</v>
      </c>
      <c r="L28" s="165" t="str">
        <f t="shared" si="3"/>
        <v>C</v>
      </c>
    </row>
    <row r="29" spans="1:12" ht="21.75" customHeight="1">
      <c r="A29" s="165">
        <v>103689</v>
      </c>
      <c r="B29" s="166" t="s">
        <v>31</v>
      </c>
      <c r="C29" s="165" t="s">
        <v>24</v>
      </c>
      <c r="D29" s="165" t="s">
        <v>73</v>
      </c>
      <c r="E29" s="165" t="s">
        <v>32</v>
      </c>
      <c r="F29" s="167">
        <f>SUMIF('PLANILHA ORCAMENTARIA'!$B$11:$B$72,A29,'PLANILHA ORCAMENTARIA'!$G$11:$G$72)</f>
        <v>8</v>
      </c>
      <c r="G29" s="167">
        <f>_xlfn.XLOOKUP(A29,COMP_GERAL!$F$11:$F$248,COMP_GERAL!$G$11:$G$248)</f>
        <v>462.25</v>
      </c>
      <c r="H29" s="167">
        <f t="shared" si="0"/>
        <v>571.01</v>
      </c>
      <c r="I29" s="167">
        <f t="shared" si="1"/>
        <v>4568.08</v>
      </c>
      <c r="J29" s="168">
        <f t="shared" si="2"/>
        <v>2.9639273134731271E-3</v>
      </c>
      <c r="K29" s="168">
        <f t="shared" si="4"/>
        <v>0.98042711313253861</v>
      </c>
      <c r="L29" s="165" t="str">
        <f t="shared" si="3"/>
        <v>C</v>
      </c>
    </row>
    <row r="30" spans="1:12" ht="21.75" customHeight="1">
      <c r="A30" s="165">
        <v>98459</v>
      </c>
      <c r="B30" s="166" t="s">
        <v>34</v>
      </c>
      <c r="C30" s="165" t="s">
        <v>24</v>
      </c>
      <c r="D30" s="165" t="s">
        <v>73</v>
      </c>
      <c r="E30" s="165" t="s">
        <v>32</v>
      </c>
      <c r="F30" s="167">
        <f>SUMIF('PLANILHA ORCAMENTARIA'!$B$11:$B$72,A30,'PLANILHA ORCAMENTARIA'!$G$11:$G$72)</f>
        <v>36.299999999999997</v>
      </c>
      <c r="G30" s="167">
        <f>_xlfn.XLOOKUP(A30,COMP_GERAL!$F$11:$F$248,COMP_GERAL!$G$11:$G$248)</f>
        <v>92.719999999999985</v>
      </c>
      <c r="H30" s="167">
        <f t="shared" si="0"/>
        <v>114.53</v>
      </c>
      <c r="I30" s="167">
        <f t="shared" si="1"/>
        <v>4157.43</v>
      </c>
      <c r="J30" s="168">
        <f t="shared" si="2"/>
        <v>2.6974834790223865E-3</v>
      </c>
      <c r="K30" s="168">
        <f t="shared" si="4"/>
        <v>0.98312459661156104</v>
      </c>
      <c r="L30" s="165" t="str">
        <f t="shared" si="3"/>
        <v>C</v>
      </c>
    </row>
    <row r="31" spans="1:12" ht="21.75" customHeight="1">
      <c r="A31" s="165">
        <v>104642</v>
      </c>
      <c r="B31" s="166" t="s">
        <v>483</v>
      </c>
      <c r="C31" s="165" t="s">
        <v>24</v>
      </c>
      <c r="D31" s="165" t="s">
        <v>73</v>
      </c>
      <c r="E31" s="165" t="s">
        <v>32</v>
      </c>
      <c r="F31" s="167">
        <f>'PLANILHA ORCAMENTARIA'!G40</f>
        <v>215.49040000000002</v>
      </c>
      <c r="G31" s="167">
        <f>_xlfn.XLOOKUP(A31,COMP_GERAL!$F$11:$F$248,COMP_GERAL!$G$11:$G$248)</f>
        <v>10.02</v>
      </c>
      <c r="H31" s="167">
        <f t="shared" si="0"/>
        <v>12.37</v>
      </c>
      <c r="I31" s="167">
        <f t="shared" si="1"/>
        <v>2665.61</v>
      </c>
      <c r="J31" s="168">
        <f t="shared" si="2"/>
        <v>1.7295393876786535E-3</v>
      </c>
      <c r="K31" s="168">
        <f t="shared" si="4"/>
        <v>0.98485413599923965</v>
      </c>
      <c r="L31" s="165" t="str">
        <f t="shared" si="3"/>
        <v>C</v>
      </c>
    </row>
    <row r="32" spans="1:12" ht="21.75" customHeight="1">
      <c r="A32" s="165">
        <v>104642</v>
      </c>
      <c r="B32" s="166" t="s">
        <v>481</v>
      </c>
      <c r="C32" s="165" t="s">
        <v>24</v>
      </c>
      <c r="D32" s="165" t="s">
        <v>73</v>
      </c>
      <c r="E32" s="165" t="s">
        <v>32</v>
      </c>
      <c r="F32" s="167">
        <f>'PLANILHA ORCAMENTARIA'!G38</f>
        <v>175.84199999999996</v>
      </c>
      <c r="G32" s="167">
        <f>_xlfn.XLOOKUP(A32,COMP_GERAL!$F$11:$F$248,COMP_GERAL!$G$11:$G$248)</f>
        <v>10.02</v>
      </c>
      <c r="H32" s="167">
        <f t="shared" si="0"/>
        <v>12.37</v>
      </c>
      <c r="I32" s="167">
        <f t="shared" si="1"/>
        <v>2175.16</v>
      </c>
      <c r="J32" s="168">
        <f t="shared" si="2"/>
        <v>1.4113185704221921E-3</v>
      </c>
      <c r="K32" s="168">
        <f t="shared" si="4"/>
        <v>0.98626545456966186</v>
      </c>
      <c r="L32" s="165" t="str">
        <f t="shared" si="3"/>
        <v>C</v>
      </c>
    </row>
    <row r="33" spans="1:12" ht="21.75" customHeight="1">
      <c r="A33" s="165">
        <v>104642</v>
      </c>
      <c r="B33" s="166" t="s">
        <v>480</v>
      </c>
      <c r="C33" s="165" t="s">
        <v>24</v>
      </c>
      <c r="D33" s="165" t="s">
        <v>73</v>
      </c>
      <c r="E33" s="165" t="s">
        <v>32</v>
      </c>
      <c r="F33" s="167">
        <f>'PLANILHA ORCAMENTARIA'!G37</f>
        <v>175.84199999999996</v>
      </c>
      <c r="G33" s="167">
        <f>_xlfn.XLOOKUP(A33,COMP_GERAL!$F$11:$F$248,COMP_GERAL!$G$11:$G$248)</f>
        <v>10.02</v>
      </c>
      <c r="H33" s="167">
        <f t="shared" si="0"/>
        <v>12.37</v>
      </c>
      <c r="I33" s="167">
        <f t="shared" si="1"/>
        <v>2175.16</v>
      </c>
      <c r="J33" s="168">
        <f t="shared" si="2"/>
        <v>1.4113185704221921E-3</v>
      </c>
      <c r="K33" s="168">
        <f t="shared" si="4"/>
        <v>0.98767677314008406</v>
      </c>
      <c r="L33" s="165" t="str">
        <f t="shared" si="3"/>
        <v>C</v>
      </c>
    </row>
    <row r="34" spans="1:12" ht="21.75" customHeight="1">
      <c r="A34" s="165">
        <v>104642</v>
      </c>
      <c r="B34" s="166" t="s">
        <v>482</v>
      </c>
      <c r="C34" s="165" t="s">
        <v>24</v>
      </c>
      <c r="D34" s="165" t="s">
        <v>73</v>
      </c>
      <c r="E34" s="165" t="s">
        <v>32</v>
      </c>
      <c r="F34" s="167">
        <f>'PLANILHA ORCAMENTARIA'!G39</f>
        <v>175.84199999999996</v>
      </c>
      <c r="G34" s="167">
        <f>_xlfn.XLOOKUP(A34,COMP_GERAL!$F$11:$F$248,COMP_GERAL!$G$11:$G$248)</f>
        <v>10.02</v>
      </c>
      <c r="H34" s="167">
        <f t="shared" si="0"/>
        <v>12.37</v>
      </c>
      <c r="I34" s="167">
        <f t="shared" si="1"/>
        <v>2175.16</v>
      </c>
      <c r="J34" s="168">
        <f t="shared" si="2"/>
        <v>1.4113185704221921E-3</v>
      </c>
      <c r="K34" s="168">
        <f t="shared" si="4"/>
        <v>0.98908809171050627</v>
      </c>
      <c r="L34" s="165" t="str">
        <f t="shared" si="3"/>
        <v>C</v>
      </c>
    </row>
    <row r="35" spans="1:12" ht="21.75" customHeight="1">
      <c r="A35" s="555">
        <v>210000</v>
      </c>
      <c r="B35" s="515" t="s">
        <v>862</v>
      </c>
      <c r="C35" s="555" t="s">
        <v>127</v>
      </c>
      <c r="D35" s="555" t="s">
        <v>73</v>
      </c>
      <c r="E35" s="555" t="s">
        <v>12</v>
      </c>
      <c r="F35" s="171">
        <f>QUANT!G69</f>
        <v>2</v>
      </c>
      <c r="G35" s="171">
        <f>_xlfn.XLOOKUP(A35,COMP_GERAL!$F$11:$F$248,COMP_GERAL!$G$11:$G$248)</f>
        <v>431.37</v>
      </c>
      <c r="H35" s="171">
        <f t="shared" si="0"/>
        <v>532.87</v>
      </c>
      <c r="I35" s="171">
        <f t="shared" si="1"/>
        <v>1065.74</v>
      </c>
      <c r="J35" s="168">
        <f t="shared" si="2"/>
        <v>6.9148874254847787E-4</v>
      </c>
      <c r="K35" s="168">
        <f t="shared" si="4"/>
        <v>0.9897795804530547</v>
      </c>
      <c r="L35" s="165" t="str">
        <f t="shared" si="3"/>
        <v>C</v>
      </c>
    </row>
    <row r="36" spans="1:12" ht="21.75" customHeight="1">
      <c r="A36" s="165" t="s">
        <v>489</v>
      </c>
      <c r="B36" s="166" t="s">
        <v>493</v>
      </c>
      <c r="C36" s="165" t="s">
        <v>127</v>
      </c>
      <c r="D36" s="165" t="s">
        <v>73</v>
      </c>
      <c r="E36" s="165" t="s">
        <v>49</v>
      </c>
      <c r="F36" s="167">
        <f>'PLANILHA ORCAMENTARIA'!G48</f>
        <v>4.8000000000000007</v>
      </c>
      <c r="G36" s="167">
        <f>_xlfn.XLOOKUP(A36,COMP_GERAL!$F$11:$F$248,COMP_GERAL!$G$11:$G$248)</f>
        <v>159.91</v>
      </c>
      <c r="H36" s="167">
        <f t="shared" si="0"/>
        <v>197.53</v>
      </c>
      <c r="I36" s="167">
        <f t="shared" si="1"/>
        <v>948.14</v>
      </c>
      <c r="J36" s="168">
        <f t="shared" si="2"/>
        <v>6.1518582051899506E-4</v>
      </c>
      <c r="K36" s="168">
        <f t="shared" si="4"/>
        <v>0.9903947662735737</v>
      </c>
      <c r="L36" s="165" t="str">
        <f t="shared" si="3"/>
        <v>C</v>
      </c>
    </row>
    <row r="37" spans="1:12" ht="21.75" customHeight="1">
      <c r="A37" s="165">
        <v>97607</v>
      </c>
      <c r="B37" s="166" t="s">
        <v>535</v>
      </c>
      <c r="C37" s="165" t="s">
        <v>24</v>
      </c>
      <c r="D37" s="165" t="s">
        <v>73</v>
      </c>
      <c r="E37" s="165" t="s">
        <v>12</v>
      </c>
      <c r="F37" s="167">
        <f>'PLANILHA ORCAMENTARIA'!G60</f>
        <v>7</v>
      </c>
      <c r="G37" s="167">
        <f>_xlfn.XLOOKUP(A37,COMP_GERAL!$F$11:$F$248,COMP_GERAL!$G$11:$G$248)</f>
        <v>103.15</v>
      </c>
      <c r="H37" s="167">
        <f t="shared" si="0"/>
        <v>127.42</v>
      </c>
      <c r="I37" s="167">
        <f t="shared" si="1"/>
        <v>891.94</v>
      </c>
      <c r="J37" s="168">
        <f t="shared" si="2"/>
        <v>5.7872132886885113E-4</v>
      </c>
      <c r="K37" s="168">
        <f t="shared" si="4"/>
        <v>0.99097348760244253</v>
      </c>
      <c r="L37" s="165" t="str">
        <f t="shared" si="3"/>
        <v>C</v>
      </c>
    </row>
    <row r="38" spans="1:12" ht="21.75" customHeight="1">
      <c r="A38" s="165">
        <v>95728</v>
      </c>
      <c r="B38" s="166" t="s">
        <v>539</v>
      </c>
      <c r="C38" s="165" t="s">
        <v>24</v>
      </c>
      <c r="D38" s="165" t="s">
        <v>73</v>
      </c>
      <c r="E38" s="165" t="s">
        <v>49</v>
      </c>
      <c r="F38" s="167">
        <f>'PLANILHA ORCAMENTARIA'!G64</f>
        <v>28.4</v>
      </c>
      <c r="G38" s="167">
        <f>_xlfn.XLOOKUP(A38,COMP_GERAL!$F$11:$F$248,COMP_GERAL!$G$11:$G$248)</f>
        <v>24.479999999999997</v>
      </c>
      <c r="H38" s="167">
        <f t="shared" si="0"/>
        <v>30.24</v>
      </c>
      <c r="I38" s="167">
        <f t="shared" si="1"/>
        <v>858.81</v>
      </c>
      <c r="J38" s="168">
        <f t="shared" si="2"/>
        <v>5.5722544615765407E-4</v>
      </c>
      <c r="K38" s="168">
        <f t="shared" si="4"/>
        <v>0.99153071304860019</v>
      </c>
      <c r="L38" s="165" t="str">
        <f t="shared" si="3"/>
        <v>C</v>
      </c>
    </row>
    <row r="39" spans="1:12" ht="21.75" customHeight="1">
      <c r="A39" s="165" t="s">
        <v>489</v>
      </c>
      <c r="B39" s="166" t="s">
        <v>491</v>
      </c>
      <c r="C39" s="165" t="s">
        <v>127</v>
      </c>
      <c r="D39" s="165" t="s">
        <v>73</v>
      </c>
      <c r="E39" s="165" t="s">
        <v>49</v>
      </c>
      <c r="F39" s="167">
        <f>'PLANILHA ORCAMENTARIA'!G46</f>
        <v>4</v>
      </c>
      <c r="G39" s="167">
        <f>_xlfn.XLOOKUP(A39,COMP_GERAL!$F$11:$F$248,COMP_GERAL!$G$11:$G$248)</f>
        <v>159.91</v>
      </c>
      <c r="H39" s="167">
        <f t="shared" si="0"/>
        <v>197.53</v>
      </c>
      <c r="I39" s="167">
        <f t="shared" si="1"/>
        <v>790.12</v>
      </c>
      <c r="J39" s="168">
        <f t="shared" si="2"/>
        <v>5.1265701321373254E-4</v>
      </c>
      <c r="K39" s="168">
        <f t="shared" si="4"/>
        <v>0.99204337006181387</v>
      </c>
      <c r="L39" s="165" t="str">
        <f t="shared" si="3"/>
        <v>C</v>
      </c>
    </row>
    <row r="40" spans="1:12" ht="21.75" customHeight="1">
      <c r="A40" s="165" t="s">
        <v>489</v>
      </c>
      <c r="B40" s="166" t="s">
        <v>490</v>
      </c>
      <c r="C40" s="165" t="s">
        <v>127</v>
      </c>
      <c r="D40" s="165" t="s">
        <v>73</v>
      </c>
      <c r="E40" s="165" t="s">
        <v>49</v>
      </c>
      <c r="F40" s="167">
        <f>'PLANILHA ORCAMENTARIA'!G45</f>
        <v>4</v>
      </c>
      <c r="G40" s="167">
        <f>_xlfn.XLOOKUP(A40,COMP_GERAL!$F$11:$F$248,COMP_GERAL!$G$11:$G$248)</f>
        <v>159.91</v>
      </c>
      <c r="H40" s="167">
        <f t="shared" si="0"/>
        <v>197.53</v>
      </c>
      <c r="I40" s="167">
        <f t="shared" si="1"/>
        <v>790.12</v>
      </c>
      <c r="J40" s="168">
        <f t="shared" si="2"/>
        <v>5.1265701321373254E-4</v>
      </c>
      <c r="K40" s="168">
        <f t="shared" si="4"/>
        <v>0.99255602707502755</v>
      </c>
      <c r="L40" s="165" t="str">
        <f t="shared" si="3"/>
        <v>C</v>
      </c>
    </row>
    <row r="41" spans="1:12" ht="21.75" customHeight="1">
      <c r="A41" s="165" t="s">
        <v>489</v>
      </c>
      <c r="B41" s="166" t="s">
        <v>492</v>
      </c>
      <c r="C41" s="165" t="s">
        <v>127</v>
      </c>
      <c r="D41" s="165" t="s">
        <v>73</v>
      </c>
      <c r="E41" s="165" t="s">
        <v>49</v>
      </c>
      <c r="F41" s="167">
        <f>'PLANILHA ORCAMENTARIA'!G47</f>
        <v>4</v>
      </c>
      <c r="G41" s="167">
        <f>_xlfn.XLOOKUP(A41,COMP_GERAL!$F$11:$F$248,COMP_GERAL!$G$11:$G$248)</f>
        <v>159.91</v>
      </c>
      <c r="H41" s="167">
        <f t="shared" si="0"/>
        <v>197.53</v>
      </c>
      <c r="I41" s="167">
        <f t="shared" si="1"/>
        <v>790.12</v>
      </c>
      <c r="J41" s="168">
        <f t="shared" si="2"/>
        <v>5.1265701321373254E-4</v>
      </c>
      <c r="K41" s="168">
        <f t="shared" si="4"/>
        <v>0.99306868408824123</v>
      </c>
      <c r="L41" s="165" t="str">
        <f t="shared" si="3"/>
        <v>C</v>
      </c>
    </row>
    <row r="42" spans="1:12" ht="21.75" customHeight="1">
      <c r="A42" s="165">
        <v>97607</v>
      </c>
      <c r="B42" s="166" t="s">
        <v>534</v>
      </c>
      <c r="C42" s="165" t="s">
        <v>24</v>
      </c>
      <c r="D42" s="165" t="s">
        <v>73</v>
      </c>
      <c r="E42" s="165" t="s">
        <v>12</v>
      </c>
      <c r="F42" s="167">
        <f>'PLANILHA ORCAMENTARIA'!G59</f>
        <v>6</v>
      </c>
      <c r="G42" s="167">
        <f>_xlfn.XLOOKUP(A42,COMP_GERAL!$F$11:$F$248,COMP_GERAL!$G$11:$G$248)</f>
        <v>103.15</v>
      </c>
      <c r="H42" s="167">
        <f t="shared" si="0"/>
        <v>127.42</v>
      </c>
      <c r="I42" s="167">
        <f t="shared" si="1"/>
        <v>764.52</v>
      </c>
      <c r="J42" s="168">
        <f t="shared" si="2"/>
        <v>4.9604685331615806E-4</v>
      </c>
      <c r="K42" s="168">
        <f t="shared" si="4"/>
        <v>0.99356473094155739</v>
      </c>
      <c r="L42" s="165" t="str">
        <f t="shared" si="3"/>
        <v>C</v>
      </c>
    </row>
    <row r="43" spans="1:12" ht="21.75" customHeight="1">
      <c r="A43" s="165">
        <v>97607</v>
      </c>
      <c r="B43" s="166" t="s">
        <v>532</v>
      </c>
      <c r="C43" s="165" t="s">
        <v>24</v>
      </c>
      <c r="D43" s="165" t="s">
        <v>73</v>
      </c>
      <c r="E43" s="165" t="s">
        <v>12</v>
      </c>
      <c r="F43" s="167">
        <f>'PLANILHA ORCAMENTARIA'!G57</f>
        <v>6</v>
      </c>
      <c r="G43" s="167">
        <f>_xlfn.XLOOKUP(A43,COMP_GERAL!$F$11:$F$248,COMP_GERAL!$G$11:$G$248)</f>
        <v>103.15</v>
      </c>
      <c r="H43" s="167">
        <f t="shared" si="0"/>
        <v>127.42</v>
      </c>
      <c r="I43" s="167">
        <f t="shared" si="1"/>
        <v>764.52</v>
      </c>
      <c r="J43" s="168">
        <f t="shared" si="2"/>
        <v>4.9604685331615806E-4</v>
      </c>
      <c r="K43" s="168">
        <f t="shared" si="4"/>
        <v>0.99406077779487356</v>
      </c>
      <c r="L43" s="165" t="str">
        <f t="shared" si="3"/>
        <v>C</v>
      </c>
    </row>
    <row r="44" spans="1:12" ht="21.75" customHeight="1">
      <c r="A44" s="165">
        <v>97607</v>
      </c>
      <c r="B44" s="166" t="s">
        <v>533</v>
      </c>
      <c r="C44" s="165" t="s">
        <v>24</v>
      </c>
      <c r="D44" s="165" t="s">
        <v>73</v>
      </c>
      <c r="E44" s="165" t="s">
        <v>12</v>
      </c>
      <c r="F44" s="167">
        <f>'PLANILHA ORCAMENTARIA'!G58</f>
        <v>6</v>
      </c>
      <c r="G44" s="167">
        <f>_xlfn.XLOOKUP(A44,COMP_GERAL!$F$11:$F$248,COMP_GERAL!$G$11:$G$248)</f>
        <v>103.15</v>
      </c>
      <c r="H44" s="167">
        <f t="shared" ref="H44:H63" si="5">TRUNC(G44*(IF(D44="Serviço",1+$K$6,1+$K$7)),2)</f>
        <v>127.42</v>
      </c>
      <c r="I44" s="167">
        <f t="shared" ref="I44:I63" si="6">TRUNC(F44*H44,2)</f>
        <v>764.52</v>
      </c>
      <c r="J44" s="168">
        <f t="shared" si="2"/>
        <v>4.9604685331615806E-4</v>
      </c>
      <c r="K44" s="168">
        <f t="shared" si="4"/>
        <v>0.99455682464818973</v>
      </c>
      <c r="L44" s="165" t="str">
        <f t="shared" si="3"/>
        <v>C</v>
      </c>
    </row>
    <row r="45" spans="1:12" ht="21.75" customHeight="1">
      <c r="A45" s="558" t="s">
        <v>853</v>
      </c>
      <c r="B45" s="515" t="s">
        <v>854</v>
      </c>
      <c r="C45" s="555" t="s">
        <v>127</v>
      </c>
      <c r="D45" s="555" t="s">
        <v>73</v>
      </c>
      <c r="E45" s="555" t="s">
        <v>40</v>
      </c>
      <c r="F45" s="171">
        <f>QUANT!G64</f>
        <v>9.7999999999999989</v>
      </c>
      <c r="G45" s="171">
        <f>_xlfn.XLOOKUP(A45,COMP_GERAL!$F$11:$F$248,COMP_GERAL!$G$11:$G$248)</f>
        <v>60.78</v>
      </c>
      <c r="H45" s="171">
        <f t="shared" si="5"/>
        <v>75.08</v>
      </c>
      <c r="I45" s="171">
        <f t="shared" si="6"/>
        <v>735.78</v>
      </c>
      <c r="J45" s="168">
        <f t="shared" si="2"/>
        <v>4.7739935349364667E-4</v>
      </c>
      <c r="K45" s="168">
        <f t="shared" si="4"/>
        <v>0.9950342240016834</v>
      </c>
      <c r="L45" s="165" t="str">
        <f t="shared" si="3"/>
        <v>C</v>
      </c>
    </row>
    <row r="46" spans="1:12" ht="21.75" customHeight="1">
      <c r="A46" s="165">
        <v>95728</v>
      </c>
      <c r="B46" s="166" t="s">
        <v>538</v>
      </c>
      <c r="C46" s="165" t="s">
        <v>24</v>
      </c>
      <c r="D46" s="165" t="s">
        <v>73</v>
      </c>
      <c r="E46" s="165" t="s">
        <v>49</v>
      </c>
      <c r="F46" s="167">
        <f>'PLANILHA ORCAMENTARIA'!G63</f>
        <v>22.45</v>
      </c>
      <c r="G46" s="167">
        <f>_xlfn.XLOOKUP(A46,COMP_GERAL!$F$11:$F$248,COMP_GERAL!$G$11:$G$248)</f>
        <v>24.479999999999997</v>
      </c>
      <c r="H46" s="167">
        <f t="shared" si="5"/>
        <v>30.24</v>
      </c>
      <c r="I46" s="167">
        <f t="shared" si="6"/>
        <v>678.88</v>
      </c>
      <c r="J46" s="168">
        <f t="shared" ref="J46:J63" si="7">I46/SUM($I$12:$I$63)</f>
        <v>4.404806777838034E-4</v>
      </c>
      <c r="K46" s="168">
        <f t="shared" si="4"/>
        <v>0.99547470467946719</v>
      </c>
      <c r="L46" s="165" t="str">
        <f t="shared" si="3"/>
        <v>C</v>
      </c>
    </row>
    <row r="47" spans="1:12" ht="21.75" customHeight="1">
      <c r="A47" s="165">
        <v>95728</v>
      </c>
      <c r="B47" s="166" t="s">
        <v>537</v>
      </c>
      <c r="C47" s="165" t="s">
        <v>24</v>
      </c>
      <c r="D47" s="165" t="s">
        <v>73</v>
      </c>
      <c r="E47" s="165" t="s">
        <v>49</v>
      </c>
      <c r="F47" s="167">
        <f>'PLANILHA ORCAMENTARIA'!G61</f>
        <v>22.45</v>
      </c>
      <c r="G47" s="167">
        <f>_xlfn.XLOOKUP(A47,COMP_GERAL!$F$11:$F$248,COMP_GERAL!$G$11:$G$248)</f>
        <v>24.479999999999997</v>
      </c>
      <c r="H47" s="167">
        <f t="shared" si="5"/>
        <v>30.24</v>
      </c>
      <c r="I47" s="167">
        <f t="shared" si="6"/>
        <v>678.88</v>
      </c>
      <c r="J47" s="168">
        <f t="shared" si="7"/>
        <v>4.404806777838034E-4</v>
      </c>
      <c r="K47" s="168">
        <f t="shared" si="4"/>
        <v>0.99591518535725099</v>
      </c>
      <c r="L47" s="165" t="str">
        <f t="shared" si="3"/>
        <v>C</v>
      </c>
    </row>
    <row r="48" spans="1:12" ht="21.75" customHeight="1">
      <c r="A48" s="165">
        <v>95728</v>
      </c>
      <c r="B48" s="166" t="s">
        <v>589</v>
      </c>
      <c r="C48" s="165" t="s">
        <v>24</v>
      </c>
      <c r="D48" s="165" t="s">
        <v>73</v>
      </c>
      <c r="E48" s="165" t="s">
        <v>49</v>
      </c>
      <c r="F48" s="167">
        <f>'PLANILHA ORCAMENTARIA'!G62</f>
        <v>22.45</v>
      </c>
      <c r="G48" s="167">
        <f>_xlfn.XLOOKUP(A48,COMP_GERAL!$F$11:$F$248,COMP_GERAL!$G$11:$G$248)</f>
        <v>24.479999999999997</v>
      </c>
      <c r="H48" s="167">
        <f t="shared" si="5"/>
        <v>30.24</v>
      </c>
      <c r="I48" s="167">
        <f t="shared" si="6"/>
        <v>678.88</v>
      </c>
      <c r="J48" s="168">
        <f t="shared" si="7"/>
        <v>4.404806777838034E-4</v>
      </c>
      <c r="K48" s="168">
        <f t="shared" si="4"/>
        <v>0.99635566603503478</v>
      </c>
      <c r="L48" s="165" t="str">
        <f t="shared" si="3"/>
        <v>C</v>
      </c>
    </row>
    <row r="49" spans="1:12" ht="21.75" customHeight="1">
      <c r="A49" s="165">
        <v>91927</v>
      </c>
      <c r="B49" s="166" t="s">
        <v>549</v>
      </c>
      <c r="C49" s="165" t="s">
        <v>24</v>
      </c>
      <c r="D49" s="165" t="s">
        <v>73</v>
      </c>
      <c r="E49" s="165" t="s">
        <v>49</v>
      </c>
      <c r="F49" s="167">
        <f>'PLANILHA ORCAMENTARIA'!G72</f>
        <v>86.1</v>
      </c>
      <c r="G49" s="167">
        <f>_xlfn.XLOOKUP(A49,COMP_GERAL!$F$11:$F$248,COMP_GERAL!$G$11:$G$248)</f>
        <v>5.25</v>
      </c>
      <c r="H49" s="167">
        <f t="shared" si="5"/>
        <v>6.48</v>
      </c>
      <c r="I49" s="167">
        <f t="shared" si="6"/>
        <v>557.91999999999996</v>
      </c>
      <c r="J49" s="168">
        <f t="shared" si="7"/>
        <v>3.6199767226776394E-4</v>
      </c>
      <c r="K49" s="168">
        <f t="shared" si="4"/>
        <v>0.99671766370730253</v>
      </c>
      <c r="L49" s="165" t="str">
        <f t="shared" si="3"/>
        <v>C</v>
      </c>
    </row>
    <row r="50" spans="1:12" ht="21.75" customHeight="1">
      <c r="A50" s="165">
        <v>99814</v>
      </c>
      <c r="B50" s="166" t="s">
        <v>568</v>
      </c>
      <c r="C50" s="165" t="s">
        <v>24</v>
      </c>
      <c r="D50" s="165" t="s">
        <v>73</v>
      </c>
      <c r="E50" s="165" t="s">
        <v>32</v>
      </c>
      <c r="F50" s="167">
        <f>'PLANILHA ORCAMENTARIA'!G31</f>
        <v>226.47040000000001</v>
      </c>
      <c r="G50" s="167">
        <f>_xlfn.XLOOKUP(A50,COMP_GERAL!$F$11:$F$248,COMP_GERAL!$G$11:$G$248)</f>
        <v>1.85</v>
      </c>
      <c r="H50" s="167">
        <f t="shared" si="5"/>
        <v>2.2799999999999998</v>
      </c>
      <c r="I50" s="167">
        <f t="shared" si="6"/>
        <v>516.35</v>
      </c>
      <c r="J50" s="168">
        <f t="shared" si="7"/>
        <v>3.3502562746533541E-4</v>
      </c>
      <c r="K50" s="168">
        <f t="shared" si="4"/>
        <v>0.99705268933476787</v>
      </c>
      <c r="L50" s="165" t="str">
        <f t="shared" si="3"/>
        <v>C</v>
      </c>
    </row>
    <row r="51" spans="1:12" ht="21.75" customHeight="1">
      <c r="A51" s="165">
        <v>91927</v>
      </c>
      <c r="B51" s="166" t="s">
        <v>547</v>
      </c>
      <c r="C51" s="165" t="s">
        <v>24</v>
      </c>
      <c r="D51" s="165" t="s">
        <v>73</v>
      </c>
      <c r="E51" s="165" t="s">
        <v>49</v>
      </c>
      <c r="F51" s="167">
        <f>'PLANILHA ORCAMENTARIA'!G70</f>
        <v>68.25</v>
      </c>
      <c r="G51" s="167">
        <f>_xlfn.XLOOKUP(A51,COMP_GERAL!$F$11:$F$248,COMP_GERAL!$G$11:$G$248)</f>
        <v>5.25</v>
      </c>
      <c r="H51" s="167">
        <f t="shared" si="5"/>
        <v>6.48</v>
      </c>
      <c r="I51" s="167">
        <f t="shared" si="6"/>
        <v>442.26</v>
      </c>
      <c r="J51" s="168">
        <f t="shared" si="7"/>
        <v>2.8695348891801919E-4</v>
      </c>
      <c r="K51" s="168">
        <f t="shared" si="4"/>
        <v>0.99733964282368592</v>
      </c>
      <c r="L51" s="165" t="str">
        <f t="shared" si="3"/>
        <v>C</v>
      </c>
    </row>
    <row r="52" spans="1:12" ht="21.75" customHeight="1">
      <c r="A52" s="165">
        <v>91927</v>
      </c>
      <c r="B52" s="166" t="s">
        <v>546</v>
      </c>
      <c r="C52" s="165" t="s">
        <v>24</v>
      </c>
      <c r="D52" s="165" t="s">
        <v>73</v>
      </c>
      <c r="E52" s="165" t="s">
        <v>49</v>
      </c>
      <c r="F52" s="167">
        <f>'PLANILHA ORCAMENTARIA'!G69</f>
        <v>68.25</v>
      </c>
      <c r="G52" s="167">
        <f>_xlfn.XLOOKUP(A52,COMP_GERAL!$F$11:$F$248,COMP_GERAL!$G$11:$G$248)</f>
        <v>5.25</v>
      </c>
      <c r="H52" s="167">
        <f t="shared" si="5"/>
        <v>6.48</v>
      </c>
      <c r="I52" s="167">
        <f t="shared" si="6"/>
        <v>442.26</v>
      </c>
      <c r="J52" s="168">
        <f t="shared" si="7"/>
        <v>2.8695348891801919E-4</v>
      </c>
      <c r="K52" s="168">
        <f t="shared" si="4"/>
        <v>0.99762659631260397</v>
      </c>
      <c r="L52" s="165" t="str">
        <f t="shared" si="3"/>
        <v>C</v>
      </c>
    </row>
    <row r="53" spans="1:12" ht="21.75" customHeight="1">
      <c r="A53" s="165">
        <v>91927</v>
      </c>
      <c r="B53" s="166" t="s">
        <v>548</v>
      </c>
      <c r="C53" s="165" t="s">
        <v>24</v>
      </c>
      <c r="D53" s="165" t="s">
        <v>73</v>
      </c>
      <c r="E53" s="165" t="s">
        <v>49</v>
      </c>
      <c r="F53" s="167">
        <f>'PLANILHA ORCAMENTARIA'!G71</f>
        <v>68.25</v>
      </c>
      <c r="G53" s="167">
        <f>_xlfn.XLOOKUP(A53,COMP_GERAL!$F$11:$F$248,COMP_GERAL!$G$11:$G$248)</f>
        <v>5.25</v>
      </c>
      <c r="H53" s="167">
        <f t="shared" si="5"/>
        <v>6.48</v>
      </c>
      <c r="I53" s="167">
        <f t="shared" si="6"/>
        <v>442.26</v>
      </c>
      <c r="J53" s="168">
        <f t="shared" si="7"/>
        <v>2.8695348891801919E-4</v>
      </c>
      <c r="K53" s="168">
        <f t="shared" si="4"/>
        <v>0.99791354980152203</v>
      </c>
      <c r="L53" s="165" t="str">
        <f t="shared" si="3"/>
        <v>C</v>
      </c>
    </row>
    <row r="54" spans="1:12" ht="21.75" customHeight="1">
      <c r="A54" s="165">
        <v>99814</v>
      </c>
      <c r="B54" s="166" t="s">
        <v>567</v>
      </c>
      <c r="C54" s="165" t="s">
        <v>24</v>
      </c>
      <c r="D54" s="165" t="s">
        <v>73</v>
      </c>
      <c r="E54" s="165" t="s">
        <v>32</v>
      </c>
      <c r="F54" s="167">
        <f>'PLANILHA ORCAMENTARIA'!G30</f>
        <v>184.99199999999996</v>
      </c>
      <c r="G54" s="167">
        <f>_xlfn.XLOOKUP(A54,COMP_GERAL!$F$11:$F$248,COMP_GERAL!$G$11:$G$248)</f>
        <v>1.85</v>
      </c>
      <c r="H54" s="167">
        <f t="shared" si="5"/>
        <v>2.2799999999999998</v>
      </c>
      <c r="I54" s="167">
        <f t="shared" si="6"/>
        <v>421.78</v>
      </c>
      <c r="J54" s="168">
        <f t="shared" si="7"/>
        <v>2.7366536099995961E-4</v>
      </c>
      <c r="K54" s="168">
        <f t="shared" si="4"/>
        <v>0.99818721516252196</v>
      </c>
      <c r="L54" s="165" t="str">
        <f t="shared" si="3"/>
        <v>C</v>
      </c>
    </row>
    <row r="55" spans="1:12" ht="21.75" customHeight="1">
      <c r="A55" s="165">
        <v>99814</v>
      </c>
      <c r="B55" s="166" t="s">
        <v>566</v>
      </c>
      <c r="C55" s="165" t="s">
        <v>24</v>
      </c>
      <c r="D55" s="165" t="s">
        <v>73</v>
      </c>
      <c r="E55" s="165" t="s">
        <v>32</v>
      </c>
      <c r="F55" s="167">
        <f>'PLANILHA ORCAMENTARIA'!G29</f>
        <v>184.99199999999996</v>
      </c>
      <c r="G55" s="167">
        <f>_xlfn.XLOOKUP(A55,COMP_GERAL!$F$11:$F$248,COMP_GERAL!$G$11:$G$248)</f>
        <v>1.85</v>
      </c>
      <c r="H55" s="167">
        <f t="shared" si="5"/>
        <v>2.2799999999999998</v>
      </c>
      <c r="I55" s="167">
        <f t="shared" si="6"/>
        <v>421.78</v>
      </c>
      <c r="J55" s="168">
        <f t="shared" si="7"/>
        <v>2.7366536099995961E-4</v>
      </c>
      <c r="K55" s="168">
        <f t="shared" si="4"/>
        <v>0.99846088052352189</v>
      </c>
      <c r="L55" s="165" t="str">
        <f t="shared" si="3"/>
        <v>C</v>
      </c>
    </row>
    <row r="56" spans="1:12" ht="21.75" customHeight="1">
      <c r="A56" s="165">
        <v>99814</v>
      </c>
      <c r="B56" s="166" t="s">
        <v>565</v>
      </c>
      <c r="C56" s="165" t="s">
        <v>24</v>
      </c>
      <c r="D56" s="165" t="s">
        <v>73</v>
      </c>
      <c r="E56" s="165" t="s">
        <v>32</v>
      </c>
      <c r="F56" s="167">
        <f>'PLANILHA ORCAMENTARIA'!G28</f>
        <v>184.99199999999996</v>
      </c>
      <c r="G56" s="167">
        <f>_xlfn.XLOOKUP(A56,COMP_GERAL!$F$11:$F$248,COMP_GERAL!$G$11:$G$248)</f>
        <v>1.85</v>
      </c>
      <c r="H56" s="167">
        <f t="shared" si="5"/>
        <v>2.2799999999999998</v>
      </c>
      <c r="I56" s="167">
        <f t="shared" si="6"/>
        <v>421.78</v>
      </c>
      <c r="J56" s="168">
        <f t="shared" si="7"/>
        <v>2.7366536099995961E-4</v>
      </c>
      <c r="K56" s="168">
        <f t="shared" si="4"/>
        <v>0.99873454588452182</v>
      </c>
      <c r="L56" s="165" t="str">
        <f t="shared" si="3"/>
        <v>C</v>
      </c>
    </row>
    <row r="57" spans="1:12" ht="21.75" customHeight="1">
      <c r="A57" s="165">
        <v>93669</v>
      </c>
      <c r="B57" s="166" t="s">
        <v>530</v>
      </c>
      <c r="C57" s="165" t="s">
        <v>24</v>
      </c>
      <c r="D57" s="165" t="s">
        <v>73</v>
      </c>
      <c r="E57" s="165" t="s">
        <v>12</v>
      </c>
      <c r="F57" s="167">
        <f>SUMIF('PLANILHA ORCAMENTARIA'!$B$11:$B$72,A57,'PLANILHA ORCAMENTARIA'!$G$11:$G$72)</f>
        <v>4</v>
      </c>
      <c r="G57" s="167">
        <f>_xlfn.XLOOKUP(A57,COMP_GERAL!$F$11:$F$248,COMP_GERAL!$G$11:$G$248)</f>
        <v>67.489999999999995</v>
      </c>
      <c r="H57" s="167">
        <f t="shared" si="5"/>
        <v>83.37</v>
      </c>
      <c r="I57" s="167">
        <f t="shared" si="6"/>
        <v>333.48</v>
      </c>
      <c r="J57" s="168">
        <f t="shared" si="7"/>
        <v>2.1637328604074766E-4</v>
      </c>
      <c r="K57" s="168">
        <f t="shared" si="4"/>
        <v>0.99895091917056256</v>
      </c>
      <c r="L57" s="165" t="str">
        <f t="shared" si="3"/>
        <v>C</v>
      </c>
    </row>
    <row r="58" spans="1:12" ht="21.75" customHeight="1">
      <c r="A58" s="165" t="s">
        <v>18</v>
      </c>
      <c r="B58" s="166" t="s">
        <v>19</v>
      </c>
      <c r="C58" s="165" t="s">
        <v>127</v>
      </c>
      <c r="D58" s="165" t="s">
        <v>73</v>
      </c>
      <c r="E58" s="165" t="s">
        <v>12</v>
      </c>
      <c r="F58" s="167">
        <f>SUMIF('PLANILHA ORCAMENTARIA'!$B$11:$B$72,A58,'PLANILHA ORCAMENTARIA'!$G$11:$G$72)</f>
        <v>1</v>
      </c>
      <c r="G58" s="167">
        <f>_xlfn.XLOOKUP(A58,COMP_GERAL!$F$11:$F$248,COMP_GERAL!$G$11:$G$248)</f>
        <v>262.55</v>
      </c>
      <c r="H58" s="167">
        <f t="shared" si="5"/>
        <v>324.32</v>
      </c>
      <c r="I58" s="167">
        <f t="shared" si="6"/>
        <v>324.32</v>
      </c>
      <c r="J58" s="168">
        <f t="shared" si="7"/>
        <v>2.1042996320239676E-4</v>
      </c>
      <c r="K58" s="168">
        <f t="shared" si="4"/>
        <v>0.99916134913376498</v>
      </c>
      <c r="L58" s="165" t="str">
        <f t="shared" si="3"/>
        <v>C</v>
      </c>
    </row>
    <row r="59" spans="1:12" ht="21.75" customHeight="1">
      <c r="A59" s="165">
        <v>105115</v>
      </c>
      <c r="B59" s="166" t="s">
        <v>23</v>
      </c>
      <c r="C59" s="165" t="s">
        <v>24</v>
      </c>
      <c r="D59" s="165" t="s">
        <v>73</v>
      </c>
      <c r="E59" s="165" t="s">
        <v>12</v>
      </c>
      <c r="F59" s="167">
        <f>SUMIF('PLANILHA ORCAMENTARIA'!$B$11:$B$72,A59,'PLANILHA ORCAMENTARIA'!$G$11:$G$72)</f>
        <v>2</v>
      </c>
      <c r="G59" s="167">
        <f>_xlfn.XLOOKUP(A59,COMP_GERAL!$F$11:$F$248,COMP_GERAL!$G$11:$G$248)</f>
        <v>121.25999999999999</v>
      </c>
      <c r="H59" s="167">
        <f t="shared" si="5"/>
        <v>149.79</v>
      </c>
      <c r="I59" s="167">
        <f t="shared" si="6"/>
        <v>299.58</v>
      </c>
      <c r="J59" s="168">
        <f t="shared" si="7"/>
        <v>1.9437780086388142E-4</v>
      </c>
      <c r="K59" s="168">
        <f t="shared" si="4"/>
        <v>0.99935572693462882</v>
      </c>
      <c r="L59" s="165" t="str">
        <f t="shared" si="3"/>
        <v>C</v>
      </c>
    </row>
    <row r="60" spans="1:12" ht="21.75" customHeight="1">
      <c r="A60" s="165">
        <v>104403</v>
      </c>
      <c r="B60" s="166" t="s">
        <v>544</v>
      </c>
      <c r="C60" s="165" t="s">
        <v>24</v>
      </c>
      <c r="D60" s="165" t="s">
        <v>73</v>
      </c>
      <c r="E60" s="165" t="s">
        <v>12</v>
      </c>
      <c r="F60" s="167">
        <f>'PLANILHA ORCAMENTARIA'!G68</f>
        <v>9</v>
      </c>
      <c r="G60" s="167">
        <f>_xlfn.XLOOKUP(A60,COMP_GERAL!$F$11:$F$248,COMP_GERAL!$G$11:$G$248)</f>
        <v>24.36</v>
      </c>
      <c r="H60" s="167">
        <f t="shared" si="5"/>
        <v>30.09</v>
      </c>
      <c r="I60" s="167">
        <f t="shared" si="6"/>
        <v>270.81</v>
      </c>
      <c r="J60" s="168">
        <f t="shared" si="7"/>
        <v>1.757108360102401E-4</v>
      </c>
      <c r="K60" s="168">
        <f t="shared" si="4"/>
        <v>0.99953143777063902</v>
      </c>
      <c r="L60" s="165" t="str">
        <f t="shared" si="3"/>
        <v>C</v>
      </c>
    </row>
    <row r="61" spans="1:12" ht="21.75" customHeight="1">
      <c r="A61" s="165">
        <v>104403</v>
      </c>
      <c r="B61" s="166" t="s">
        <v>542</v>
      </c>
      <c r="C61" s="165" t="s">
        <v>24</v>
      </c>
      <c r="D61" s="165" t="s">
        <v>73</v>
      </c>
      <c r="E61" s="165" t="s">
        <v>12</v>
      </c>
      <c r="F61" s="167">
        <f>'PLANILHA ORCAMENTARIA'!G66</f>
        <v>8</v>
      </c>
      <c r="G61" s="167">
        <f>_xlfn.XLOOKUP(A61,COMP_GERAL!$F$11:$F$248,COMP_GERAL!$G$11:$G$248)</f>
        <v>24.36</v>
      </c>
      <c r="H61" s="167">
        <f t="shared" si="5"/>
        <v>30.09</v>
      </c>
      <c r="I61" s="167">
        <f t="shared" si="6"/>
        <v>240.72</v>
      </c>
      <c r="J61" s="168">
        <f t="shared" si="7"/>
        <v>1.5618740978688009E-4</v>
      </c>
      <c r="K61" s="168">
        <f t="shared" si="4"/>
        <v>0.99968762518042587</v>
      </c>
      <c r="L61" s="165" t="str">
        <f t="shared" si="3"/>
        <v>C</v>
      </c>
    </row>
    <row r="62" spans="1:12" ht="20">
      <c r="A62" s="165">
        <v>104403</v>
      </c>
      <c r="B62" s="166" t="s">
        <v>543</v>
      </c>
      <c r="C62" s="165" t="s">
        <v>24</v>
      </c>
      <c r="D62" s="165" t="s">
        <v>73</v>
      </c>
      <c r="E62" s="165" t="s">
        <v>12</v>
      </c>
      <c r="F62" s="167">
        <f>'PLANILHA ORCAMENTARIA'!G67</f>
        <v>8</v>
      </c>
      <c r="G62" s="167">
        <f>_xlfn.XLOOKUP(A62,COMP_GERAL!$F$11:$F$248,COMP_GERAL!$G$11:$G$248)</f>
        <v>24.36</v>
      </c>
      <c r="H62" s="167">
        <f t="shared" si="5"/>
        <v>30.09</v>
      </c>
      <c r="I62" s="167">
        <f t="shared" si="6"/>
        <v>240.72</v>
      </c>
      <c r="J62" s="556">
        <f t="shared" si="7"/>
        <v>1.5618740978688009E-4</v>
      </c>
      <c r="K62" s="556">
        <f t="shared" si="4"/>
        <v>0.99984381259021271</v>
      </c>
      <c r="L62" s="555" t="str">
        <f t="shared" si="3"/>
        <v>C</v>
      </c>
    </row>
    <row r="63" spans="1:12" ht="20">
      <c r="A63" s="165">
        <v>104403</v>
      </c>
      <c r="B63" s="166" t="s">
        <v>541</v>
      </c>
      <c r="C63" s="165" t="s">
        <v>24</v>
      </c>
      <c r="D63" s="165" t="s">
        <v>73</v>
      </c>
      <c r="E63" s="165" t="s">
        <v>12</v>
      </c>
      <c r="F63" s="167">
        <f>'PLANILHA ORCAMENTARIA'!G65</f>
        <v>8</v>
      </c>
      <c r="G63" s="167">
        <f>_xlfn.XLOOKUP(A63,COMP_GERAL!$F$11:$F$248,COMP_GERAL!$G$11:$G$248)</f>
        <v>24.36</v>
      </c>
      <c r="H63" s="167">
        <f t="shared" si="5"/>
        <v>30.09</v>
      </c>
      <c r="I63" s="167">
        <f t="shared" si="6"/>
        <v>240.72</v>
      </c>
      <c r="J63" s="556">
        <f t="shared" si="7"/>
        <v>1.5618740978688009E-4</v>
      </c>
      <c r="K63" s="556">
        <f t="shared" si="4"/>
        <v>0.99999999999999956</v>
      </c>
      <c r="L63" s="555" t="str">
        <f t="shared" si="3"/>
        <v>C</v>
      </c>
    </row>
    <row r="64" spans="1:12">
      <c r="K64" s="168"/>
    </row>
    <row r="71" spans="1:11">
      <c r="A71" s="165"/>
      <c r="B71" s="170"/>
      <c r="C71" s="165"/>
      <c r="D71" s="165"/>
      <c r="E71" s="165"/>
      <c r="F71" s="167"/>
      <c r="G71" s="171"/>
      <c r="H71" s="167"/>
      <c r="I71" s="172"/>
      <c r="J71" s="27"/>
      <c r="K71" s="27"/>
    </row>
    <row r="72" spans="1:11" ht="10.5">
      <c r="A72" s="173"/>
      <c r="B72" s="174"/>
      <c r="C72" s="174"/>
      <c r="D72" s="174"/>
      <c r="E72" s="174"/>
      <c r="F72" s="175"/>
      <c r="G72" s="176"/>
      <c r="H72" s="176"/>
      <c r="I72" s="177"/>
      <c r="J72" s="27"/>
      <c r="K72" s="27"/>
    </row>
    <row r="73" spans="1:11" ht="10.5">
      <c r="A73" s="178"/>
      <c r="B73" s="179"/>
      <c r="C73" s="179"/>
      <c r="D73" s="179"/>
      <c r="E73" s="179"/>
      <c r="F73" s="180"/>
      <c r="G73" s="181"/>
      <c r="H73" s="182"/>
      <c r="I73" s="71"/>
      <c r="J73" s="27"/>
      <c r="K73" s="27"/>
    </row>
    <row r="74" spans="1:11">
      <c r="A74" s="183"/>
      <c r="B74" s="184"/>
      <c r="C74" s="183"/>
      <c r="D74" s="183"/>
      <c r="E74" s="183"/>
      <c r="F74" s="182"/>
      <c r="G74" s="181"/>
      <c r="H74" s="182"/>
      <c r="I74" s="185"/>
      <c r="J74" s="27"/>
      <c r="K74" s="27"/>
    </row>
    <row r="75" spans="1:11" ht="10.5">
      <c r="A75" s="186"/>
      <c r="B75" s="187"/>
      <c r="C75" s="187"/>
      <c r="D75" s="187"/>
      <c r="E75" s="187"/>
      <c r="F75" s="188"/>
      <c r="G75" s="189"/>
      <c r="H75" s="190"/>
      <c r="I75" s="191"/>
      <c r="J75" s="27"/>
      <c r="K75" s="27"/>
    </row>
    <row r="76" spans="1:11">
      <c r="A76" s="183"/>
      <c r="B76" s="184"/>
      <c r="C76" s="183"/>
      <c r="D76" s="183"/>
      <c r="E76" s="183"/>
      <c r="F76" s="182"/>
      <c r="G76" s="181"/>
      <c r="H76" s="182"/>
      <c r="I76" s="185"/>
      <c r="J76" s="27"/>
      <c r="K76" s="27"/>
    </row>
    <row r="77" spans="1:11">
      <c r="A77" s="183"/>
      <c r="B77" s="184"/>
      <c r="C77" s="183"/>
      <c r="D77" s="183"/>
      <c r="E77" s="183"/>
      <c r="F77" s="182"/>
      <c r="G77" s="181"/>
      <c r="H77" s="182"/>
      <c r="I77" s="185"/>
      <c r="J77" s="27"/>
      <c r="K77" s="27"/>
    </row>
    <row r="78" spans="1:11">
      <c r="A78" s="183"/>
      <c r="B78" s="184"/>
      <c r="C78" s="183"/>
      <c r="D78" s="183"/>
      <c r="E78" s="183"/>
      <c r="F78" s="182"/>
      <c r="G78" s="181"/>
      <c r="H78" s="182"/>
      <c r="I78" s="185"/>
      <c r="J78" s="27"/>
      <c r="K78" s="27"/>
    </row>
    <row r="79" spans="1:11">
      <c r="A79" s="183"/>
      <c r="B79" s="184"/>
      <c r="C79" s="183"/>
      <c r="D79" s="183"/>
      <c r="E79" s="183"/>
      <c r="F79" s="182"/>
      <c r="G79" s="181"/>
      <c r="H79" s="182"/>
      <c r="I79" s="185"/>
      <c r="J79" s="27"/>
      <c r="K79" s="27"/>
    </row>
    <row r="80" spans="1:11">
      <c r="A80" s="183"/>
      <c r="B80" s="184"/>
      <c r="C80" s="183"/>
      <c r="D80" s="183"/>
      <c r="E80" s="183"/>
      <c r="F80" s="182"/>
      <c r="G80" s="181"/>
      <c r="H80" s="182"/>
      <c r="I80" s="185"/>
      <c r="J80" s="27"/>
      <c r="K80" s="27"/>
    </row>
    <row r="81" spans="1:11" ht="10.5">
      <c r="A81" s="173"/>
      <c r="B81" s="174"/>
      <c r="C81" s="174"/>
      <c r="D81" s="174"/>
      <c r="E81" s="174"/>
      <c r="F81" s="192"/>
      <c r="G81" s="176"/>
      <c r="H81" s="176"/>
      <c r="I81" s="177"/>
      <c r="J81" s="27"/>
      <c r="K81" s="27"/>
    </row>
    <row r="82" spans="1:11">
      <c r="A82" s="183"/>
      <c r="B82" s="184"/>
      <c r="C82" s="183"/>
      <c r="D82" s="183"/>
      <c r="E82" s="183"/>
      <c r="F82" s="182"/>
      <c r="G82" s="181"/>
      <c r="H82" s="182"/>
      <c r="I82" s="185"/>
      <c r="J82" s="27"/>
      <c r="K82" s="27"/>
    </row>
    <row r="83" spans="1:11">
      <c r="A83" s="183"/>
      <c r="B83" s="184"/>
      <c r="C83" s="183"/>
      <c r="D83" s="183"/>
      <c r="E83" s="183"/>
      <c r="F83" s="182"/>
      <c r="G83" s="181"/>
      <c r="H83" s="182"/>
      <c r="I83" s="185"/>
      <c r="J83" s="27"/>
      <c r="K83" s="27"/>
    </row>
    <row r="84" spans="1:11">
      <c r="A84" s="183"/>
      <c r="B84" s="184"/>
      <c r="C84" s="183"/>
      <c r="D84" s="183"/>
      <c r="E84" s="183"/>
      <c r="F84" s="182"/>
      <c r="G84" s="181"/>
      <c r="H84" s="182"/>
      <c r="I84" s="185"/>
      <c r="J84" s="27"/>
      <c r="K84" s="27"/>
    </row>
    <row r="85" spans="1:11">
      <c r="A85" s="183"/>
      <c r="B85" s="184"/>
      <c r="C85" s="183"/>
      <c r="D85" s="183"/>
      <c r="E85" s="183"/>
      <c r="F85" s="182"/>
      <c r="G85" s="181"/>
      <c r="H85" s="182"/>
      <c r="I85" s="185"/>
      <c r="J85" s="27"/>
      <c r="K85" s="27"/>
    </row>
    <row r="86" spans="1:11">
      <c r="A86" s="183"/>
      <c r="B86" s="184"/>
      <c r="C86" s="183"/>
      <c r="D86" s="183"/>
      <c r="E86" s="183"/>
      <c r="F86" s="182"/>
      <c r="G86" s="181"/>
      <c r="H86" s="182"/>
      <c r="I86" s="185"/>
      <c r="J86" s="27"/>
      <c r="K86" s="27"/>
    </row>
    <row r="87" spans="1:11">
      <c r="A87" s="183"/>
      <c r="B87" s="184"/>
      <c r="C87" s="183"/>
      <c r="D87" s="183"/>
      <c r="E87" s="183"/>
      <c r="F87" s="182"/>
      <c r="G87" s="181"/>
      <c r="H87" s="182"/>
      <c r="I87" s="185"/>
      <c r="J87" s="27"/>
      <c r="K87" s="27"/>
    </row>
    <row r="88" spans="1:11">
      <c r="A88" s="183"/>
      <c r="B88" s="184"/>
      <c r="C88" s="183"/>
      <c r="D88" s="183"/>
      <c r="E88" s="183"/>
      <c r="F88" s="182"/>
      <c r="G88" s="181"/>
      <c r="H88" s="182"/>
      <c r="I88" s="185"/>
      <c r="J88" s="27"/>
      <c r="K88" s="27"/>
    </row>
    <row r="89" spans="1:11">
      <c r="A89" s="183"/>
      <c r="B89" s="184"/>
      <c r="C89" s="183"/>
      <c r="D89" s="183"/>
      <c r="E89" s="183"/>
      <c r="F89" s="182"/>
      <c r="G89" s="181"/>
      <c r="H89" s="182"/>
      <c r="I89" s="185"/>
      <c r="J89" s="27"/>
      <c r="K89" s="27"/>
    </row>
    <row r="90" spans="1:11" ht="10.5">
      <c r="A90" s="173"/>
      <c r="B90" s="174"/>
      <c r="C90" s="174"/>
      <c r="D90" s="174"/>
      <c r="E90" s="174"/>
      <c r="F90" s="192"/>
      <c r="G90" s="176"/>
      <c r="H90" s="176"/>
      <c r="I90" s="177"/>
      <c r="J90" s="27"/>
      <c r="K90" s="27"/>
    </row>
    <row r="91" spans="1:11">
      <c r="A91" s="183"/>
      <c r="B91" s="184"/>
      <c r="C91" s="183"/>
      <c r="D91" s="183"/>
      <c r="E91" s="183"/>
      <c r="F91" s="182"/>
      <c r="G91" s="181"/>
      <c r="H91" s="182"/>
      <c r="I91" s="185"/>
      <c r="J91" s="27"/>
      <c r="K91" s="27"/>
    </row>
    <row r="92" spans="1:11">
      <c r="A92" s="183"/>
      <c r="B92" s="184"/>
      <c r="C92" s="183"/>
      <c r="D92" s="183"/>
      <c r="E92" s="183"/>
      <c r="F92" s="182"/>
      <c r="G92" s="181"/>
      <c r="H92" s="182"/>
      <c r="I92" s="185"/>
      <c r="J92" s="27"/>
      <c r="K92" s="27"/>
    </row>
    <row r="93" spans="1:11">
      <c r="A93" s="183"/>
      <c r="B93" s="184"/>
      <c r="C93" s="183"/>
      <c r="D93" s="183"/>
      <c r="E93" s="183"/>
      <c r="F93" s="182"/>
      <c r="G93" s="181"/>
      <c r="H93" s="182"/>
      <c r="I93" s="185"/>
      <c r="J93" s="27"/>
      <c r="K93" s="27"/>
    </row>
    <row r="94" spans="1:11">
      <c r="A94" s="183"/>
      <c r="B94" s="184"/>
      <c r="C94" s="183"/>
      <c r="D94" s="183"/>
      <c r="E94" s="183"/>
      <c r="F94" s="182"/>
      <c r="G94" s="181"/>
      <c r="H94" s="182"/>
      <c r="I94" s="185"/>
      <c r="J94" s="27"/>
      <c r="K94" s="27"/>
    </row>
    <row r="95" spans="1:11">
      <c r="A95" s="183"/>
      <c r="B95" s="184"/>
      <c r="C95" s="183"/>
      <c r="D95" s="183"/>
      <c r="E95" s="183"/>
      <c r="F95" s="182"/>
      <c r="G95" s="181"/>
      <c r="H95" s="182"/>
      <c r="I95" s="185"/>
      <c r="J95" s="27"/>
      <c r="K95" s="27"/>
    </row>
    <row r="96" spans="1:11">
      <c r="A96" s="183"/>
      <c r="B96" s="184"/>
      <c r="C96" s="183"/>
      <c r="D96" s="183"/>
      <c r="E96" s="183"/>
      <c r="F96" s="182"/>
      <c r="G96" s="181"/>
      <c r="H96" s="182"/>
      <c r="I96" s="185"/>
      <c r="J96" s="27"/>
      <c r="K96" s="27"/>
    </row>
    <row r="97" spans="1:11">
      <c r="A97" s="183"/>
      <c r="B97" s="184"/>
      <c r="C97" s="183"/>
      <c r="D97" s="183"/>
      <c r="E97" s="183"/>
      <c r="F97" s="182"/>
      <c r="G97" s="181"/>
      <c r="H97" s="182"/>
      <c r="I97" s="185"/>
      <c r="J97" s="27"/>
      <c r="K97" s="27"/>
    </row>
    <row r="98" spans="1:11">
      <c r="A98" s="183"/>
      <c r="B98" s="184"/>
      <c r="C98" s="183"/>
      <c r="D98" s="183"/>
      <c r="E98" s="183"/>
      <c r="F98" s="182"/>
      <c r="G98" s="181"/>
      <c r="H98" s="182"/>
      <c r="I98" s="185"/>
      <c r="J98" s="27"/>
      <c r="K98" s="27"/>
    </row>
    <row r="99" spans="1:11">
      <c r="A99" s="183"/>
      <c r="B99" s="184"/>
      <c r="C99" s="183"/>
      <c r="D99" s="183"/>
      <c r="E99" s="183"/>
      <c r="F99" s="182"/>
      <c r="G99" s="181"/>
      <c r="H99" s="182"/>
      <c r="I99" s="185"/>
      <c r="J99" s="27"/>
      <c r="K99" s="27"/>
    </row>
    <row r="100" spans="1:11">
      <c r="A100" s="183"/>
      <c r="B100" s="184"/>
      <c r="C100" s="183"/>
      <c r="D100" s="183"/>
      <c r="E100" s="183"/>
      <c r="F100" s="182"/>
      <c r="G100" s="181"/>
      <c r="H100" s="182"/>
      <c r="I100" s="185"/>
      <c r="J100" s="27"/>
      <c r="K100" s="27"/>
    </row>
    <row r="101" spans="1:11">
      <c r="A101" s="183"/>
      <c r="B101" s="184"/>
      <c r="C101" s="183"/>
      <c r="D101" s="183"/>
      <c r="E101" s="183"/>
      <c r="F101" s="182"/>
      <c r="G101" s="181"/>
      <c r="H101" s="182"/>
      <c r="I101" s="185"/>
      <c r="J101" s="27"/>
      <c r="K101" s="27"/>
    </row>
    <row r="102" spans="1:11">
      <c r="A102" s="183"/>
      <c r="B102" s="184"/>
      <c r="C102" s="183"/>
      <c r="D102" s="183"/>
      <c r="E102" s="183"/>
      <c r="F102" s="182"/>
      <c r="G102" s="181"/>
      <c r="H102" s="182"/>
      <c r="I102" s="185"/>
      <c r="J102" s="27"/>
      <c r="K102" s="27"/>
    </row>
    <row r="103" spans="1:11">
      <c r="A103" s="183"/>
      <c r="B103" s="184"/>
      <c r="C103" s="183"/>
      <c r="D103" s="183"/>
      <c r="E103" s="183"/>
      <c r="F103" s="182"/>
      <c r="G103" s="181"/>
      <c r="H103" s="182"/>
      <c r="I103" s="185"/>
      <c r="J103" s="27"/>
      <c r="K103" s="27"/>
    </row>
    <row r="104" spans="1:11">
      <c r="A104" s="183"/>
      <c r="B104" s="184"/>
      <c r="C104" s="183"/>
      <c r="D104" s="183"/>
      <c r="E104" s="183"/>
      <c r="F104" s="182"/>
      <c r="G104" s="181"/>
      <c r="H104" s="182"/>
      <c r="I104" s="185"/>
      <c r="J104" s="27"/>
      <c r="K104" s="27"/>
    </row>
    <row r="105" spans="1:11" ht="10.5">
      <c r="A105" s="173"/>
      <c r="B105" s="174"/>
      <c r="C105" s="174"/>
      <c r="D105" s="174"/>
      <c r="E105" s="174"/>
      <c r="F105" s="192"/>
      <c r="G105" s="176"/>
      <c r="H105" s="176"/>
      <c r="I105" s="177"/>
      <c r="J105" s="27"/>
      <c r="K105" s="27"/>
    </row>
    <row r="106" spans="1:11">
      <c r="A106" s="183"/>
      <c r="B106" s="184"/>
      <c r="C106" s="183"/>
      <c r="D106" s="183"/>
      <c r="E106" s="11"/>
      <c r="F106" s="182"/>
      <c r="G106" s="181"/>
      <c r="H106" s="182"/>
      <c r="I106" s="185"/>
      <c r="J106" s="27"/>
      <c r="K106" s="27"/>
    </row>
    <row r="107" spans="1:11">
      <c r="A107" s="183"/>
      <c r="B107" s="184"/>
      <c r="C107" s="183"/>
      <c r="D107" s="183"/>
      <c r="E107" s="11"/>
      <c r="F107" s="182"/>
      <c r="G107" s="181"/>
      <c r="H107" s="182"/>
      <c r="I107" s="185"/>
      <c r="J107" s="27"/>
      <c r="K107" s="27"/>
    </row>
    <row r="108" spans="1:11" ht="10.5">
      <c r="A108" s="173"/>
      <c r="B108" s="174"/>
      <c r="C108" s="174"/>
      <c r="D108" s="174"/>
      <c r="E108" s="174"/>
      <c r="F108" s="192"/>
      <c r="G108" s="176"/>
      <c r="H108" s="176"/>
      <c r="I108" s="177"/>
      <c r="J108" s="27"/>
      <c r="K108" s="27"/>
    </row>
    <row r="109" spans="1:11">
      <c r="A109" s="183"/>
      <c r="B109" s="184"/>
      <c r="C109" s="183"/>
      <c r="D109" s="183"/>
      <c r="E109" s="11"/>
      <c r="F109" s="182"/>
      <c r="G109" s="181"/>
      <c r="H109" s="182"/>
      <c r="I109" s="185"/>
      <c r="J109" s="27"/>
      <c r="K109" s="27"/>
    </row>
    <row r="110" spans="1:11">
      <c r="A110" s="183"/>
      <c r="B110" s="184"/>
      <c r="C110" s="183"/>
      <c r="D110" s="183"/>
      <c r="E110" s="11"/>
      <c r="F110" s="182"/>
      <c r="G110" s="181"/>
      <c r="H110" s="182"/>
      <c r="I110" s="185"/>
      <c r="J110" s="27"/>
      <c r="K110" s="27"/>
    </row>
    <row r="111" spans="1:11" ht="10.5">
      <c r="A111" s="173"/>
      <c r="B111" s="174"/>
      <c r="C111" s="174"/>
      <c r="D111" s="174"/>
      <c r="E111" s="174"/>
      <c r="F111" s="192"/>
      <c r="G111" s="176"/>
      <c r="H111" s="176"/>
      <c r="I111" s="177"/>
      <c r="J111" s="27"/>
      <c r="K111" s="27"/>
    </row>
    <row r="112" spans="1:11">
      <c r="A112" s="183"/>
      <c r="B112" s="184"/>
      <c r="C112" s="183"/>
      <c r="D112" s="183"/>
      <c r="E112" s="183"/>
      <c r="F112" s="182"/>
      <c r="G112" s="181"/>
      <c r="H112" s="182"/>
      <c r="I112" s="185"/>
      <c r="J112" s="27"/>
      <c r="K112" s="27"/>
    </row>
    <row r="113" spans="1:11">
      <c r="A113" s="183"/>
      <c r="B113" s="184"/>
      <c r="C113" s="183"/>
      <c r="D113" s="183"/>
      <c r="E113" s="183"/>
      <c r="F113" s="182"/>
      <c r="G113" s="181"/>
      <c r="H113" s="182"/>
      <c r="I113" s="185"/>
      <c r="J113" s="27"/>
      <c r="K113" s="27"/>
    </row>
    <row r="114" spans="1:11">
      <c r="A114" s="183"/>
      <c r="B114" s="184"/>
      <c r="C114" s="183"/>
      <c r="D114" s="183"/>
      <c r="E114" s="183"/>
      <c r="F114" s="182"/>
      <c r="G114" s="181"/>
      <c r="H114" s="182"/>
      <c r="I114" s="185"/>
      <c r="J114" s="27"/>
      <c r="K114" s="27"/>
    </row>
    <row r="115" spans="1:11">
      <c r="A115" s="183"/>
      <c r="B115" s="184"/>
      <c r="C115" s="183"/>
      <c r="D115" s="183"/>
      <c r="E115" s="183"/>
      <c r="F115" s="182"/>
      <c r="G115" s="181"/>
      <c r="H115" s="182"/>
      <c r="I115" s="185"/>
      <c r="J115" s="27"/>
      <c r="K115" s="27"/>
    </row>
    <row r="116" spans="1:11">
      <c r="A116" s="183"/>
      <c r="B116" s="184"/>
      <c r="C116" s="183"/>
      <c r="D116" s="183"/>
      <c r="E116" s="183"/>
      <c r="F116" s="182"/>
      <c r="G116" s="181"/>
      <c r="H116" s="182"/>
      <c r="I116" s="185"/>
      <c r="J116" s="27"/>
      <c r="K116" s="27"/>
    </row>
    <row r="117" spans="1:11">
      <c r="A117" s="183"/>
      <c r="B117" s="184"/>
      <c r="C117" s="183"/>
      <c r="D117" s="183"/>
      <c r="E117" s="183"/>
      <c r="F117" s="182"/>
      <c r="G117" s="181"/>
      <c r="H117" s="182"/>
      <c r="I117" s="185"/>
      <c r="J117" s="27"/>
      <c r="K117" s="27"/>
    </row>
    <row r="118" spans="1:11">
      <c r="A118" s="183"/>
      <c r="B118" s="184"/>
      <c r="C118" s="183"/>
      <c r="D118" s="183"/>
      <c r="E118" s="183"/>
      <c r="F118" s="182"/>
      <c r="G118" s="181"/>
      <c r="H118" s="182"/>
      <c r="I118" s="185"/>
      <c r="J118" s="27"/>
      <c r="K118" s="27"/>
    </row>
    <row r="119" spans="1:11">
      <c r="A119" s="183"/>
      <c r="B119" s="184"/>
      <c r="C119" s="183"/>
      <c r="D119" s="183"/>
      <c r="E119" s="183"/>
      <c r="F119" s="182"/>
      <c r="G119" s="181"/>
      <c r="H119" s="182"/>
      <c r="I119" s="185"/>
      <c r="J119" s="27"/>
      <c r="K119" s="27"/>
    </row>
    <row r="120" spans="1:11">
      <c r="A120" s="183"/>
      <c r="B120" s="184"/>
      <c r="C120" s="183"/>
      <c r="D120" s="183"/>
      <c r="E120" s="183"/>
      <c r="F120" s="182"/>
      <c r="G120" s="181"/>
      <c r="H120" s="182"/>
      <c r="I120" s="185"/>
      <c r="J120" s="27"/>
      <c r="K120" s="27"/>
    </row>
    <row r="121" spans="1:11">
      <c r="A121" s="183"/>
      <c r="B121" s="184"/>
      <c r="C121" s="183"/>
      <c r="D121" s="183"/>
      <c r="E121" s="183"/>
      <c r="F121" s="182"/>
      <c r="G121" s="181"/>
      <c r="H121" s="182"/>
      <c r="I121" s="185"/>
      <c r="J121" s="27"/>
      <c r="K121" s="27"/>
    </row>
    <row r="122" spans="1:11">
      <c r="A122" s="183"/>
      <c r="B122" s="184"/>
      <c r="C122" s="183"/>
      <c r="D122" s="183"/>
      <c r="E122" s="183"/>
      <c r="F122" s="182"/>
      <c r="G122" s="181"/>
      <c r="H122" s="182"/>
      <c r="I122" s="185"/>
      <c r="J122" s="27"/>
      <c r="K122" s="27"/>
    </row>
    <row r="123" spans="1:11">
      <c r="A123" s="183"/>
      <c r="B123" s="184"/>
      <c r="C123" s="183"/>
      <c r="D123" s="183"/>
      <c r="E123" s="183"/>
      <c r="F123" s="182"/>
      <c r="G123" s="181"/>
      <c r="H123" s="182"/>
      <c r="I123" s="185"/>
      <c r="J123" s="27"/>
      <c r="K123" s="27"/>
    </row>
    <row r="124" spans="1:11">
      <c r="A124" s="183"/>
      <c r="B124" s="184"/>
      <c r="C124" s="183"/>
      <c r="D124" s="183"/>
      <c r="E124" s="183"/>
      <c r="F124" s="182"/>
      <c r="G124" s="181"/>
      <c r="H124" s="182"/>
      <c r="I124" s="185"/>
      <c r="J124" s="27"/>
      <c r="K124" s="27"/>
    </row>
    <row r="125" spans="1:11">
      <c r="A125" s="183"/>
      <c r="B125" s="184"/>
      <c r="C125" s="183"/>
      <c r="D125" s="183"/>
      <c r="E125" s="183"/>
      <c r="F125" s="182"/>
      <c r="G125" s="181"/>
      <c r="H125" s="182"/>
      <c r="I125" s="185"/>
      <c r="J125" s="27"/>
      <c r="K125" s="27"/>
    </row>
    <row r="126" spans="1:11">
      <c r="A126" s="183"/>
      <c r="B126" s="184"/>
      <c r="C126" s="183"/>
      <c r="D126" s="183"/>
      <c r="E126" s="183"/>
      <c r="F126" s="182"/>
      <c r="G126" s="181"/>
      <c r="H126" s="182"/>
      <c r="I126" s="185"/>
      <c r="J126" s="27"/>
      <c r="K126" s="27"/>
    </row>
    <row r="127" spans="1:11">
      <c r="A127" s="183"/>
      <c r="B127" s="184"/>
      <c r="C127" s="183"/>
      <c r="D127" s="183"/>
      <c r="E127" s="183"/>
      <c r="F127" s="182"/>
      <c r="G127" s="181"/>
      <c r="H127" s="182"/>
      <c r="I127" s="185"/>
      <c r="J127" s="27"/>
      <c r="K127" s="27"/>
    </row>
    <row r="128" spans="1:11">
      <c r="A128" s="183"/>
      <c r="B128" s="184"/>
      <c r="C128" s="183"/>
      <c r="D128" s="183"/>
      <c r="E128" s="183"/>
      <c r="F128" s="182"/>
      <c r="G128" s="181"/>
      <c r="H128" s="182"/>
      <c r="I128" s="185"/>
      <c r="J128" s="27"/>
      <c r="K128" s="27"/>
    </row>
    <row r="129" spans="1:11">
      <c r="A129" s="27"/>
      <c r="B129" s="27"/>
      <c r="C129" s="27"/>
      <c r="D129" s="27"/>
      <c r="E129" s="27"/>
      <c r="F129" s="27"/>
      <c r="G129" s="27"/>
      <c r="H129" s="27"/>
      <c r="I129" s="27"/>
      <c r="J129" s="27"/>
      <c r="K129" s="27"/>
    </row>
    <row r="130" spans="1:11">
      <c r="A130" s="27"/>
      <c r="B130" s="27"/>
      <c r="C130" s="27"/>
      <c r="D130" s="27"/>
      <c r="E130" s="27"/>
      <c r="F130" s="27"/>
      <c r="G130" s="27"/>
      <c r="H130" s="27"/>
      <c r="I130" s="27"/>
      <c r="J130" s="27"/>
      <c r="K130" s="27"/>
    </row>
  </sheetData>
  <sortState xmlns:xlrd2="http://schemas.microsoft.com/office/spreadsheetml/2017/richdata2" ref="A12:I63">
    <sortCondition descending="1" ref="I12:I63"/>
  </sortState>
  <conditionalFormatting sqref="I5:I9">
    <cfRule type="cellIs" dxfId="32" priority="10" operator="equal">
      <formula>0</formula>
    </cfRule>
  </conditionalFormatting>
  <conditionalFormatting sqref="J5:J9">
    <cfRule type="cellIs" dxfId="31" priority="9" operator="equal">
      <formula>0</formula>
    </cfRule>
  </conditionalFormatting>
  <conditionalFormatting sqref="G71:G128">
    <cfRule type="cellIs" dxfId="30" priority="7" operator="equal">
      <formula>0</formula>
    </cfRule>
  </conditionalFormatting>
  <conditionalFormatting sqref="H73:H80 H71 H82:H89 H91:H104 H106:H107 H109:H110 H112:H128">
    <cfRule type="cellIs" dxfId="29" priority="8" operator="equal">
      <formula>0</formula>
    </cfRule>
  </conditionalFormatting>
  <conditionalFormatting sqref="H72">
    <cfRule type="cellIs" dxfId="28" priority="6" operator="equal">
      <formula>0</formula>
    </cfRule>
  </conditionalFormatting>
  <conditionalFormatting sqref="H81">
    <cfRule type="cellIs" dxfId="27" priority="5" operator="equal">
      <formula>0</formula>
    </cfRule>
  </conditionalFormatting>
  <conditionalFormatting sqref="H90">
    <cfRule type="cellIs" dxfId="26" priority="4" operator="equal">
      <formula>0</formula>
    </cfRule>
  </conditionalFormatting>
  <conditionalFormatting sqref="H105">
    <cfRule type="cellIs" dxfId="25" priority="3" operator="equal">
      <formula>0</formula>
    </cfRule>
  </conditionalFormatting>
  <conditionalFormatting sqref="H108">
    <cfRule type="cellIs" dxfId="24" priority="2" operator="equal">
      <formula>0</formula>
    </cfRule>
  </conditionalFormatting>
  <conditionalFormatting sqref="H111">
    <cfRule type="cellIs" dxfId="23" priority="1" operator="equal">
      <formula>0</formula>
    </cfRule>
  </conditionalFormatting>
  <pageMargins left="0.51181102362204722" right="0.51181102362204722" top="0.51181102362204722" bottom="0.70866141732283472" header="0" footer="0.19685039370078741"/>
  <pageSetup paperSize="9" scale="73" orientation="landscape" r:id="rId1"/>
  <headerFooter>
    <oddFooter>&amp;L&amp;9&amp;A&amp;R&amp;9Página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EA2F4-617A-43D4-B702-32F6543203CA}">
  <sheetPr>
    <tabColor rgb="FFFFFF00"/>
    <outlinePr summaryBelow="0"/>
  </sheetPr>
  <dimension ref="A1:I173"/>
  <sheetViews>
    <sheetView view="pageBreakPreview" zoomScale="85" zoomScaleNormal="145" zoomScaleSheetLayoutView="85" workbookViewId="0">
      <selection activeCell="F60" sqref="F60"/>
    </sheetView>
  </sheetViews>
  <sheetFormatPr defaultColWidth="9.08203125" defaultRowHeight="10"/>
  <cols>
    <col min="1" max="1" width="11.1640625" style="193" bestFit="1" customWidth="1"/>
    <col min="2" max="2" width="56.83203125" style="193" customWidth="1"/>
    <col min="3" max="3" width="9.25" style="193" customWidth="1"/>
    <col min="4" max="4" width="11.25" style="193" customWidth="1"/>
    <col min="5" max="5" width="9.25" style="193" customWidth="1"/>
    <col min="6" max="6" width="9.33203125" style="194" bestFit="1" customWidth="1"/>
    <col min="7" max="16384" width="9.08203125" style="193"/>
  </cols>
  <sheetData>
    <row r="1" spans="1:8" ht="50.15" customHeight="1"/>
    <row r="2" spans="1:8" ht="25" customHeight="1">
      <c r="A2" s="195" t="s">
        <v>771</v>
      </c>
      <c r="B2" s="195"/>
      <c r="C2" s="195"/>
      <c r="D2" s="195"/>
      <c r="E2" s="195"/>
      <c r="F2" s="196"/>
    </row>
    <row r="3" spans="1:8" ht="5.15" customHeight="1">
      <c r="F3" s="197"/>
    </row>
    <row r="4" spans="1:8" ht="15" customHeight="1">
      <c r="A4" s="198" t="s">
        <v>321</v>
      </c>
      <c r="B4" s="199" t="str">
        <f>RESUMO!B4</f>
        <v>SUBSTITUIÇÃO DE ELEVADORES NA SEDE DA JUSTIÇA FEDERAL NA PARAÍBA - R2</v>
      </c>
      <c r="C4" s="199"/>
      <c r="D4" s="199"/>
      <c r="E4" s="199"/>
      <c r="F4" s="200"/>
    </row>
    <row r="5" spans="1:8" ht="15" customHeight="1">
      <c r="A5" s="201" t="s">
        <v>325</v>
      </c>
      <c r="B5" s="202" t="str">
        <f>RESUMO!B5</f>
        <v>R2 - 15/04/2025</v>
      </c>
      <c r="C5" s="203" t="s">
        <v>334</v>
      </c>
      <c r="D5" s="204"/>
      <c r="E5" s="203" t="s">
        <v>329</v>
      </c>
      <c r="F5" s="205">
        <f>RESUMO!$F$5</f>
        <v>45762</v>
      </c>
    </row>
    <row r="6" spans="1:8" ht="15" customHeight="1">
      <c r="A6" s="201" t="s">
        <v>322</v>
      </c>
      <c r="B6" s="193" t="str">
        <f>RESUMO!B6</f>
        <v>RUA JOÃO TEIXEIRA DE CARVALHO, 480, PEDRO GONDIM, JOÃO PESSOA/PB</v>
      </c>
      <c r="C6" s="206" t="str">
        <f>[1]RESUMO!$C$6</f>
        <v>SINAPI</v>
      </c>
      <c r="D6" s="221" t="str">
        <f>RESUMO!$D$6</f>
        <v>2025/02</v>
      </c>
      <c r="E6" s="201" t="s">
        <v>443</v>
      </c>
      <c r="F6" s="207">
        <f>RESUMO!$F$6</f>
        <v>0.23530000000000001</v>
      </c>
    </row>
    <row r="7" spans="1:8" ht="15" customHeight="1">
      <c r="A7" s="201" t="s">
        <v>323</v>
      </c>
      <c r="B7" s="193" t="str">
        <f>RESUMO!B7</f>
        <v>JUSTIÇA FEDERAL NA PARAÍBA</v>
      </c>
      <c r="C7" s="206" t="str">
        <f>[1]RESUMO!$C$7</f>
        <v>SICRO</v>
      </c>
      <c r="D7" s="221" t="str">
        <f>RESUMO!$D$7</f>
        <v>2025/01</v>
      </c>
      <c r="E7" s="201" t="s">
        <v>330</v>
      </c>
      <c r="F7" s="207">
        <f>RESUMO!$F$7</f>
        <v>0.1527</v>
      </c>
    </row>
    <row r="8" spans="1:8" ht="15" customHeight="1">
      <c r="A8" s="201" t="s">
        <v>328</v>
      </c>
      <c r="B8" s="193" t="str">
        <f>RESUMO!B8</f>
        <v>JOSÉ MENDONÇA FILHO SEGUNDO</v>
      </c>
      <c r="C8" s="206" t="str">
        <f>[1]RESUMO!$C$8</f>
        <v>-</v>
      </c>
      <c r="D8" s="207">
        <f>[1]RESUMO!$D$8</f>
        <v>0</v>
      </c>
      <c r="E8" s="201" t="s">
        <v>331</v>
      </c>
      <c r="F8" s="207">
        <f>RESUMO!$F$8</f>
        <v>1.1359999999999999</v>
      </c>
    </row>
    <row r="9" spans="1:8" ht="15" customHeight="1">
      <c r="A9" s="208" t="s">
        <v>324</v>
      </c>
      <c r="B9" s="209" t="str">
        <f>RESUMO!B9</f>
        <v>ENGENHEIRO MECÂNICO - CREA 060136183-0</v>
      </c>
      <c r="C9" s="208" t="s">
        <v>325</v>
      </c>
      <c r="D9" s="210" t="str">
        <f>RESUMO!$D$9</f>
        <v>R2</v>
      </c>
      <c r="E9" s="208" t="s">
        <v>332</v>
      </c>
      <c r="F9" s="210">
        <f>RESUMO!$F$9</f>
        <v>0.6984999999999999</v>
      </c>
    </row>
    <row r="10" spans="1:8" ht="5.15" customHeight="1">
      <c r="A10" s="211"/>
      <c r="B10" s="212" t="s">
        <v>0</v>
      </c>
      <c r="C10" s="212"/>
      <c r="D10" s="211"/>
      <c r="E10" s="211"/>
      <c r="F10" s="213"/>
    </row>
    <row r="11" spans="1:8" ht="25" customHeight="1">
      <c r="A11" s="214" t="s">
        <v>2</v>
      </c>
      <c r="B11" s="215" t="s">
        <v>3</v>
      </c>
      <c r="C11" s="214" t="s">
        <v>4</v>
      </c>
      <c r="D11" s="214" t="s">
        <v>121</v>
      </c>
      <c r="E11" s="214" t="s">
        <v>122</v>
      </c>
      <c r="F11" s="214" t="s">
        <v>765</v>
      </c>
    </row>
    <row r="12" spans="1:8" ht="20">
      <c r="A12" s="216" t="s">
        <v>666</v>
      </c>
      <c r="B12" s="217" t="s">
        <v>667</v>
      </c>
      <c r="C12" s="216" t="s">
        <v>127</v>
      </c>
      <c r="D12" s="216" t="s">
        <v>79</v>
      </c>
      <c r="E12" s="216" t="s">
        <v>12</v>
      </c>
      <c r="F12" s="219">
        <f>COT_INSU!I18</f>
        <v>199855.84</v>
      </c>
      <c r="G12" s="220"/>
      <c r="H12" s="220"/>
    </row>
    <row r="13" spans="1:8">
      <c r="A13" s="216">
        <v>40813</v>
      </c>
      <c r="B13" s="217" t="s">
        <v>129</v>
      </c>
      <c r="C13" s="216" t="s">
        <v>24</v>
      </c>
      <c r="D13" s="216" t="s">
        <v>130</v>
      </c>
      <c r="E13" s="216" t="s">
        <v>27</v>
      </c>
      <c r="F13" s="219">
        <v>23272.23</v>
      </c>
    </row>
    <row r="14" spans="1:8" ht="20">
      <c r="A14" s="216" t="s">
        <v>668</v>
      </c>
      <c r="B14" s="217" t="s">
        <v>669</v>
      </c>
      <c r="C14" s="216" t="s">
        <v>127</v>
      </c>
      <c r="D14" s="216" t="s">
        <v>79</v>
      </c>
      <c r="E14" s="216" t="s">
        <v>12</v>
      </c>
      <c r="F14" s="219">
        <f>COT_INSU!I25</f>
        <v>239827.01</v>
      </c>
      <c r="G14" s="220"/>
      <c r="H14" s="220"/>
    </row>
    <row r="15" spans="1:8" ht="20">
      <c r="A15" s="216" t="s">
        <v>670</v>
      </c>
      <c r="B15" s="217" t="s">
        <v>671</v>
      </c>
      <c r="C15" s="216" t="s">
        <v>127</v>
      </c>
      <c r="D15" s="216" t="s">
        <v>79</v>
      </c>
      <c r="E15" s="216" t="s">
        <v>12</v>
      </c>
      <c r="F15" s="219">
        <f>COT_INSU!I48</f>
        <v>45433.78</v>
      </c>
    </row>
    <row r="16" spans="1:8">
      <c r="A16" s="216">
        <v>40818</v>
      </c>
      <c r="B16" s="217" t="s">
        <v>132</v>
      </c>
      <c r="C16" s="216" t="s">
        <v>24</v>
      </c>
      <c r="D16" s="216" t="s">
        <v>130</v>
      </c>
      <c r="E16" s="216" t="s">
        <v>27</v>
      </c>
      <c r="F16" s="219">
        <v>3673.17</v>
      </c>
      <c r="G16" s="220"/>
      <c r="H16" s="220"/>
    </row>
    <row r="17" spans="1:8">
      <c r="A17" s="216">
        <v>40944</v>
      </c>
      <c r="B17" s="217" t="s">
        <v>140</v>
      </c>
      <c r="C17" s="216" t="s">
        <v>24</v>
      </c>
      <c r="D17" s="216" t="s">
        <v>130</v>
      </c>
      <c r="E17" s="216" t="s">
        <v>27</v>
      </c>
      <c r="F17" s="219">
        <v>4775.3100000000004</v>
      </c>
    </row>
    <row r="18" spans="1:8" ht="20">
      <c r="A18" s="216" t="s">
        <v>672</v>
      </c>
      <c r="B18" s="217" t="s">
        <v>673</v>
      </c>
      <c r="C18" s="216" t="s">
        <v>127</v>
      </c>
      <c r="D18" s="216" t="s">
        <v>79</v>
      </c>
      <c r="E18" s="216" t="s">
        <v>12</v>
      </c>
      <c r="F18" s="219">
        <f>COT_INSU!I55</f>
        <v>54520.54</v>
      </c>
    </row>
    <row r="19" spans="1:8" ht="20">
      <c r="A19" s="216">
        <v>44476</v>
      </c>
      <c r="B19" s="217" t="s">
        <v>662</v>
      </c>
      <c r="C19" s="216" t="s">
        <v>24</v>
      </c>
      <c r="D19" s="216" t="s">
        <v>79</v>
      </c>
      <c r="E19" s="216" t="s">
        <v>32</v>
      </c>
      <c r="F19" s="219">
        <v>585.53</v>
      </c>
    </row>
    <row r="20" spans="1:8" ht="30">
      <c r="A20" s="216">
        <v>10778</v>
      </c>
      <c r="B20" s="217" t="s">
        <v>29</v>
      </c>
      <c r="C20" s="216" t="s">
        <v>24</v>
      </c>
      <c r="D20" s="216" t="s">
        <v>89</v>
      </c>
      <c r="E20" s="216" t="s">
        <v>27</v>
      </c>
      <c r="F20" s="219">
        <v>1059.3699999999999</v>
      </c>
    </row>
    <row r="21" spans="1:8" ht="30">
      <c r="A21" s="216">
        <v>10776</v>
      </c>
      <c r="B21" s="217" t="s">
        <v>26</v>
      </c>
      <c r="C21" s="216" t="s">
        <v>24</v>
      </c>
      <c r="D21" s="216" t="s">
        <v>89</v>
      </c>
      <c r="E21" s="216" t="s">
        <v>27</v>
      </c>
      <c r="F21" s="219">
        <v>662.1</v>
      </c>
    </row>
    <row r="22" spans="1:8">
      <c r="A22" s="216">
        <v>6111</v>
      </c>
      <c r="B22" s="217" t="s">
        <v>138</v>
      </c>
      <c r="C22" s="216" t="s">
        <v>24</v>
      </c>
      <c r="D22" s="216" t="s">
        <v>130</v>
      </c>
      <c r="E22" s="216" t="s">
        <v>87</v>
      </c>
      <c r="F22" s="219">
        <v>14.73</v>
      </c>
    </row>
    <row r="23" spans="1:8">
      <c r="A23" s="216">
        <v>2437</v>
      </c>
      <c r="B23" s="217" t="s">
        <v>147</v>
      </c>
      <c r="C23" s="216" t="s">
        <v>24</v>
      </c>
      <c r="D23" s="216" t="s">
        <v>130</v>
      </c>
      <c r="E23" s="216" t="s">
        <v>87</v>
      </c>
      <c r="F23" s="219">
        <v>18.600000000000001</v>
      </c>
    </row>
    <row r="24" spans="1:8" ht="20">
      <c r="A24" s="216">
        <v>40863</v>
      </c>
      <c r="B24" s="217" t="s">
        <v>149</v>
      </c>
      <c r="C24" s="216" t="s">
        <v>24</v>
      </c>
      <c r="D24" s="216" t="s">
        <v>145</v>
      </c>
      <c r="E24" s="216" t="s">
        <v>27</v>
      </c>
      <c r="F24" s="219">
        <v>270.51</v>
      </c>
    </row>
    <row r="25" spans="1:8">
      <c r="A25" s="216">
        <v>34564</v>
      </c>
      <c r="B25" s="217" t="s">
        <v>655</v>
      </c>
      <c r="C25" s="216" t="s">
        <v>24</v>
      </c>
      <c r="D25" s="216" t="s">
        <v>79</v>
      </c>
      <c r="E25" s="216" t="s">
        <v>12</v>
      </c>
      <c r="F25" s="219">
        <v>4.95</v>
      </c>
    </row>
    <row r="26" spans="1:8" ht="20">
      <c r="A26" s="216">
        <v>43499</v>
      </c>
      <c r="B26" s="217" t="s">
        <v>163</v>
      </c>
      <c r="C26" s="216" t="s">
        <v>24</v>
      </c>
      <c r="D26" s="216" t="s">
        <v>145</v>
      </c>
      <c r="E26" s="216" t="s">
        <v>27</v>
      </c>
      <c r="F26" s="219">
        <v>241.99</v>
      </c>
    </row>
    <row r="27" spans="1:8">
      <c r="A27" s="216">
        <v>35692</v>
      </c>
      <c r="B27" s="217" t="s">
        <v>659</v>
      </c>
      <c r="C27" s="216" t="s">
        <v>24</v>
      </c>
      <c r="D27" s="216" t="s">
        <v>79</v>
      </c>
      <c r="E27" s="216" t="s">
        <v>112</v>
      </c>
      <c r="F27" s="219">
        <v>19.399999999999999</v>
      </c>
    </row>
    <row r="28" spans="1:8" ht="20">
      <c r="A28" s="216">
        <v>4813</v>
      </c>
      <c r="B28" s="217" t="s">
        <v>91</v>
      </c>
      <c r="C28" s="216" t="s">
        <v>24</v>
      </c>
      <c r="D28" s="216" t="s">
        <v>79</v>
      </c>
      <c r="E28" s="216" t="s">
        <v>32</v>
      </c>
      <c r="F28" s="219">
        <v>400</v>
      </c>
    </row>
    <row r="29" spans="1:8" ht="20">
      <c r="A29" s="216">
        <v>37372</v>
      </c>
      <c r="B29" s="217" t="s">
        <v>144</v>
      </c>
      <c r="C29" s="216" t="s">
        <v>24</v>
      </c>
      <c r="D29" s="216" t="s">
        <v>145</v>
      </c>
      <c r="E29" s="216" t="s">
        <v>87</v>
      </c>
      <c r="F29" s="219">
        <v>1.43</v>
      </c>
      <c r="G29" s="220"/>
      <c r="H29" s="220"/>
    </row>
    <row r="30" spans="1:8" ht="20">
      <c r="A30" s="216">
        <v>43498</v>
      </c>
      <c r="B30" s="217" t="s">
        <v>171</v>
      </c>
      <c r="C30" s="216" t="s">
        <v>24</v>
      </c>
      <c r="D30" s="216" t="s">
        <v>145</v>
      </c>
      <c r="E30" s="216" t="s">
        <v>27</v>
      </c>
      <c r="F30" s="219">
        <v>146</v>
      </c>
    </row>
    <row r="31" spans="1:8">
      <c r="A31" s="216">
        <v>4783</v>
      </c>
      <c r="B31" s="217" t="s">
        <v>159</v>
      </c>
      <c r="C31" s="216" t="s">
        <v>24</v>
      </c>
      <c r="D31" s="216" t="s">
        <v>130</v>
      </c>
      <c r="E31" s="216" t="s">
        <v>87</v>
      </c>
      <c r="F31" s="219">
        <v>19.18</v>
      </c>
    </row>
    <row r="32" spans="1:8" ht="20">
      <c r="A32" s="216">
        <v>38775</v>
      </c>
      <c r="B32" s="217" t="s">
        <v>677</v>
      </c>
      <c r="C32" s="216" t="s">
        <v>24</v>
      </c>
      <c r="D32" s="216" t="s">
        <v>79</v>
      </c>
      <c r="E32" s="216" t="s">
        <v>12</v>
      </c>
      <c r="F32" s="219">
        <v>80.790000000000006</v>
      </c>
    </row>
    <row r="33" spans="1:8" ht="20">
      <c r="A33" s="216">
        <v>37370</v>
      </c>
      <c r="B33" s="217" t="s">
        <v>151</v>
      </c>
      <c r="C33" s="216" t="s">
        <v>24</v>
      </c>
      <c r="D33" s="216" t="s">
        <v>145</v>
      </c>
      <c r="E33" s="216" t="s">
        <v>87</v>
      </c>
      <c r="F33" s="219">
        <v>0.92</v>
      </c>
    </row>
    <row r="34" spans="1:8">
      <c r="A34" s="216">
        <v>4750</v>
      </c>
      <c r="B34" s="217" t="s">
        <v>153</v>
      </c>
      <c r="C34" s="216" t="s">
        <v>24</v>
      </c>
      <c r="D34" s="216" t="s">
        <v>130</v>
      </c>
      <c r="E34" s="216" t="s">
        <v>87</v>
      </c>
      <c r="F34" s="219">
        <v>19.48</v>
      </c>
    </row>
    <row r="35" spans="1:8" ht="20">
      <c r="A35" s="216">
        <v>43494</v>
      </c>
      <c r="B35" s="217" t="s">
        <v>177</v>
      </c>
      <c r="C35" s="216" t="s">
        <v>24</v>
      </c>
      <c r="D35" s="216" t="s">
        <v>145</v>
      </c>
      <c r="E35" s="216" t="s">
        <v>27</v>
      </c>
      <c r="F35" s="219">
        <v>153.54</v>
      </c>
    </row>
    <row r="36" spans="1:8" ht="20">
      <c r="A36" s="216">
        <v>20232</v>
      </c>
      <c r="B36" s="217" t="s">
        <v>665</v>
      </c>
      <c r="C36" s="216" t="s">
        <v>24</v>
      </c>
      <c r="D36" s="216" t="s">
        <v>79</v>
      </c>
      <c r="E36" s="216" t="s">
        <v>49</v>
      </c>
      <c r="F36" s="219">
        <v>73.739999999999995</v>
      </c>
    </row>
    <row r="37" spans="1:8" ht="20">
      <c r="A37" s="216">
        <v>37371</v>
      </c>
      <c r="B37" s="217" t="s">
        <v>155</v>
      </c>
      <c r="C37" s="216" t="s">
        <v>24</v>
      </c>
      <c r="D37" s="216" t="s">
        <v>145</v>
      </c>
      <c r="E37" s="216" t="s">
        <v>87</v>
      </c>
      <c r="F37" s="219">
        <v>0.8</v>
      </c>
    </row>
    <row r="38" spans="1:8">
      <c r="A38" s="216">
        <v>4755</v>
      </c>
      <c r="B38" s="217" t="s">
        <v>614</v>
      </c>
      <c r="C38" s="216" t="s">
        <v>24</v>
      </c>
      <c r="D38" s="216" t="s">
        <v>130</v>
      </c>
      <c r="E38" s="216" t="s">
        <v>87</v>
      </c>
      <c r="F38" s="219">
        <v>19.48</v>
      </c>
    </row>
    <row r="39" spans="1:8" ht="20">
      <c r="A39" s="216">
        <v>131</v>
      </c>
      <c r="B39" s="217" t="s">
        <v>660</v>
      </c>
      <c r="C39" s="216" t="s">
        <v>24</v>
      </c>
      <c r="D39" s="216" t="s">
        <v>79</v>
      </c>
      <c r="E39" s="216" t="s">
        <v>54</v>
      </c>
      <c r="F39" s="219">
        <v>64.400000000000006</v>
      </c>
    </row>
    <row r="40" spans="1:8" ht="20">
      <c r="A40" s="216">
        <v>43491</v>
      </c>
      <c r="B40" s="217" t="s">
        <v>169</v>
      </c>
      <c r="C40" s="216" t="s">
        <v>24</v>
      </c>
      <c r="D40" s="216" t="s">
        <v>145</v>
      </c>
      <c r="E40" s="216" t="s">
        <v>87</v>
      </c>
      <c r="F40" s="219">
        <v>1.39</v>
      </c>
    </row>
    <row r="41" spans="1:8">
      <c r="A41" s="216">
        <v>4230</v>
      </c>
      <c r="B41" s="217" t="s">
        <v>201</v>
      </c>
      <c r="C41" s="216" t="s">
        <v>24</v>
      </c>
      <c r="D41" s="216" t="s">
        <v>130</v>
      </c>
      <c r="E41" s="216" t="s">
        <v>87</v>
      </c>
      <c r="F41" s="219">
        <v>19.45</v>
      </c>
    </row>
    <row r="42" spans="1:8">
      <c r="A42" s="216">
        <v>2436</v>
      </c>
      <c r="B42" s="217" t="s">
        <v>134</v>
      </c>
      <c r="C42" s="216" t="s">
        <v>24</v>
      </c>
      <c r="D42" s="216" t="s">
        <v>130</v>
      </c>
      <c r="E42" s="216" t="s">
        <v>87</v>
      </c>
      <c r="F42" s="219">
        <v>19.48</v>
      </c>
    </row>
    <row r="43" spans="1:8" ht="30">
      <c r="A43" s="216">
        <v>1022</v>
      </c>
      <c r="B43" s="217" t="s">
        <v>115</v>
      </c>
      <c r="C43" s="216" t="s">
        <v>24</v>
      </c>
      <c r="D43" s="216" t="s">
        <v>79</v>
      </c>
      <c r="E43" s="216" t="s">
        <v>49</v>
      </c>
      <c r="F43" s="219">
        <v>3.11</v>
      </c>
    </row>
    <row r="44" spans="1:8" ht="20">
      <c r="A44" s="216">
        <v>7243</v>
      </c>
      <c r="B44" s="217" t="s">
        <v>103</v>
      </c>
      <c r="C44" s="216" t="s">
        <v>24</v>
      </c>
      <c r="D44" s="216" t="s">
        <v>79</v>
      </c>
      <c r="E44" s="216" t="s">
        <v>32</v>
      </c>
      <c r="F44" s="219">
        <v>50.74</v>
      </c>
    </row>
    <row r="45" spans="1:8" ht="20">
      <c r="A45" s="216">
        <v>43484</v>
      </c>
      <c r="B45" s="217" t="s">
        <v>157</v>
      </c>
      <c r="C45" s="216" t="s">
        <v>24</v>
      </c>
      <c r="D45" s="216" t="s">
        <v>145</v>
      </c>
      <c r="E45" s="216" t="s">
        <v>87</v>
      </c>
      <c r="F45" s="219">
        <v>1.26</v>
      </c>
    </row>
    <row r="46" spans="1:8">
      <c r="A46" s="216">
        <v>247</v>
      </c>
      <c r="B46" s="217" t="s">
        <v>136</v>
      </c>
      <c r="C46" s="216" t="s">
        <v>24</v>
      </c>
      <c r="D46" s="216" t="s">
        <v>130</v>
      </c>
      <c r="E46" s="216" t="s">
        <v>87</v>
      </c>
      <c r="F46" s="219">
        <v>15.57</v>
      </c>
    </row>
    <row r="47" spans="1:8" ht="20">
      <c r="A47" s="216">
        <v>43460</v>
      </c>
      <c r="B47" s="217" t="s">
        <v>161</v>
      </c>
      <c r="C47" s="216" t="s">
        <v>24</v>
      </c>
      <c r="D47" s="216" t="s">
        <v>145</v>
      </c>
      <c r="E47" s="216" t="s">
        <v>87</v>
      </c>
      <c r="F47" s="219">
        <v>0.86</v>
      </c>
    </row>
    <row r="48" spans="1:8">
      <c r="A48" s="216">
        <v>1213</v>
      </c>
      <c r="B48" s="217" t="s">
        <v>165</v>
      </c>
      <c r="C48" s="216" t="s">
        <v>24</v>
      </c>
      <c r="D48" s="216" t="s">
        <v>130</v>
      </c>
      <c r="E48" s="216" t="s">
        <v>87</v>
      </c>
      <c r="F48" s="219">
        <v>19.260000000000002</v>
      </c>
      <c r="G48" s="220"/>
      <c r="H48" s="220"/>
    </row>
    <row r="49" spans="1:6">
      <c r="A49" s="216">
        <v>38599</v>
      </c>
      <c r="B49" s="217" t="s">
        <v>656</v>
      </c>
      <c r="C49" s="216" t="s">
        <v>24</v>
      </c>
      <c r="D49" s="216" t="s">
        <v>79</v>
      </c>
      <c r="E49" s="216" t="s">
        <v>12</v>
      </c>
      <c r="F49" s="219">
        <v>5.77</v>
      </c>
    </row>
    <row r="50" spans="1:6" ht="20">
      <c r="A50" s="216">
        <v>43467</v>
      </c>
      <c r="B50" s="217" t="s">
        <v>175</v>
      </c>
      <c r="C50" s="216" t="s">
        <v>24</v>
      </c>
      <c r="D50" s="216" t="s">
        <v>145</v>
      </c>
      <c r="E50" s="216" t="s">
        <v>87</v>
      </c>
      <c r="F50" s="219">
        <v>0.61</v>
      </c>
    </row>
    <row r="51" spans="1:6">
      <c r="A51" s="216">
        <v>6194</v>
      </c>
      <c r="B51" s="217" t="s">
        <v>102</v>
      </c>
      <c r="C51" s="216" t="s">
        <v>24</v>
      </c>
      <c r="D51" s="216" t="s">
        <v>79</v>
      </c>
      <c r="E51" s="216" t="s">
        <v>49</v>
      </c>
      <c r="F51" s="219">
        <v>8</v>
      </c>
    </row>
    <row r="52" spans="1:6">
      <c r="A52" s="216">
        <v>4491</v>
      </c>
      <c r="B52" s="217" t="s">
        <v>100</v>
      </c>
      <c r="C52" s="216" t="s">
        <v>24</v>
      </c>
      <c r="D52" s="216" t="s">
        <v>79</v>
      </c>
      <c r="E52" s="216" t="s">
        <v>49</v>
      </c>
      <c r="F52" s="219">
        <v>11.21</v>
      </c>
    </row>
    <row r="53" spans="1:6">
      <c r="A53" s="216">
        <v>2679</v>
      </c>
      <c r="B53" s="217" t="s">
        <v>678</v>
      </c>
      <c r="C53" s="216" t="s">
        <v>24</v>
      </c>
      <c r="D53" s="216" t="s">
        <v>79</v>
      </c>
      <c r="E53" s="216" t="s">
        <v>49</v>
      </c>
      <c r="F53" s="219">
        <v>4.8499999999999996</v>
      </c>
    </row>
    <row r="54" spans="1:6">
      <c r="A54" s="216">
        <v>2696</v>
      </c>
      <c r="B54" s="217" t="s">
        <v>215</v>
      </c>
      <c r="C54" s="216" t="s">
        <v>24</v>
      </c>
      <c r="D54" s="216" t="s">
        <v>130</v>
      </c>
      <c r="E54" s="216" t="s">
        <v>87</v>
      </c>
      <c r="F54" s="219">
        <v>19.18</v>
      </c>
    </row>
    <row r="55" spans="1:6">
      <c r="A55" s="216">
        <v>1379</v>
      </c>
      <c r="B55" s="217" t="s">
        <v>111</v>
      </c>
      <c r="C55" s="216" t="s">
        <v>24</v>
      </c>
      <c r="D55" s="216" t="s">
        <v>79</v>
      </c>
      <c r="E55" s="216" t="s">
        <v>54</v>
      </c>
      <c r="F55" s="219">
        <v>0.7</v>
      </c>
    </row>
    <row r="56" spans="1:6" ht="20">
      <c r="A56" s="216">
        <v>392</v>
      </c>
      <c r="B56" s="217" t="s">
        <v>618</v>
      </c>
      <c r="C56" s="216" t="s">
        <v>24</v>
      </c>
      <c r="D56" s="216" t="s">
        <v>79</v>
      </c>
      <c r="E56" s="216" t="s">
        <v>12</v>
      </c>
      <c r="F56" s="219">
        <v>2.1</v>
      </c>
    </row>
    <row r="57" spans="1:6">
      <c r="A57" s="216">
        <v>38592</v>
      </c>
      <c r="B57" s="217" t="s">
        <v>657</v>
      </c>
      <c r="C57" s="216" t="s">
        <v>24</v>
      </c>
      <c r="D57" s="216" t="s">
        <v>79</v>
      </c>
      <c r="E57" s="216" t="s">
        <v>12</v>
      </c>
      <c r="F57" s="219">
        <v>2.91</v>
      </c>
    </row>
    <row r="58" spans="1:6">
      <c r="A58" s="216">
        <v>6117</v>
      </c>
      <c r="B58" s="217" t="s">
        <v>173</v>
      </c>
      <c r="C58" s="216" t="s">
        <v>24</v>
      </c>
      <c r="D58" s="216" t="s">
        <v>130</v>
      </c>
      <c r="E58" s="216" t="s">
        <v>87</v>
      </c>
      <c r="F58" s="219">
        <v>15.57</v>
      </c>
    </row>
    <row r="59" spans="1:6" ht="20">
      <c r="A59" s="216">
        <v>43475</v>
      </c>
      <c r="B59" s="217" t="s">
        <v>189</v>
      </c>
      <c r="C59" s="216" t="s">
        <v>24</v>
      </c>
      <c r="D59" s="216" t="s">
        <v>145</v>
      </c>
      <c r="E59" s="216" t="s">
        <v>27</v>
      </c>
      <c r="F59" s="219">
        <v>15.46</v>
      </c>
    </row>
    <row r="60" spans="1:6">
      <c r="A60" s="216" t="s">
        <v>80</v>
      </c>
      <c r="B60" s="217" t="s">
        <v>81</v>
      </c>
      <c r="C60" s="216" t="s">
        <v>127</v>
      </c>
      <c r="D60" s="216" t="s">
        <v>79</v>
      </c>
      <c r="E60" s="216" t="s">
        <v>12</v>
      </c>
      <c r="F60" s="499">
        <v>262.55</v>
      </c>
    </row>
    <row r="61" spans="1:6" ht="20">
      <c r="A61" s="216">
        <v>43466</v>
      </c>
      <c r="B61" s="217" t="s">
        <v>181</v>
      </c>
      <c r="C61" s="216" t="s">
        <v>24</v>
      </c>
      <c r="D61" s="216" t="s">
        <v>145</v>
      </c>
      <c r="E61" s="216" t="s">
        <v>87</v>
      </c>
      <c r="F61" s="219">
        <v>2.0499999999999998</v>
      </c>
    </row>
    <row r="62" spans="1:6" ht="20">
      <c r="A62" s="216">
        <v>370</v>
      </c>
      <c r="B62" s="217" t="s">
        <v>199</v>
      </c>
      <c r="C62" s="216" t="s">
        <v>24</v>
      </c>
      <c r="D62" s="216" t="s">
        <v>79</v>
      </c>
      <c r="E62" s="216" t="s">
        <v>40</v>
      </c>
      <c r="F62" s="219">
        <v>140</v>
      </c>
    </row>
    <row r="63" spans="1:6">
      <c r="A63" s="216">
        <v>34709</v>
      </c>
      <c r="B63" s="217" t="s">
        <v>674</v>
      </c>
      <c r="C63" s="216" t="s">
        <v>24</v>
      </c>
      <c r="D63" s="216" t="s">
        <v>79</v>
      </c>
      <c r="E63" s="216" t="s">
        <v>12</v>
      </c>
      <c r="F63" s="219">
        <v>54.22</v>
      </c>
    </row>
    <row r="64" spans="1:6" ht="20">
      <c r="A64" s="216">
        <v>43490</v>
      </c>
      <c r="B64" s="217" t="s">
        <v>185</v>
      </c>
      <c r="C64" s="216" t="s">
        <v>24</v>
      </c>
      <c r="D64" s="216" t="s">
        <v>145</v>
      </c>
      <c r="E64" s="216" t="s">
        <v>87</v>
      </c>
      <c r="F64" s="219">
        <v>1.85</v>
      </c>
    </row>
    <row r="65" spans="1:8" ht="20">
      <c r="A65" s="216">
        <v>43489</v>
      </c>
      <c r="B65" s="217" t="s">
        <v>183</v>
      </c>
      <c r="C65" s="216" t="s">
        <v>24</v>
      </c>
      <c r="D65" s="216" t="s">
        <v>145</v>
      </c>
      <c r="E65" s="216" t="s">
        <v>87</v>
      </c>
      <c r="F65" s="219">
        <v>1.31</v>
      </c>
    </row>
    <row r="66" spans="1:8">
      <c r="A66" s="216">
        <v>39332</v>
      </c>
      <c r="B66" s="217" t="s">
        <v>680</v>
      </c>
      <c r="C66" s="216" t="s">
        <v>24</v>
      </c>
      <c r="D66" s="216" t="s">
        <v>79</v>
      </c>
      <c r="E66" s="216" t="s">
        <v>12</v>
      </c>
      <c r="F66" s="219">
        <v>6.95</v>
      </c>
    </row>
    <row r="67" spans="1:8">
      <c r="A67" s="216">
        <v>4509</v>
      </c>
      <c r="B67" s="217" t="s">
        <v>94</v>
      </c>
      <c r="C67" s="216" t="s">
        <v>24</v>
      </c>
      <c r="D67" s="216" t="s">
        <v>79</v>
      </c>
      <c r="E67" s="216" t="s">
        <v>49</v>
      </c>
      <c r="F67" s="219">
        <v>5.69</v>
      </c>
      <c r="G67" s="220"/>
      <c r="H67" s="220"/>
    </row>
    <row r="68" spans="1:8" ht="20">
      <c r="A68" s="216">
        <v>43465</v>
      </c>
      <c r="B68" s="217" t="s">
        <v>191</v>
      </c>
      <c r="C68" s="216" t="s">
        <v>24</v>
      </c>
      <c r="D68" s="216" t="s">
        <v>145</v>
      </c>
      <c r="E68" s="216" t="s">
        <v>87</v>
      </c>
      <c r="F68" s="219">
        <v>0.78</v>
      </c>
    </row>
    <row r="69" spans="1:8" ht="20">
      <c r="A69" s="216">
        <v>43470</v>
      </c>
      <c r="B69" s="217" t="s">
        <v>213</v>
      </c>
      <c r="C69" s="216" t="s">
        <v>24</v>
      </c>
      <c r="D69" s="216" t="s">
        <v>145</v>
      </c>
      <c r="E69" s="216" t="s">
        <v>27</v>
      </c>
      <c r="F69" s="219">
        <v>11.14</v>
      </c>
    </row>
    <row r="70" spans="1:8">
      <c r="A70" s="216">
        <v>1106</v>
      </c>
      <c r="B70" s="217" t="s">
        <v>599</v>
      </c>
      <c r="C70" s="216" t="s">
        <v>24</v>
      </c>
      <c r="D70" s="216" t="s">
        <v>79</v>
      </c>
      <c r="E70" s="216" t="s">
        <v>54</v>
      </c>
      <c r="F70" s="219">
        <v>1.0900000000000001</v>
      </c>
    </row>
    <row r="71" spans="1:8">
      <c r="A71" s="216">
        <v>37596</v>
      </c>
      <c r="B71" s="217" t="s">
        <v>661</v>
      </c>
      <c r="C71" s="216" t="s">
        <v>24</v>
      </c>
      <c r="D71" s="216" t="s">
        <v>79</v>
      </c>
      <c r="E71" s="216" t="s">
        <v>54</v>
      </c>
      <c r="F71" s="219">
        <v>2.89</v>
      </c>
    </row>
    <row r="72" spans="1:8">
      <c r="A72" s="216">
        <v>38193</v>
      </c>
      <c r="B72" s="217" t="s">
        <v>676</v>
      </c>
      <c r="C72" s="216" t="s">
        <v>24</v>
      </c>
      <c r="D72" s="216" t="s">
        <v>79</v>
      </c>
      <c r="E72" s="216" t="s">
        <v>12</v>
      </c>
      <c r="F72" s="219">
        <v>3.76</v>
      </c>
      <c r="G72" s="220"/>
      <c r="H72" s="220"/>
    </row>
    <row r="73" spans="1:8">
      <c r="A73" s="216">
        <v>37595</v>
      </c>
      <c r="B73" s="217" t="s">
        <v>664</v>
      </c>
      <c r="C73" s="216" t="s">
        <v>24</v>
      </c>
      <c r="D73" s="216" t="s">
        <v>79</v>
      </c>
      <c r="E73" s="216" t="s">
        <v>54</v>
      </c>
      <c r="F73" s="219">
        <v>2.52</v>
      </c>
    </row>
    <row r="74" spans="1:8">
      <c r="A74" s="216">
        <v>37666</v>
      </c>
      <c r="B74" s="217" t="s">
        <v>616</v>
      </c>
      <c r="C74" s="216" t="s">
        <v>24</v>
      </c>
      <c r="D74" s="216" t="s">
        <v>130</v>
      </c>
      <c r="E74" s="216" t="s">
        <v>87</v>
      </c>
      <c r="F74" s="219">
        <v>12.41</v>
      </c>
    </row>
    <row r="75" spans="1:8" ht="20">
      <c r="A75" s="216">
        <v>43483</v>
      </c>
      <c r="B75" s="217" t="s">
        <v>187</v>
      </c>
      <c r="C75" s="216" t="s">
        <v>24</v>
      </c>
      <c r="D75" s="216" t="s">
        <v>145</v>
      </c>
      <c r="E75" s="216" t="s">
        <v>87</v>
      </c>
      <c r="F75" s="219">
        <v>1.43</v>
      </c>
    </row>
    <row r="76" spans="1:8">
      <c r="A76" s="216">
        <v>246</v>
      </c>
      <c r="B76" s="217" t="s">
        <v>217</v>
      </c>
      <c r="C76" s="216" t="s">
        <v>24</v>
      </c>
      <c r="D76" s="216" t="s">
        <v>130</v>
      </c>
      <c r="E76" s="216" t="s">
        <v>87</v>
      </c>
      <c r="F76" s="219">
        <v>15.57</v>
      </c>
    </row>
    <row r="77" spans="1:8" ht="20">
      <c r="A77" s="216">
        <v>43488</v>
      </c>
      <c r="B77" s="217" t="s">
        <v>193</v>
      </c>
      <c r="C77" s="216" t="s">
        <v>24</v>
      </c>
      <c r="D77" s="216" t="s">
        <v>145</v>
      </c>
      <c r="E77" s="216" t="s">
        <v>87</v>
      </c>
      <c r="F77" s="219">
        <v>0.89</v>
      </c>
      <c r="G77" s="220"/>
      <c r="H77" s="220"/>
    </row>
    <row r="78" spans="1:8">
      <c r="A78" s="216">
        <v>4221</v>
      </c>
      <c r="B78" s="217" t="s">
        <v>142</v>
      </c>
      <c r="C78" s="216" t="s">
        <v>24</v>
      </c>
      <c r="D78" s="216" t="s">
        <v>79</v>
      </c>
      <c r="E78" s="216" t="s">
        <v>112</v>
      </c>
      <c r="F78" s="219">
        <v>6.29</v>
      </c>
    </row>
    <row r="79" spans="1:8">
      <c r="A79" s="216">
        <v>5061</v>
      </c>
      <c r="B79" s="217" t="s">
        <v>101</v>
      </c>
      <c r="C79" s="216" t="s">
        <v>24</v>
      </c>
      <c r="D79" s="216" t="s">
        <v>79</v>
      </c>
      <c r="E79" s="216" t="s">
        <v>54</v>
      </c>
      <c r="F79" s="219">
        <v>20</v>
      </c>
    </row>
    <row r="80" spans="1:8" ht="30">
      <c r="A80" s="216">
        <v>37752</v>
      </c>
      <c r="B80" s="217" t="s">
        <v>179</v>
      </c>
      <c r="C80" s="216" t="s">
        <v>24</v>
      </c>
      <c r="D80" s="216" t="s">
        <v>89</v>
      </c>
      <c r="E80" s="216" t="s">
        <v>12</v>
      </c>
      <c r="F80" s="219">
        <v>578010.79</v>
      </c>
    </row>
    <row r="81" spans="1:8" ht="20">
      <c r="A81" s="216">
        <v>43474</v>
      </c>
      <c r="B81" s="217" t="s">
        <v>219</v>
      </c>
      <c r="C81" s="216" t="s">
        <v>24</v>
      </c>
      <c r="D81" s="216" t="s">
        <v>145</v>
      </c>
      <c r="E81" s="216" t="s">
        <v>27</v>
      </c>
      <c r="F81" s="219">
        <v>2.35</v>
      </c>
    </row>
    <row r="82" spans="1:8">
      <c r="A82" s="216">
        <v>7340</v>
      </c>
      <c r="B82" s="217" t="s">
        <v>195</v>
      </c>
      <c r="C82" s="216" t="s">
        <v>24</v>
      </c>
      <c r="D82" s="216" t="s">
        <v>79</v>
      </c>
      <c r="E82" s="216" t="s">
        <v>112</v>
      </c>
      <c r="F82" s="219">
        <v>33.5</v>
      </c>
    </row>
    <row r="83" spans="1:8">
      <c r="A83" s="216">
        <v>4096</v>
      </c>
      <c r="B83" s="217" t="s">
        <v>167</v>
      </c>
      <c r="C83" s="216" t="s">
        <v>24</v>
      </c>
      <c r="D83" s="216" t="s">
        <v>130</v>
      </c>
      <c r="E83" s="216" t="s">
        <v>87</v>
      </c>
      <c r="F83" s="219">
        <v>23.45</v>
      </c>
    </row>
    <row r="84" spans="1:8" ht="20">
      <c r="A84" s="216">
        <v>43485</v>
      </c>
      <c r="B84" s="217" t="s">
        <v>221</v>
      </c>
      <c r="C84" s="216" t="s">
        <v>24</v>
      </c>
      <c r="D84" s="216" t="s">
        <v>145</v>
      </c>
      <c r="E84" s="216" t="s">
        <v>87</v>
      </c>
      <c r="F84" s="219">
        <v>1.1299999999999999</v>
      </c>
      <c r="G84" s="220"/>
      <c r="H84" s="220"/>
    </row>
    <row r="85" spans="1:8" ht="20">
      <c r="A85" s="216">
        <v>43459</v>
      </c>
      <c r="B85" s="217" t="s">
        <v>197</v>
      </c>
      <c r="C85" s="216" t="s">
        <v>24</v>
      </c>
      <c r="D85" s="216" t="s">
        <v>145</v>
      </c>
      <c r="E85" s="216" t="s">
        <v>87</v>
      </c>
      <c r="F85" s="219">
        <v>0.44</v>
      </c>
      <c r="G85" s="220"/>
      <c r="H85" s="220"/>
    </row>
    <row r="86" spans="1:8">
      <c r="A86" s="216">
        <v>2705</v>
      </c>
      <c r="B86" s="217" t="s">
        <v>209</v>
      </c>
      <c r="C86" s="216" t="s">
        <v>24</v>
      </c>
      <c r="D86" s="216" t="s">
        <v>210</v>
      </c>
      <c r="E86" s="216" t="s">
        <v>211</v>
      </c>
      <c r="F86" s="219">
        <v>0.75</v>
      </c>
    </row>
    <row r="87" spans="1:8" ht="20">
      <c r="A87" s="216">
        <v>37373</v>
      </c>
      <c r="B87" s="217" t="s">
        <v>203</v>
      </c>
      <c r="C87" s="216" t="s">
        <v>24</v>
      </c>
      <c r="D87" s="216" t="s">
        <v>145</v>
      </c>
      <c r="E87" s="216" t="s">
        <v>87</v>
      </c>
      <c r="F87" s="219">
        <v>0.08</v>
      </c>
      <c r="G87" s="220"/>
      <c r="H87" s="220"/>
    </row>
    <row r="88" spans="1:8" ht="40">
      <c r="A88" s="216">
        <v>3363</v>
      </c>
      <c r="B88" s="217" t="s">
        <v>205</v>
      </c>
      <c r="C88" s="216" t="s">
        <v>24</v>
      </c>
      <c r="D88" s="216" t="s">
        <v>89</v>
      </c>
      <c r="E88" s="216" t="s">
        <v>12</v>
      </c>
      <c r="F88" s="219">
        <v>143450</v>
      </c>
    </row>
    <row r="89" spans="1:8" ht="20">
      <c r="A89" s="216">
        <v>1571</v>
      </c>
      <c r="B89" s="217" t="s">
        <v>675</v>
      </c>
      <c r="C89" s="216" t="s">
        <v>24</v>
      </c>
      <c r="D89" s="216" t="s">
        <v>79</v>
      </c>
      <c r="E89" s="216" t="s">
        <v>12</v>
      </c>
      <c r="F89" s="219">
        <v>1.31</v>
      </c>
    </row>
    <row r="90" spans="1:8" ht="20">
      <c r="A90" s="216">
        <v>11950</v>
      </c>
      <c r="B90" s="217" t="s">
        <v>116</v>
      </c>
      <c r="C90" s="216" t="s">
        <v>24</v>
      </c>
      <c r="D90" s="216" t="s">
        <v>79</v>
      </c>
      <c r="E90" s="216" t="s">
        <v>12</v>
      </c>
      <c r="F90" s="219">
        <v>0.2</v>
      </c>
    </row>
    <row r="91" spans="1:8">
      <c r="A91" s="216">
        <v>4721</v>
      </c>
      <c r="B91" s="217" t="s">
        <v>207</v>
      </c>
      <c r="C91" s="216" t="s">
        <v>24</v>
      </c>
      <c r="D91" s="216" t="s">
        <v>79</v>
      </c>
      <c r="E91" s="216" t="s">
        <v>40</v>
      </c>
      <c r="F91" s="219">
        <v>99.47</v>
      </c>
    </row>
    <row r="92" spans="1:8">
      <c r="A92" s="216">
        <v>21127</v>
      </c>
      <c r="B92" s="217" t="s">
        <v>109</v>
      </c>
      <c r="C92" s="216" t="s">
        <v>24</v>
      </c>
      <c r="D92" s="216" t="s">
        <v>79</v>
      </c>
      <c r="E92" s="216" t="s">
        <v>12</v>
      </c>
      <c r="F92" s="219">
        <v>3.4</v>
      </c>
    </row>
    <row r="93" spans="1:8" ht="20">
      <c r="A93" s="216">
        <v>43461</v>
      </c>
      <c r="B93" s="217" t="s">
        <v>225</v>
      </c>
      <c r="C93" s="216" t="s">
        <v>24</v>
      </c>
      <c r="D93" s="216" t="s">
        <v>145</v>
      </c>
      <c r="E93" s="216" t="s">
        <v>87</v>
      </c>
      <c r="F93" s="219">
        <v>0.31</v>
      </c>
    </row>
    <row r="94" spans="1:8" ht="20">
      <c r="A94" s="216">
        <v>14618</v>
      </c>
      <c r="B94" s="217" t="s">
        <v>227</v>
      </c>
      <c r="C94" s="216" t="s">
        <v>24</v>
      </c>
      <c r="D94" s="216" t="s">
        <v>89</v>
      </c>
      <c r="E94" s="216" t="s">
        <v>12</v>
      </c>
      <c r="F94" s="219">
        <v>1192.76</v>
      </c>
    </row>
    <row r="95" spans="1:8">
      <c r="A95" s="216">
        <v>5065</v>
      </c>
      <c r="B95" s="217" t="s">
        <v>92</v>
      </c>
      <c r="C95" s="216" t="s">
        <v>24</v>
      </c>
      <c r="D95" s="216" t="s">
        <v>79</v>
      </c>
      <c r="E95" s="216" t="s">
        <v>54</v>
      </c>
      <c r="F95" s="219">
        <v>38.700000000000003</v>
      </c>
    </row>
    <row r="96" spans="1:8" ht="30">
      <c r="A96" s="216">
        <v>746</v>
      </c>
      <c r="B96" s="217" t="s">
        <v>630</v>
      </c>
      <c r="C96" s="216" t="s">
        <v>24</v>
      </c>
      <c r="D96" s="216" t="s">
        <v>89</v>
      </c>
      <c r="E96" s="216" t="s">
        <v>12</v>
      </c>
      <c r="F96" s="219">
        <v>1486.18</v>
      </c>
    </row>
    <row r="97" spans="1:8" ht="20">
      <c r="A97" s="216">
        <v>10535</v>
      </c>
      <c r="B97" s="217" t="s">
        <v>612</v>
      </c>
      <c r="C97" s="216" t="s">
        <v>24</v>
      </c>
      <c r="D97" s="216" t="s">
        <v>89</v>
      </c>
      <c r="E97" s="216" t="s">
        <v>12</v>
      </c>
      <c r="F97" s="219">
        <v>4900</v>
      </c>
    </row>
    <row r="98" spans="1:8">
      <c r="A98" s="216">
        <v>5069</v>
      </c>
      <c r="B98" s="217" t="s">
        <v>93</v>
      </c>
      <c r="C98" s="216" t="s">
        <v>24</v>
      </c>
      <c r="D98" s="216" t="s">
        <v>79</v>
      </c>
      <c r="E98" s="216" t="s">
        <v>54</v>
      </c>
      <c r="F98" s="219">
        <v>20.74</v>
      </c>
    </row>
    <row r="99" spans="1:8" ht="20">
      <c r="A99" s="216">
        <v>43464</v>
      </c>
      <c r="B99" s="217" t="s">
        <v>223</v>
      </c>
      <c r="C99" s="216" t="s">
        <v>24</v>
      </c>
      <c r="D99" s="216" t="s">
        <v>145</v>
      </c>
      <c r="E99" s="216" t="s">
        <v>87</v>
      </c>
      <c r="F99" s="219">
        <v>0.01</v>
      </c>
      <c r="G99" s="220"/>
      <c r="H99" s="220"/>
    </row>
    <row r="100" spans="1:8" ht="20">
      <c r="A100" s="216">
        <v>40864</v>
      </c>
      <c r="B100" s="217" t="s">
        <v>229</v>
      </c>
      <c r="C100" s="216" t="s">
        <v>24</v>
      </c>
      <c r="D100" s="216" t="s">
        <v>145</v>
      </c>
      <c r="E100" s="216" t="s">
        <v>27</v>
      </c>
      <c r="F100" s="219">
        <v>15.46</v>
      </c>
    </row>
    <row r="101" spans="1:8">
      <c r="A101" s="216"/>
      <c r="B101" s="217"/>
      <c r="C101" s="216"/>
      <c r="D101" s="216"/>
      <c r="E101" s="216"/>
      <c r="F101" s="218"/>
    </row>
    <row r="102" spans="1:8">
      <c r="A102" s="216"/>
      <c r="B102" s="217"/>
      <c r="C102" s="216"/>
      <c r="D102" s="216"/>
      <c r="E102" s="216"/>
      <c r="F102" s="218"/>
    </row>
    <row r="103" spans="1:8">
      <c r="A103" s="216"/>
      <c r="B103" s="217"/>
      <c r="C103" s="216"/>
      <c r="D103" s="216"/>
      <c r="E103" s="216"/>
      <c r="F103" s="218"/>
    </row>
    <row r="104" spans="1:8">
      <c r="A104" s="216"/>
      <c r="B104" s="217"/>
      <c r="C104" s="216"/>
      <c r="D104" s="216"/>
      <c r="E104" s="216"/>
      <c r="F104" s="218"/>
    </row>
    <row r="105" spans="1:8">
      <c r="A105" s="216"/>
      <c r="B105" s="217"/>
      <c r="C105" s="216"/>
      <c r="D105" s="216"/>
      <c r="E105" s="216"/>
      <c r="F105" s="218"/>
    </row>
    <row r="106" spans="1:8">
      <c r="A106" s="216"/>
      <c r="B106" s="217"/>
      <c r="C106" s="216"/>
      <c r="D106" s="216"/>
      <c r="E106" s="216"/>
      <c r="F106" s="218"/>
    </row>
    <row r="107" spans="1:8">
      <c r="A107" s="216"/>
      <c r="B107" s="217"/>
      <c r="C107" s="216"/>
      <c r="D107" s="216"/>
      <c r="E107" s="216"/>
      <c r="F107" s="218"/>
    </row>
    <row r="108" spans="1:8">
      <c r="A108" s="216"/>
      <c r="B108" s="217"/>
      <c r="C108" s="216"/>
      <c r="D108" s="216"/>
      <c r="E108" s="216"/>
      <c r="F108" s="218"/>
    </row>
    <row r="109" spans="1:8">
      <c r="A109" s="216"/>
      <c r="B109" s="217"/>
      <c r="C109" s="216"/>
      <c r="D109" s="216"/>
      <c r="E109" s="216"/>
      <c r="F109" s="218"/>
    </row>
    <row r="110" spans="1:8">
      <c r="A110" s="216"/>
      <c r="B110" s="217"/>
      <c r="C110" s="216"/>
      <c r="D110" s="216"/>
      <c r="E110" s="216"/>
      <c r="F110" s="218"/>
    </row>
    <row r="111" spans="1:8">
      <c r="A111" s="216"/>
      <c r="B111" s="217"/>
      <c r="C111" s="216"/>
      <c r="D111" s="216"/>
      <c r="E111" s="216"/>
      <c r="F111" s="218"/>
    </row>
    <row r="112" spans="1:8">
      <c r="A112" s="216"/>
      <c r="B112" s="217"/>
      <c r="C112" s="216"/>
      <c r="D112" s="216"/>
      <c r="E112" s="216"/>
      <c r="F112" s="218"/>
    </row>
    <row r="113" spans="1:9">
      <c r="A113" s="216"/>
      <c r="B113" s="217"/>
      <c r="C113" s="216"/>
      <c r="D113" s="216"/>
      <c r="E113" s="216"/>
      <c r="F113" s="218"/>
      <c r="H113" s="220"/>
      <c r="I113" s="220"/>
    </row>
    <row r="114" spans="1:9">
      <c r="A114" s="216"/>
      <c r="B114" s="217"/>
      <c r="C114" s="216"/>
      <c r="D114" s="216"/>
      <c r="E114" s="216"/>
      <c r="F114" s="218"/>
    </row>
    <row r="115" spans="1:9">
      <c r="A115" s="216"/>
      <c r="B115" s="217"/>
      <c r="C115" s="216"/>
      <c r="D115" s="216"/>
      <c r="E115" s="216"/>
      <c r="F115" s="218"/>
      <c r="H115" s="220"/>
      <c r="I115" s="220"/>
    </row>
    <row r="116" spans="1:9">
      <c r="A116" s="216"/>
      <c r="B116" s="217"/>
      <c r="C116" s="216"/>
      <c r="D116" s="216"/>
      <c r="E116" s="216"/>
      <c r="F116" s="218"/>
    </row>
    <row r="117" spans="1:9">
      <c r="A117" s="216"/>
      <c r="B117" s="217"/>
      <c r="C117" s="216"/>
      <c r="D117" s="216"/>
      <c r="E117" s="216"/>
      <c r="F117" s="218"/>
    </row>
    <row r="118" spans="1:9">
      <c r="A118" s="216"/>
      <c r="B118" s="217"/>
      <c r="C118" s="216"/>
      <c r="D118" s="216"/>
      <c r="E118" s="216"/>
      <c r="F118" s="218"/>
    </row>
    <row r="119" spans="1:9">
      <c r="A119" s="216"/>
      <c r="B119" s="217"/>
      <c r="C119" s="216"/>
      <c r="D119" s="216"/>
      <c r="E119" s="216"/>
      <c r="F119" s="218"/>
    </row>
    <row r="120" spans="1:9">
      <c r="A120" s="216"/>
      <c r="B120" s="217"/>
      <c r="C120" s="216"/>
      <c r="D120" s="216"/>
      <c r="E120" s="216"/>
      <c r="F120" s="218"/>
    </row>
    <row r="121" spans="1:9">
      <c r="A121" s="216"/>
      <c r="B121" s="217"/>
      <c r="C121" s="216"/>
      <c r="D121" s="216"/>
      <c r="E121" s="216"/>
      <c r="F121" s="218"/>
      <c r="H121" s="220"/>
      <c r="I121" s="220"/>
    </row>
    <row r="122" spans="1:9">
      <c r="A122" s="216"/>
      <c r="B122" s="217"/>
      <c r="C122" s="216"/>
      <c r="D122" s="216"/>
      <c r="E122" s="216"/>
      <c r="F122" s="218"/>
    </row>
    <row r="123" spans="1:9">
      <c r="A123" s="216"/>
      <c r="B123" s="217"/>
      <c r="C123" s="216"/>
      <c r="D123" s="216"/>
      <c r="E123" s="216"/>
      <c r="F123" s="218"/>
    </row>
    <row r="124" spans="1:9">
      <c r="A124" s="216"/>
      <c r="B124" s="217"/>
      <c r="C124" s="216"/>
      <c r="D124" s="216"/>
      <c r="E124" s="216"/>
      <c r="F124" s="218"/>
    </row>
    <row r="125" spans="1:9">
      <c r="A125" s="216"/>
      <c r="B125" s="217"/>
      <c r="C125" s="216"/>
      <c r="D125" s="216"/>
      <c r="E125" s="216"/>
      <c r="F125" s="218"/>
    </row>
    <row r="126" spans="1:9">
      <c r="A126" s="216"/>
      <c r="B126" s="217"/>
      <c r="C126" s="216"/>
      <c r="D126" s="216"/>
      <c r="E126" s="216"/>
      <c r="F126" s="218"/>
    </row>
    <row r="127" spans="1:9">
      <c r="A127" s="216"/>
      <c r="B127" s="217"/>
      <c r="C127" s="216"/>
      <c r="D127" s="216"/>
      <c r="E127" s="216"/>
      <c r="F127" s="218"/>
    </row>
    <row r="128" spans="1:9">
      <c r="A128" s="216"/>
      <c r="B128" s="217"/>
      <c r="C128" s="216"/>
      <c r="D128" s="216"/>
      <c r="E128" s="216"/>
      <c r="F128" s="218"/>
    </row>
    <row r="129" spans="1:9">
      <c r="A129" s="216"/>
      <c r="B129" s="217"/>
      <c r="C129" s="216"/>
      <c r="D129" s="216"/>
      <c r="E129" s="216"/>
      <c r="F129" s="218"/>
    </row>
    <row r="130" spans="1:9">
      <c r="A130" s="216"/>
      <c r="B130" s="217"/>
      <c r="C130" s="216"/>
      <c r="D130" s="216"/>
      <c r="E130" s="216"/>
      <c r="F130" s="218"/>
    </row>
    <row r="131" spans="1:9">
      <c r="A131" s="216"/>
      <c r="B131" s="217"/>
      <c r="C131" s="216"/>
      <c r="D131" s="216"/>
      <c r="E131" s="216"/>
      <c r="F131" s="218"/>
    </row>
    <row r="132" spans="1:9">
      <c r="A132" s="216"/>
      <c r="B132" s="217"/>
      <c r="C132" s="216"/>
      <c r="D132" s="216"/>
      <c r="E132" s="216"/>
      <c r="F132" s="218"/>
    </row>
    <row r="133" spans="1:9">
      <c r="A133" s="216"/>
      <c r="B133" s="217"/>
      <c r="C133" s="216"/>
      <c r="D133" s="216"/>
      <c r="E133" s="216"/>
      <c r="F133" s="218"/>
    </row>
    <row r="134" spans="1:9">
      <c r="A134" s="216"/>
      <c r="B134" s="217"/>
      <c r="C134" s="216"/>
      <c r="D134" s="216"/>
      <c r="E134" s="216"/>
      <c r="F134" s="218"/>
    </row>
    <row r="135" spans="1:9">
      <c r="A135" s="216"/>
      <c r="B135" s="217"/>
      <c r="C135" s="216"/>
      <c r="D135" s="216"/>
      <c r="E135" s="216"/>
      <c r="F135" s="218"/>
      <c r="H135" s="220"/>
      <c r="I135" s="220"/>
    </row>
    <row r="136" spans="1:9">
      <c r="A136" s="216"/>
      <c r="B136" s="217"/>
      <c r="C136" s="216"/>
      <c r="D136" s="216"/>
      <c r="E136" s="216"/>
      <c r="F136" s="218"/>
    </row>
    <row r="137" spans="1:9">
      <c r="A137" s="216"/>
      <c r="B137" s="217"/>
      <c r="C137" s="216"/>
      <c r="D137" s="216"/>
      <c r="E137" s="216"/>
      <c r="F137" s="218"/>
    </row>
    <row r="138" spans="1:9">
      <c r="A138" s="216"/>
      <c r="B138" s="217"/>
      <c r="C138" s="216"/>
      <c r="D138" s="216"/>
      <c r="E138" s="216"/>
      <c r="F138" s="218"/>
    </row>
    <row r="139" spans="1:9">
      <c r="A139" s="216"/>
      <c r="B139" s="217"/>
      <c r="C139" s="216"/>
      <c r="D139" s="216"/>
      <c r="E139" s="216"/>
      <c r="F139" s="218"/>
    </row>
    <row r="140" spans="1:9">
      <c r="A140" s="216"/>
      <c r="B140" s="217"/>
      <c r="C140" s="216"/>
      <c r="D140" s="216"/>
      <c r="E140" s="216"/>
      <c r="F140" s="218"/>
    </row>
    <row r="141" spans="1:9">
      <c r="A141" s="216"/>
      <c r="B141" s="217"/>
      <c r="C141" s="216"/>
      <c r="D141" s="216"/>
      <c r="E141" s="216"/>
      <c r="F141" s="218"/>
      <c r="H141" s="220"/>
      <c r="I141" s="220"/>
    </row>
    <row r="142" spans="1:9">
      <c r="A142" s="216"/>
      <c r="B142" s="217"/>
      <c r="C142" s="216"/>
      <c r="D142" s="216"/>
      <c r="E142" s="216"/>
      <c r="F142" s="218"/>
    </row>
    <row r="143" spans="1:9">
      <c r="A143" s="216"/>
      <c r="B143" s="217"/>
      <c r="C143" s="216"/>
      <c r="D143" s="216"/>
      <c r="E143" s="216"/>
      <c r="F143" s="218"/>
    </row>
    <row r="144" spans="1:9">
      <c r="A144" s="216"/>
      <c r="B144" s="217"/>
      <c r="C144" s="216"/>
      <c r="D144" s="216"/>
      <c r="E144" s="216"/>
      <c r="F144" s="218"/>
      <c r="H144" s="220"/>
      <c r="I144" s="220"/>
    </row>
    <row r="145" spans="1:9">
      <c r="A145" s="216"/>
      <c r="B145" s="217"/>
      <c r="C145" s="216"/>
      <c r="D145" s="216"/>
      <c r="E145" s="216"/>
      <c r="F145" s="218"/>
    </row>
    <row r="146" spans="1:9">
      <c r="A146" s="216"/>
      <c r="B146" s="217"/>
      <c r="C146" s="216"/>
      <c r="D146" s="216"/>
      <c r="E146" s="216"/>
      <c r="F146" s="218"/>
    </row>
    <row r="147" spans="1:9">
      <c r="A147" s="216"/>
      <c r="B147" s="217"/>
      <c r="C147" s="216"/>
      <c r="D147" s="216"/>
      <c r="E147" s="216"/>
      <c r="F147" s="218"/>
    </row>
    <row r="148" spans="1:9">
      <c r="A148" s="216"/>
      <c r="B148" s="217"/>
      <c r="C148" s="216"/>
      <c r="D148" s="216"/>
      <c r="E148" s="216"/>
      <c r="F148" s="218"/>
    </row>
    <row r="149" spans="1:9">
      <c r="A149" s="216"/>
      <c r="B149" s="217"/>
      <c r="C149" s="216"/>
      <c r="D149" s="216"/>
      <c r="E149" s="216"/>
      <c r="F149" s="218"/>
    </row>
    <row r="150" spans="1:9">
      <c r="A150" s="216"/>
      <c r="B150" s="217"/>
      <c r="C150" s="216"/>
      <c r="D150" s="216"/>
      <c r="E150" s="216"/>
      <c r="F150" s="218"/>
    </row>
    <row r="151" spans="1:9">
      <c r="A151" s="216"/>
      <c r="B151" s="217"/>
      <c r="C151" s="216"/>
      <c r="D151" s="216"/>
      <c r="E151" s="216"/>
      <c r="F151" s="218"/>
      <c r="H151" s="220"/>
      <c r="I151" s="220"/>
    </row>
    <row r="152" spans="1:9">
      <c r="A152" s="216"/>
      <c r="B152" s="217"/>
      <c r="C152" s="216"/>
      <c r="D152" s="216"/>
      <c r="E152" s="216"/>
      <c r="F152" s="218"/>
    </row>
    <row r="153" spans="1:9">
      <c r="A153" s="216"/>
      <c r="B153" s="217"/>
      <c r="C153" s="216"/>
      <c r="D153" s="216"/>
      <c r="E153" s="216"/>
      <c r="F153" s="218"/>
      <c r="H153" s="220"/>
      <c r="I153" s="220"/>
    </row>
    <row r="154" spans="1:9">
      <c r="A154" s="216"/>
      <c r="B154" s="217"/>
      <c r="C154" s="216"/>
      <c r="D154" s="216"/>
      <c r="E154" s="216"/>
      <c r="F154" s="218"/>
    </row>
    <row r="155" spans="1:9">
      <c r="A155" s="216"/>
      <c r="B155" s="217"/>
      <c r="C155" s="216"/>
      <c r="D155" s="216"/>
      <c r="E155" s="216"/>
      <c r="F155" s="218"/>
    </row>
    <row r="156" spans="1:9">
      <c r="A156" s="216"/>
      <c r="B156" s="217"/>
      <c r="C156" s="216"/>
      <c r="D156" s="216"/>
      <c r="E156" s="216"/>
      <c r="F156" s="218"/>
      <c r="H156" s="220"/>
      <c r="I156" s="220"/>
    </row>
    <row r="157" spans="1:9">
      <c r="A157" s="216"/>
      <c r="B157" s="217"/>
      <c r="C157" s="216"/>
      <c r="D157" s="216"/>
      <c r="E157" s="216"/>
      <c r="F157" s="218"/>
    </row>
    <row r="158" spans="1:9">
      <c r="A158" s="216"/>
      <c r="B158" s="217"/>
      <c r="C158" s="216"/>
      <c r="D158" s="216"/>
      <c r="E158" s="216"/>
      <c r="F158" s="218"/>
    </row>
    <row r="159" spans="1:9">
      <c r="A159" s="216"/>
      <c r="B159" s="217"/>
      <c r="C159" s="216"/>
      <c r="D159" s="216"/>
      <c r="E159" s="216"/>
      <c r="F159" s="218"/>
    </row>
    <row r="160" spans="1:9">
      <c r="A160" s="216"/>
      <c r="B160" s="217"/>
      <c r="C160" s="216"/>
      <c r="D160" s="216"/>
      <c r="E160" s="216"/>
      <c r="F160" s="218"/>
    </row>
    <row r="161" spans="1:6">
      <c r="A161" s="216"/>
      <c r="B161" s="217"/>
      <c r="C161" s="216"/>
      <c r="D161" s="216"/>
      <c r="E161" s="216"/>
      <c r="F161" s="218"/>
    </row>
    <row r="162" spans="1:6">
      <c r="A162" s="216"/>
      <c r="B162" s="217"/>
      <c r="C162" s="216"/>
      <c r="D162" s="216"/>
      <c r="E162" s="216"/>
      <c r="F162" s="218"/>
    </row>
    <row r="163" spans="1:6" ht="25" customHeight="1">
      <c r="A163" s="216"/>
      <c r="B163" s="217"/>
      <c r="C163" s="216"/>
      <c r="D163" s="216"/>
      <c r="E163" s="216"/>
      <c r="F163" s="218"/>
    </row>
    <row r="164" spans="1:6" ht="25" customHeight="1">
      <c r="A164" s="216"/>
      <c r="B164" s="217"/>
      <c r="C164" s="216"/>
      <c r="D164" s="216"/>
      <c r="E164" s="216"/>
      <c r="F164" s="218"/>
    </row>
    <row r="165" spans="1:6" ht="25" customHeight="1">
      <c r="A165" s="216"/>
      <c r="B165" s="217"/>
      <c r="C165" s="216"/>
      <c r="D165" s="216"/>
      <c r="E165" s="216"/>
      <c r="F165" s="218"/>
    </row>
    <row r="166" spans="1:6">
      <c r="A166" s="216"/>
      <c r="B166" s="217"/>
      <c r="C166" s="216"/>
      <c r="D166" s="216"/>
      <c r="E166" s="216"/>
      <c r="F166" s="218"/>
    </row>
    <row r="167" spans="1:6">
      <c r="A167" s="216"/>
      <c r="B167" s="217"/>
      <c r="C167" s="216"/>
      <c r="D167" s="216"/>
      <c r="E167" s="216"/>
      <c r="F167" s="218"/>
    </row>
    <row r="168" spans="1:6">
      <c r="A168" s="216"/>
      <c r="B168" s="217"/>
      <c r="C168" s="216"/>
      <c r="D168" s="216"/>
      <c r="E168" s="216"/>
      <c r="F168" s="218"/>
    </row>
    <row r="169" spans="1:6">
      <c r="A169" s="216"/>
      <c r="B169" s="217"/>
      <c r="C169" s="216"/>
      <c r="D169" s="216"/>
      <c r="E169" s="216"/>
      <c r="F169" s="218"/>
    </row>
    <row r="170" spans="1:6">
      <c r="A170" s="216"/>
      <c r="B170" s="217"/>
      <c r="C170" s="216"/>
      <c r="D170" s="216"/>
      <c r="E170" s="216"/>
      <c r="F170" s="218"/>
    </row>
    <row r="171" spans="1:6">
      <c r="A171" s="216"/>
      <c r="B171" s="217"/>
      <c r="C171" s="216"/>
      <c r="D171" s="216"/>
      <c r="E171" s="216"/>
      <c r="F171" s="218"/>
    </row>
    <row r="172" spans="1:6">
      <c r="A172" s="216"/>
      <c r="B172" s="217"/>
      <c r="C172" s="216"/>
      <c r="D172" s="216"/>
      <c r="E172" s="216"/>
      <c r="F172" s="218"/>
    </row>
    <row r="173" spans="1:6" hidden="1"/>
  </sheetData>
  <autoFilter ref="A11:F172" xr:uid="{00000000-0009-0000-0000-000005000000}"/>
  <conditionalFormatting sqref="D5:D9">
    <cfRule type="cellIs" dxfId="22" priority="2" operator="equal">
      <formula>0</formula>
    </cfRule>
  </conditionalFormatting>
  <conditionalFormatting sqref="E5:E9">
    <cfRule type="cellIs" dxfId="21" priority="1" operator="equal">
      <formula>0</formula>
    </cfRule>
  </conditionalFormatting>
  <pageMargins left="0.51181102362204722" right="0.51181102362204722" top="0.51181102362204722" bottom="0.70866141732283472" header="0" footer="0.19685039370078741"/>
  <pageSetup paperSize="9" scale="80" orientation="landscape" r:id="rId1"/>
  <headerFooter>
    <oddFooter>&amp;L&amp;9&amp;A&amp;R&amp;9Página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J82"/>
  <sheetViews>
    <sheetView view="pageBreakPreview" zoomScale="70" zoomScaleNormal="70" zoomScaleSheetLayoutView="70" zoomScalePageLayoutView="85" workbookViewId="0">
      <selection activeCell="I56" sqref="I56"/>
    </sheetView>
  </sheetViews>
  <sheetFormatPr defaultColWidth="9.33203125" defaultRowHeight="15" customHeight="1"/>
  <cols>
    <col min="1" max="1" width="9" style="3" customWidth="1"/>
    <col min="2" max="2" width="9.75" style="3" customWidth="1"/>
    <col min="3" max="3" width="46" style="3" customWidth="1"/>
    <col min="4" max="4" width="7.5" style="3" customWidth="1"/>
    <col min="5" max="5" width="12.75" style="3" customWidth="1"/>
    <col min="6" max="6" width="28.75" style="4" customWidth="1"/>
    <col min="7" max="8" width="28.75" style="5" customWidth="1"/>
    <col min="9" max="9" width="12.75" style="3" customWidth="1"/>
    <col min="10" max="10" width="16.75" style="3" customWidth="1"/>
    <col min="11" max="11" width="17.33203125" style="3" customWidth="1"/>
    <col min="12" max="34" width="12.83203125" style="3" customWidth="1"/>
    <col min="35" max="35" width="1.33203125" style="3" customWidth="1"/>
    <col min="36" max="37" width="12.83203125" style="3" customWidth="1"/>
    <col min="38" max="16384" width="9.33203125" style="3"/>
  </cols>
  <sheetData>
    <row r="1" spans="1:10" ht="50.15" customHeight="1"/>
    <row r="2" spans="1:10" ht="25" customHeight="1">
      <c r="A2" s="14" t="s">
        <v>343</v>
      </c>
      <c r="B2" s="14"/>
      <c r="C2" s="14"/>
      <c r="D2" s="14"/>
      <c r="E2" s="14"/>
      <c r="F2" s="14"/>
      <c r="G2" s="14"/>
      <c r="H2" s="14"/>
      <c r="I2" s="14"/>
      <c r="J2" s="14"/>
    </row>
    <row r="3" spans="1:10" ht="5.15" customHeight="1">
      <c r="A3" s="27"/>
      <c r="B3" s="27"/>
      <c r="C3" s="27"/>
      <c r="D3" s="27"/>
      <c r="E3" s="27"/>
      <c r="F3" s="27"/>
      <c r="G3" s="27"/>
      <c r="H3" s="27"/>
      <c r="I3" s="27"/>
    </row>
    <row r="4" spans="1:10" ht="15" customHeight="1">
      <c r="A4" s="18" t="s">
        <v>321</v>
      </c>
      <c r="B4" s="19" t="str">
        <f>RESUMO!B4</f>
        <v>SUBSTITUIÇÃO DE ELEVADORES NA SEDE DA JUSTIÇA FEDERAL NA PARAÍBA - R2</v>
      </c>
      <c r="C4" s="19"/>
      <c r="D4" s="19"/>
      <c r="E4" s="19"/>
      <c r="F4" s="19"/>
      <c r="G4" s="19"/>
      <c r="H4" s="19"/>
      <c r="I4" s="222"/>
    </row>
    <row r="5" spans="1:10" ht="15" customHeight="1">
      <c r="A5" s="26" t="s">
        <v>325</v>
      </c>
      <c r="B5" s="27" t="str">
        <f>RESUMO!B5</f>
        <v>R2 - 15/04/2025</v>
      </c>
      <c r="C5" s="27"/>
      <c r="D5" s="27"/>
      <c r="E5" s="27"/>
      <c r="F5" s="21" t="s">
        <v>334</v>
      </c>
      <c r="G5" s="24"/>
      <c r="H5" s="21" t="s">
        <v>329</v>
      </c>
      <c r="I5" s="25">
        <f>RESUMO!$F$5</f>
        <v>45762</v>
      </c>
    </row>
    <row r="6" spans="1:10" ht="15" customHeight="1">
      <c r="A6" s="26" t="s">
        <v>322</v>
      </c>
      <c r="B6" s="27" t="str">
        <f>RESUMO!B6</f>
        <v>RUA JOÃO TEIXEIRA DE CARVALHO, 480, PEDRO GONDIM, JOÃO PESSOA/PB</v>
      </c>
      <c r="C6" s="27"/>
      <c r="D6" s="27"/>
      <c r="E6" s="27"/>
      <c r="F6" s="29" t="str">
        <f>RESUMO!$C$6</f>
        <v>SINAPI</v>
      </c>
      <c r="G6" s="30" t="str">
        <f>RESUMO!$D$6</f>
        <v>2025/02</v>
      </c>
      <c r="H6" s="26" t="s">
        <v>443</v>
      </c>
      <c r="I6" s="30">
        <f>RESUMO!$F$6</f>
        <v>0.23530000000000001</v>
      </c>
    </row>
    <row r="7" spans="1:10" ht="15" customHeight="1">
      <c r="A7" s="26" t="s">
        <v>323</v>
      </c>
      <c r="B7" s="27" t="str">
        <f>RESUMO!B7</f>
        <v>JUSTIÇA FEDERAL NA PARAÍBA</v>
      </c>
      <c r="C7" s="27"/>
      <c r="D7" s="27"/>
      <c r="E7" s="27"/>
      <c r="F7" s="29" t="str">
        <f>RESUMO!$C$7</f>
        <v>SICRO</v>
      </c>
      <c r="G7" s="30" t="str">
        <f>RESUMO!$D$7</f>
        <v>2025/01</v>
      </c>
      <c r="H7" s="26" t="s">
        <v>330</v>
      </c>
      <c r="I7" s="30">
        <f>RESUMO!$F$7</f>
        <v>0.1527</v>
      </c>
    </row>
    <row r="8" spans="1:10" ht="15" customHeight="1">
      <c r="A8" s="26" t="s">
        <v>328</v>
      </c>
      <c r="B8" s="27" t="str">
        <f>RESUMO!B8</f>
        <v>JOSÉ MENDONÇA FILHO SEGUNDO</v>
      </c>
      <c r="C8" s="27"/>
      <c r="D8" s="27"/>
      <c r="E8" s="27"/>
      <c r="F8" s="29" t="str">
        <f>RESUMO!$C$8</f>
        <v>SBC</v>
      </c>
      <c r="G8" s="30" t="str">
        <f>RESUMO!$D$8</f>
        <v>2025/02</v>
      </c>
      <c r="H8" s="26" t="s">
        <v>331</v>
      </c>
      <c r="I8" s="30">
        <f>RESUMO!$F$8</f>
        <v>1.1359999999999999</v>
      </c>
    </row>
    <row r="9" spans="1:10" ht="15" customHeight="1">
      <c r="A9" s="31" t="s">
        <v>324</v>
      </c>
      <c r="B9" s="32" t="str">
        <f>RESUMO!B9</f>
        <v>ENGENHEIRO MECÂNICO - CREA 060136183-0</v>
      </c>
      <c r="C9" s="32"/>
      <c r="D9" s="32"/>
      <c r="E9" s="32"/>
      <c r="F9" s="31" t="s">
        <v>325</v>
      </c>
      <c r="G9" s="34" t="str">
        <f>RESUMO!$D$9</f>
        <v>R2</v>
      </c>
      <c r="H9" s="31" t="s">
        <v>332</v>
      </c>
      <c r="I9" s="34">
        <f>RESUMO!$F$9</f>
        <v>0.6984999999999999</v>
      </c>
    </row>
    <row r="10" spans="1:10" ht="5.15" customHeight="1">
      <c r="F10" s="3"/>
      <c r="G10" s="3"/>
      <c r="H10" s="3"/>
    </row>
    <row r="11" spans="1:10" s="229" customFormat="1" ht="25" customHeight="1">
      <c r="A11" s="223" t="s">
        <v>1</v>
      </c>
      <c r="B11" s="224" t="s">
        <v>344</v>
      </c>
      <c r="C11" s="223" t="s">
        <v>3</v>
      </c>
      <c r="D11" s="225" t="s">
        <v>122</v>
      </c>
      <c r="E11" s="225" t="s">
        <v>310</v>
      </c>
      <c r="F11" s="226" t="s">
        <v>311</v>
      </c>
      <c r="G11" s="227" t="s">
        <v>312</v>
      </c>
      <c r="H11" s="227" t="s">
        <v>313</v>
      </c>
      <c r="I11" s="228" t="s">
        <v>314</v>
      </c>
    </row>
    <row r="12" spans="1:10" s="229" customFormat="1" ht="5.15" customHeight="1" thickBot="1">
      <c r="A12" s="230"/>
      <c r="B12" s="230"/>
      <c r="C12" s="231"/>
      <c r="D12" s="232"/>
      <c r="E12" s="232"/>
      <c r="F12" s="233"/>
      <c r="G12" s="233"/>
      <c r="H12" s="233"/>
      <c r="I12" s="233"/>
    </row>
    <row r="13" spans="1:10" s="241" customFormat="1" ht="21.5" customHeight="1">
      <c r="A13" s="234"/>
      <c r="B13" s="235"/>
      <c r="C13" s="236" t="s">
        <v>667</v>
      </c>
      <c r="D13" s="237" t="s">
        <v>12</v>
      </c>
      <c r="E13" s="238" t="s">
        <v>315</v>
      </c>
      <c r="F13" s="239" t="s">
        <v>698</v>
      </c>
      <c r="G13" s="239" t="s">
        <v>747</v>
      </c>
      <c r="H13" s="240" t="s">
        <v>699</v>
      </c>
      <c r="I13" s="486">
        <f>MIN(F18:H18)</f>
        <v>194896.1</v>
      </c>
    </row>
    <row r="14" spans="1:10" ht="15" customHeight="1">
      <c r="A14" s="242"/>
      <c r="B14" s="243"/>
      <c r="C14" s="244"/>
      <c r="D14" s="245"/>
      <c r="E14" s="246" t="s">
        <v>316</v>
      </c>
      <c r="F14" s="247" t="s">
        <v>700</v>
      </c>
      <c r="G14" s="247" t="s">
        <v>751</v>
      </c>
      <c r="H14" s="248" t="s">
        <v>701</v>
      </c>
      <c r="I14" s="574" t="s">
        <v>770</v>
      </c>
      <c r="J14" s="488"/>
    </row>
    <row r="15" spans="1:10" ht="15" customHeight="1">
      <c r="A15" s="242"/>
      <c r="B15" s="243"/>
      <c r="C15" s="244"/>
      <c r="D15" s="245"/>
      <c r="E15" s="246" t="s">
        <v>317</v>
      </c>
      <c r="F15" s="249" t="s">
        <v>702</v>
      </c>
      <c r="G15" s="249" t="s">
        <v>750</v>
      </c>
      <c r="H15" s="250" t="s">
        <v>703</v>
      </c>
      <c r="I15" s="574"/>
      <c r="J15" s="488"/>
    </row>
    <row r="16" spans="1:10" ht="15" customHeight="1">
      <c r="A16" s="242"/>
      <c r="B16" s="243"/>
      <c r="C16" s="244"/>
      <c r="D16" s="245"/>
      <c r="E16" s="246" t="s">
        <v>318</v>
      </c>
      <c r="F16" s="249" t="s">
        <v>704</v>
      </c>
      <c r="G16" s="249" t="s">
        <v>749</v>
      </c>
      <c r="H16" s="250" t="s">
        <v>705</v>
      </c>
      <c r="I16" s="574"/>
      <c r="J16" s="241"/>
    </row>
    <row r="17" spans="1:10" ht="15" customHeight="1">
      <c r="A17" s="242"/>
      <c r="B17" s="243"/>
      <c r="C17" s="244"/>
      <c r="D17" s="245"/>
      <c r="E17" s="246" t="s">
        <v>319</v>
      </c>
      <c r="F17" s="249" t="s">
        <v>706</v>
      </c>
      <c r="G17" s="249" t="s">
        <v>748</v>
      </c>
      <c r="H17" s="250" t="s">
        <v>707</v>
      </c>
      <c r="I17" s="490">
        <v>1.0254481600000001</v>
      </c>
      <c r="J17" s="487"/>
    </row>
    <row r="18" spans="1:10" ht="15" customHeight="1" thickBot="1">
      <c r="A18" s="251"/>
      <c r="B18" s="252"/>
      <c r="C18" s="253"/>
      <c r="D18" s="254"/>
      <c r="E18" s="255" t="s">
        <v>78</v>
      </c>
      <c r="F18" s="256">
        <f>F38</f>
        <v>194896.1</v>
      </c>
      <c r="G18" s="256">
        <f>F39</f>
        <v>326829.2404761904</v>
      </c>
      <c r="H18" s="257">
        <f>F40</f>
        <v>299479.64999999997</v>
      </c>
      <c r="I18" s="489">
        <f>TRUNC(I13*I17,2)</f>
        <v>199855.84</v>
      </c>
    </row>
    <row r="19" spans="1:10" ht="5.15" customHeight="1" thickBot="1">
      <c r="A19" s="230"/>
      <c r="B19" s="230"/>
      <c r="C19" s="231"/>
      <c r="D19" s="230"/>
      <c r="E19" s="258"/>
      <c r="F19" s="259"/>
      <c r="G19" s="259"/>
      <c r="H19" s="260"/>
      <c r="I19" s="259"/>
    </row>
    <row r="20" spans="1:10" ht="24" customHeight="1">
      <c r="A20" s="234"/>
      <c r="B20" s="235"/>
      <c r="C20" s="236" t="s">
        <v>708</v>
      </c>
      <c r="D20" s="237" t="s">
        <v>12</v>
      </c>
      <c r="E20" s="238" t="s">
        <v>315</v>
      </c>
      <c r="F20" s="239" t="s">
        <v>698</v>
      </c>
      <c r="G20" s="239" t="s">
        <v>747</v>
      </c>
      <c r="H20" s="240" t="s">
        <v>699</v>
      </c>
      <c r="I20" s="486">
        <f>MIN(F25:H25)</f>
        <v>233875.32</v>
      </c>
    </row>
    <row r="21" spans="1:10" ht="15" customHeight="1">
      <c r="A21" s="242"/>
      <c r="B21" s="243"/>
      <c r="C21" s="244"/>
      <c r="D21" s="245"/>
      <c r="E21" s="246" t="s">
        <v>316</v>
      </c>
      <c r="F21" s="247" t="str">
        <f>$F$14</f>
        <v>90.347.840./0001-18</v>
      </c>
      <c r="G21" s="247" t="s">
        <v>751</v>
      </c>
      <c r="H21" s="248" t="str">
        <f>$H$14</f>
        <v>00.028.986/0147-53</v>
      </c>
      <c r="I21" s="574" t="s">
        <v>770</v>
      </c>
    </row>
    <row r="22" spans="1:10" ht="15" customHeight="1">
      <c r="A22" s="242"/>
      <c r="B22" s="243"/>
      <c r="C22" s="244"/>
      <c r="D22" s="245"/>
      <c r="E22" s="246" t="s">
        <v>317</v>
      </c>
      <c r="F22" s="249" t="str">
        <f>$F$15</f>
        <v>01/11/24</v>
      </c>
      <c r="G22" s="249" t="s">
        <v>750</v>
      </c>
      <c r="H22" s="250" t="str">
        <f>$H$15</f>
        <v>07/11/24</v>
      </c>
      <c r="I22" s="574"/>
    </row>
    <row r="23" spans="1:10" ht="15" customHeight="1">
      <c r="A23" s="242"/>
      <c r="B23" s="243"/>
      <c r="C23" s="244"/>
      <c r="D23" s="245"/>
      <c r="E23" s="246" t="s">
        <v>318</v>
      </c>
      <c r="F23" s="249" t="str">
        <f>$F$16</f>
        <v>Rodrigo Ferreira</v>
      </c>
      <c r="G23" s="249" t="s">
        <v>749</v>
      </c>
      <c r="H23" s="250" t="str">
        <f>$H$16</f>
        <v>Candida Galindo</v>
      </c>
      <c r="I23" s="574"/>
    </row>
    <row r="24" spans="1:10" ht="15" customHeight="1">
      <c r="A24" s="242"/>
      <c r="B24" s="243"/>
      <c r="C24" s="244"/>
      <c r="D24" s="245"/>
      <c r="E24" s="246" t="s">
        <v>319</v>
      </c>
      <c r="F24" s="249" t="str">
        <f>$F$17</f>
        <v>rodrigo.silva7@tkelevator.com</v>
      </c>
      <c r="G24" s="249" t="s">
        <v>748</v>
      </c>
      <c r="H24" s="250" t="str">
        <f>$H$17</f>
        <v xml:space="preserve"> candida.galindo@schindler.com</v>
      </c>
      <c r="I24" s="490">
        <v>1.0254481600000001</v>
      </c>
    </row>
    <row r="25" spans="1:10" ht="15" customHeight="1" thickBot="1">
      <c r="A25" s="251"/>
      <c r="B25" s="252"/>
      <c r="C25" s="253"/>
      <c r="D25" s="254"/>
      <c r="E25" s="255" t="s">
        <v>78</v>
      </c>
      <c r="F25" s="256">
        <f>G38</f>
        <v>233875.32</v>
      </c>
      <c r="G25" s="256">
        <f>G39</f>
        <v>392195.0885714285</v>
      </c>
      <c r="H25" s="257">
        <f>G40</f>
        <v>359375.57999999996</v>
      </c>
      <c r="I25" s="489">
        <f>TRUNC(I20*I24,2)</f>
        <v>239827.01</v>
      </c>
    </row>
    <row r="26" spans="1:10" ht="5.15" customHeight="1" thickBot="1">
      <c r="A26" s="230"/>
      <c r="B26" s="230"/>
      <c r="C26" s="231"/>
      <c r="D26" s="230"/>
      <c r="E26" s="258"/>
      <c r="F26" s="259"/>
      <c r="G26" s="259"/>
      <c r="H26" s="260"/>
      <c r="I26" s="259"/>
    </row>
    <row r="27" spans="1:10" ht="15" customHeight="1">
      <c r="A27" s="261" t="s">
        <v>709</v>
      </c>
      <c r="B27" s="262"/>
      <c r="C27" s="263"/>
      <c r="D27" s="262"/>
      <c r="E27" s="262"/>
      <c r="F27" s="264"/>
      <c r="G27" s="264"/>
      <c r="H27" s="265"/>
      <c r="I27" s="266"/>
    </row>
    <row r="28" spans="1:10" ht="5.15" customHeight="1">
      <c r="A28" s="267"/>
      <c r="B28" s="268"/>
      <c r="C28" s="269"/>
      <c r="D28" s="268"/>
      <c r="E28" s="268"/>
      <c r="F28" s="270"/>
      <c r="G28" s="270"/>
      <c r="H28" s="271"/>
      <c r="I28" s="272"/>
    </row>
    <row r="29" spans="1:10" ht="15" customHeight="1">
      <c r="A29" s="267" t="s">
        <v>710</v>
      </c>
      <c r="B29" s="268"/>
      <c r="C29" s="269"/>
      <c r="D29" s="268"/>
      <c r="E29" s="268"/>
      <c r="F29" s="270"/>
      <c r="G29" s="270"/>
      <c r="H29" s="271"/>
      <c r="I29" s="272"/>
    </row>
    <row r="30" spans="1:10" ht="5.15" customHeight="1">
      <c r="A30" s="267"/>
      <c r="B30" s="268"/>
      <c r="C30" s="269"/>
      <c r="D30" s="268"/>
      <c r="E30" s="268"/>
      <c r="F30" s="270"/>
      <c r="G30" s="270"/>
      <c r="H30" s="271"/>
      <c r="I30" s="272"/>
    </row>
    <row r="31" spans="1:10" ht="15" customHeight="1">
      <c r="A31" s="267"/>
      <c r="B31" s="273"/>
      <c r="C31" s="274" t="s">
        <v>711</v>
      </c>
      <c r="D31" s="275">
        <v>5</v>
      </c>
      <c r="E31" s="276" t="s">
        <v>712</v>
      </c>
      <c r="F31" s="277" t="s">
        <v>713</v>
      </c>
      <c r="G31" s="278" t="s">
        <v>714</v>
      </c>
      <c r="H31" s="229"/>
      <c r="I31" s="272"/>
    </row>
    <row r="32" spans="1:10" ht="15" customHeight="1">
      <c r="A32" s="267"/>
      <c r="B32" s="268"/>
      <c r="C32" s="274" t="s">
        <v>715</v>
      </c>
      <c r="D32" s="275">
        <v>5</v>
      </c>
      <c r="E32" s="279" t="s">
        <v>716</v>
      </c>
      <c r="F32" s="280">
        <v>818563.62</v>
      </c>
      <c r="G32" s="281">
        <f>F32/$D$35</f>
        <v>38979.22</v>
      </c>
      <c r="H32" s="280"/>
      <c r="I32" s="272"/>
    </row>
    <row r="33" spans="1:9" ht="15" customHeight="1">
      <c r="A33" s="267"/>
      <c r="B33" s="268"/>
      <c r="C33" s="274" t="s">
        <v>717</v>
      </c>
      <c r="D33" s="275">
        <v>5</v>
      </c>
      <c r="E33" s="279" t="s">
        <v>752</v>
      </c>
      <c r="F33" s="282">
        <f>1120355+72178.9+60148.91+120000</f>
        <v>1372682.8099999998</v>
      </c>
      <c r="G33" s="281">
        <f t="shared" ref="G33:G34" si="0">F33/$D$35</f>
        <v>65365.848095238085</v>
      </c>
      <c r="H33" s="280"/>
      <c r="I33" s="272"/>
    </row>
    <row r="34" spans="1:9" ht="15" customHeight="1">
      <c r="A34" s="267"/>
      <c r="B34" s="268"/>
      <c r="C34" s="274" t="s">
        <v>718</v>
      </c>
      <c r="D34" s="275">
        <v>6</v>
      </c>
      <c r="E34" s="279" t="s">
        <v>719</v>
      </c>
      <c r="F34" s="282">
        <f>1796877.9*0.7</f>
        <v>1257814.5299999998</v>
      </c>
      <c r="G34" s="281">
        <f t="shared" si="0"/>
        <v>59895.929999999993</v>
      </c>
      <c r="H34" s="280"/>
      <c r="I34" s="272"/>
    </row>
    <row r="35" spans="1:9" ht="15" customHeight="1">
      <c r="A35" s="267"/>
      <c r="B35" s="268"/>
      <c r="C35" s="274" t="s">
        <v>720</v>
      </c>
      <c r="D35" s="275">
        <f>SUM(D31:D34)</f>
        <v>21</v>
      </c>
      <c r="E35" s="283"/>
      <c r="F35" s="284"/>
      <c r="G35" s="285"/>
      <c r="H35" s="286"/>
      <c r="I35" s="272"/>
    </row>
    <row r="36" spans="1:9" ht="5.15" customHeight="1">
      <c r="A36" s="267"/>
      <c r="B36" s="268"/>
      <c r="C36" s="274"/>
      <c r="D36" s="275"/>
      <c r="E36" s="287"/>
      <c r="F36" s="288"/>
      <c r="G36" s="288"/>
      <c r="H36" s="286"/>
      <c r="I36" s="272"/>
    </row>
    <row r="37" spans="1:9" ht="15" customHeight="1">
      <c r="A37" s="267" t="s">
        <v>721</v>
      </c>
      <c r="B37" s="268"/>
      <c r="C37" s="269"/>
      <c r="D37" s="268"/>
      <c r="E37" s="289"/>
      <c r="F37" s="277" t="s">
        <v>722</v>
      </c>
      <c r="G37" s="278" t="s">
        <v>723</v>
      </c>
      <c r="H37" s="286"/>
      <c r="I37" s="290"/>
    </row>
    <row r="38" spans="1:9" ht="15" customHeight="1">
      <c r="A38" s="267"/>
      <c r="B38" s="268"/>
      <c r="C38" s="269"/>
      <c r="D38" s="268"/>
      <c r="E38" s="279" t="s">
        <v>716</v>
      </c>
      <c r="F38" s="291">
        <f>$G$32*5</f>
        <v>194896.1</v>
      </c>
      <c r="G38" s="292">
        <f>$G$32*6</f>
        <v>233875.32</v>
      </c>
      <c r="H38" s="286"/>
      <c r="I38" s="290"/>
    </row>
    <row r="39" spans="1:9" ht="15" customHeight="1">
      <c r="A39" s="267"/>
      <c r="B39" s="268"/>
      <c r="C39" s="269"/>
      <c r="D39" s="268"/>
      <c r="E39" s="279" t="s">
        <v>752</v>
      </c>
      <c r="F39" s="291">
        <f>$G$33*5</f>
        <v>326829.2404761904</v>
      </c>
      <c r="G39" s="292">
        <f>$G$33*6</f>
        <v>392195.0885714285</v>
      </c>
      <c r="H39" s="286"/>
      <c r="I39" s="290"/>
    </row>
    <row r="40" spans="1:9" ht="15" customHeight="1">
      <c r="A40" s="267"/>
      <c r="B40" s="268"/>
      <c r="C40" s="269"/>
      <c r="D40" s="268"/>
      <c r="E40" s="293" t="s">
        <v>719</v>
      </c>
      <c r="F40" s="294">
        <f>$G$34*5</f>
        <v>299479.64999999997</v>
      </c>
      <c r="G40" s="295">
        <f>$G$34*6</f>
        <v>359375.57999999996</v>
      </c>
      <c r="H40" s="286"/>
      <c r="I40" s="290"/>
    </row>
    <row r="41" spans="1:9" ht="5.15" customHeight="1" thickBot="1">
      <c r="A41" s="296"/>
      <c r="B41" s="297"/>
      <c r="C41" s="298"/>
      <c r="D41" s="297"/>
      <c r="E41" s="297"/>
      <c r="F41" s="299"/>
      <c r="G41" s="299"/>
      <c r="H41" s="300"/>
      <c r="I41" s="301"/>
    </row>
    <row r="42" spans="1:9" ht="5.15" customHeight="1" thickBot="1">
      <c r="A42" s="230"/>
      <c r="B42" s="230"/>
      <c r="C42" s="231"/>
      <c r="D42" s="232"/>
      <c r="E42" s="232"/>
      <c r="F42" s="233"/>
      <c r="G42" s="233"/>
      <c r="H42" s="233"/>
      <c r="I42" s="233"/>
    </row>
    <row r="43" spans="1:9" ht="24" customHeight="1">
      <c r="A43" s="234"/>
      <c r="B43" s="235"/>
      <c r="C43" s="236" t="s">
        <v>671</v>
      </c>
      <c r="D43" s="237" t="s">
        <v>12</v>
      </c>
      <c r="E43" s="238" t="s">
        <v>315</v>
      </c>
      <c r="F43" s="239" t="s">
        <v>698</v>
      </c>
      <c r="G43" s="239" t="s">
        <v>747</v>
      </c>
      <c r="H43" s="240" t="s">
        <v>699</v>
      </c>
      <c r="I43" s="486">
        <f>MIN(F48:H48)</f>
        <v>44306.271428571425</v>
      </c>
    </row>
    <row r="44" spans="1:9" ht="15" customHeight="1">
      <c r="A44" s="242"/>
      <c r="B44" s="243"/>
      <c r="C44" s="244"/>
      <c r="D44" s="245"/>
      <c r="E44" s="246" t="s">
        <v>316</v>
      </c>
      <c r="F44" s="247" t="str">
        <f>$F$14</f>
        <v>90.347.840./0001-18</v>
      </c>
      <c r="G44" s="247" t="s">
        <v>751</v>
      </c>
      <c r="H44" s="248" t="str">
        <f>$H$14</f>
        <v>00.028.986/0147-53</v>
      </c>
      <c r="I44" s="574" t="s">
        <v>770</v>
      </c>
    </row>
    <row r="45" spans="1:9" ht="15" customHeight="1">
      <c r="A45" s="242"/>
      <c r="B45" s="243"/>
      <c r="C45" s="244"/>
      <c r="D45" s="245"/>
      <c r="E45" s="246" t="s">
        <v>317</v>
      </c>
      <c r="F45" s="249" t="str">
        <f>$F$15</f>
        <v>01/11/24</v>
      </c>
      <c r="G45" s="249" t="s">
        <v>750</v>
      </c>
      <c r="H45" s="250" t="str">
        <f>$H$15</f>
        <v>07/11/24</v>
      </c>
      <c r="I45" s="574"/>
    </row>
    <row r="46" spans="1:9" ht="15" customHeight="1">
      <c r="A46" s="242"/>
      <c r="B46" s="243"/>
      <c r="C46" s="244"/>
      <c r="D46" s="245"/>
      <c r="E46" s="246" t="s">
        <v>318</v>
      </c>
      <c r="F46" s="249" t="str">
        <f>$F$16</f>
        <v>Rodrigo Ferreira</v>
      </c>
      <c r="G46" s="249" t="s">
        <v>749</v>
      </c>
      <c r="H46" s="250" t="str">
        <f>$H$16</f>
        <v>Candida Galindo</v>
      </c>
      <c r="I46" s="574"/>
    </row>
    <row r="47" spans="1:9" ht="15" customHeight="1">
      <c r="A47" s="242"/>
      <c r="B47" s="243"/>
      <c r="C47" s="244"/>
      <c r="D47" s="245"/>
      <c r="E47" s="246" t="s">
        <v>319</v>
      </c>
      <c r="F47" s="249" t="str">
        <f>$F$17</f>
        <v>rodrigo.silva7@tkelevator.com</v>
      </c>
      <c r="G47" s="249" t="s">
        <v>748</v>
      </c>
      <c r="H47" s="250" t="str">
        <f>$H$17</f>
        <v xml:space="preserve"> candida.galindo@schindler.com</v>
      </c>
      <c r="I47" s="490">
        <v>1.0254481600000001</v>
      </c>
    </row>
    <row r="48" spans="1:9" ht="15" customHeight="1" thickBot="1">
      <c r="A48" s="251"/>
      <c r="B48" s="252"/>
      <c r="C48" s="253"/>
      <c r="D48" s="254"/>
      <c r="E48" s="255" t="s">
        <v>78</v>
      </c>
      <c r="F48" s="256">
        <f>F68</f>
        <v>44306.271428571425</v>
      </c>
      <c r="G48" s="256">
        <f>F69</f>
        <v>118333.33333333334</v>
      </c>
      <c r="H48" s="257">
        <f>F70</f>
        <v>128348.42142857143</v>
      </c>
      <c r="I48" s="489">
        <f>TRUNC(I43*I47,2)</f>
        <v>45433.78</v>
      </c>
    </row>
    <row r="49" spans="1:9" ht="5.15" customHeight="1" thickBot="1">
      <c r="A49" s="230"/>
      <c r="B49" s="230"/>
      <c r="C49" s="231"/>
      <c r="D49" s="232"/>
      <c r="E49" s="232"/>
      <c r="F49" s="233"/>
      <c r="G49" s="233"/>
      <c r="H49" s="233"/>
      <c r="I49" s="233"/>
    </row>
    <row r="50" spans="1:9" ht="24" customHeight="1">
      <c r="A50" s="234"/>
      <c r="B50" s="235"/>
      <c r="C50" s="236" t="s">
        <v>673</v>
      </c>
      <c r="D50" s="237" t="s">
        <v>12</v>
      </c>
      <c r="E50" s="238" t="s">
        <v>315</v>
      </c>
      <c r="F50" s="239" t="s">
        <v>698</v>
      </c>
      <c r="G50" s="239" t="s">
        <v>747</v>
      </c>
      <c r="H50" s="240" t="s">
        <v>699</v>
      </c>
      <c r="I50" s="486">
        <f>MIN(F55:H55)</f>
        <v>53167.525714285715</v>
      </c>
    </row>
    <row r="51" spans="1:9" ht="15" customHeight="1">
      <c r="A51" s="242"/>
      <c r="B51" s="243"/>
      <c r="C51" s="244"/>
      <c r="D51" s="245"/>
      <c r="E51" s="246" t="s">
        <v>316</v>
      </c>
      <c r="F51" s="247" t="str">
        <f>$F$14</f>
        <v>90.347.840./0001-18</v>
      </c>
      <c r="G51" s="247" t="s">
        <v>751</v>
      </c>
      <c r="H51" s="248" t="str">
        <f>$H$14</f>
        <v>00.028.986/0147-53</v>
      </c>
      <c r="I51" s="574" t="s">
        <v>770</v>
      </c>
    </row>
    <row r="52" spans="1:9" ht="15" customHeight="1">
      <c r="A52" s="242"/>
      <c r="B52" s="243"/>
      <c r="C52" s="244"/>
      <c r="D52" s="245"/>
      <c r="E52" s="246" t="s">
        <v>317</v>
      </c>
      <c r="F52" s="249" t="str">
        <f>$F$15</f>
        <v>01/11/24</v>
      </c>
      <c r="G52" s="249" t="s">
        <v>750</v>
      </c>
      <c r="H52" s="250" t="str">
        <f>$H$15</f>
        <v>07/11/24</v>
      </c>
      <c r="I52" s="574"/>
    </row>
    <row r="53" spans="1:9" ht="15" customHeight="1">
      <c r="A53" s="242"/>
      <c r="B53" s="243"/>
      <c r="C53" s="244"/>
      <c r="D53" s="245"/>
      <c r="E53" s="246" t="s">
        <v>318</v>
      </c>
      <c r="F53" s="249" t="str">
        <f>$F$16</f>
        <v>Rodrigo Ferreira</v>
      </c>
      <c r="G53" s="249" t="s">
        <v>749</v>
      </c>
      <c r="H53" s="250" t="str">
        <f>$H$16</f>
        <v>Candida Galindo</v>
      </c>
      <c r="I53" s="574"/>
    </row>
    <row r="54" spans="1:9" ht="15" customHeight="1">
      <c r="A54" s="242"/>
      <c r="B54" s="243"/>
      <c r="C54" s="244"/>
      <c r="D54" s="245"/>
      <c r="E54" s="246" t="s">
        <v>319</v>
      </c>
      <c r="F54" s="249" t="str">
        <f>$F$17</f>
        <v>rodrigo.silva7@tkelevator.com</v>
      </c>
      <c r="G54" s="249" t="s">
        <v>748</v>
      </c>
      <c r="H54" s="250" t="str">
        <f>$H$17</f>
        <v xml:space="preserve"> candida.galindo@schindler.com</v>
      </c>
      <c r="I54" s="490">
        <v>1.0254481600000001</v>
      </c>
    </row>
    <row r="55" spans="1:9" ht="15" customHeight="1" thickBot="1">
      <c r="A55" s="251"/>
      <c r="B55" s="252"/>
      <c r="C55" s="253"/>
      <c r="D55" s="254"/>
      <c r="E55" s="255" t="s">
        <v>78</v>
      </c>
      <c r="F55" s="257">
        <f>G68</f>
        <v>53167.525714285715</v>
      </c>
      <c r="G55" s="256">
        <f>G69</f>
        <v>142000</v>
      </c>
      <c r="H55" s="257">
        <f>G70</f>
        <v>154018.10571428569</v>
      </c>
      <c r="I55" s="489">
        <f>TRUNC(I50*I54,2)</f>
        <v>54520.54</v>
      </c>
    </row>
    <row r="56" spans="1:9" ht="5.15" customHeight="1" thickBot="1"/>
    <row r="57" spans="1:9" ht="15" customHeight="1">
      <c r="A57" s="261" t="s">
        <v>709</v>
      </c>
      <c r="B57" s="262"/>
      <c r="C57" s="263"/>
      <c r="D57" s="262"/>
      <c r="E57" s="262"/>
      <c r="F57" s="264"/>
      <c r="G57" s="264"/>
      <c r="H57" s="265"/>
      <c r="I57" s="266"/>
    </row>
    <row r="58" spans="1:9" ht="5.15" customHeight="1">
      <c r="A58" s="267"/>
      <c r="B58" s="268"/>
      <c r="C58" s="269"/>
      <c r="D58" s="268"/>
      <c r="E58" s="268"/>
      <c r="F58" s="270"/>
      <c r="G58" s="270"/>
      <c r="H58" s="271"/>
      <c r="I58" s="272"/>
    </row>
    <row r="59" spans="1:9" ht="15" customHeight="1">
      <c r="A59" s="267" t="s">
        <v>710</v>
      </c>
      <c r="B59" s="268"/>
      <c r="C59" s="269"/>
      <c r="D59" s="268"/>
      <c r="E59" s="268"/>
      <c r="F59" s="270"/>
      <c r="G59" s="270"/>
      <c r="H59" s="271"/>
      <c r="I59" s="272"/>
    </row>
    <row r="60" spans="1:9" ht="5.15" customHeight="1">
      <c r="A60" s="267"/>
      <c r="B60" s="268"/>
      <c r="C60" s="269"/>
      <c r="D60" s="268"/>
      <c r="E60" s="268"/>
      <c r="F60" s="270"/>
      <c r="G60" s="270"/>
      <c r="H60" s="271"/>
      <c r="I60" s="272"/>
    </row>
    <row r="61" spans="1:9" ht="15" customHeight="1">
      <c r="A61" s="267"/>
      <c r="B61" s="273"/>
      <c r="C61" s="274" t="s">
        <v>711</v>
      </c>
      <c r="D61" s="275">
        <v>5</v>
      </c>
      <c r="E61" s="276" t="s">
        <v>712</v>
      </c>
      <c r="F61" s="277" t="s">
        <v>713</v>
      </c>
      <c r="G61" s="278" t="s">
        <v>714</v>
      </c>
      <c r="H61" s="229"/>
      <c r="I61" s="272"/>
    </row>
    <row r="62" spans="1:9" ht="15" customHeight="1">
      <c r="A62" s="267"/>
      <c r="B62" s="268"/>
      <c r="C62" s="274" t="s">
        <v>715</v>
      </c>
      <c r="D62" s="275">
        <v>5</v>
      </c>
      <c r="E62" s="279" t="s">
        <v>716</v>
      </c>
      <c r="F62" s="280">
        <v>186086.34</v>
      </c>
      <c r="G62" s="281">
        <f>F62/$D$35</f>
        <v>8861.2542857142853</v>
      </c>
      <c r="H62" s="280"/>
      <c r="I62" s="272"/>
    </row>
    <row r="63" spans="1:9" ht="15" customHeight="1">
      <c r="A63" s="267"/>
      <c r="B63" s="268"/>
      <c r="C63" s="274" t="s">
        <v>717</v>
      </c>
      <c r="D63" s="275">
        <v>5</v>
      </c>
      <c r="E63" s="279" t="s">
        <v>752</v>
      </c>
      <c r="F63" s="282">
        <v>497000</v>
      </c>
      <c r="G63" s="281">
        <f t="shared" ref="G63:G64" si="1">F63/$D$35</f>
        <v>23666.666666666668</v>
      </c>
      <c r="H63" s="280"/>
      <c r="I63" s="272"/>
    </row>
    <row r="64" spans="1:9" ht="15" customHeight="1">
      <c r="A64" s="267"/>
      <c r="B64" s="268"/>
      <c r="C64" s="274" t="s">
        <v>718</v>
      </c>
      <c r="D64" s="275">
        <v>6</v>
      </c>
      <c r="E64" s="279" t="s">
        <v>719</v>
      </c>
      <c r="F64" s="282">
        <f>1796877.9*0.3</f>
        <v>539063.37</v>
      </c>
      <c r="G64" s="281">
        <f t="shared" si="1"/>
        <v>25669.684285714284</v>
      </c>
      <c r="H64" s="280"/>
      <c r="I64" s="272"/>
    </row>
    <row r="65" spans="1:9" ht="15" customHeight="1">
      <c r="A65" s="267"/>
      <c r="B65" s="268"/>
      <c r="C65" s="274" t="s">
        <v>720</v>
      </c>
      <c r="D65" s="275">
        <f>SUM(D61:D64)</f>
        <v>21</v>
      </c>
      <c r="E65" s="283"/>
      <c r="F65" s="284"/>
      <c r="G65" s="285"/>
      <c r="H65" s="286"/>
      <c r="I65" s="272"/>
    </row>
    <row r="66" spans="1:9" ht="5.15" customHeight="1">
      <c r="A66" s="267"/>
      <c r="B66" s="268"/>
      <c r="C66" s="274"/>
      <c r="D66" s="275"/>
      <c r="E66" s="287"/>
      <c r="F66" s="288"/>
      <c r="G66" s="288"/>
      <c r="H66" s="286"/>
      <c r="I66" s="272"/>
    </row>
    <row r="67" spans="1:9" ht="15" customHeight="1">
      <c r="A67" s="267" t="s">
        <v>721</v>
      </c>
      <c r="B67" s="268"/>
      <c r="C67" s="269"/>
      <c r="D67" s="268"/>
      <c r="E67" s="289"/>
      <c r="F67" s="277" t="s">
        <v>722</v>
      </c>
      <c r="G67" s="278" t="s">
        <v>723</v>
      </c>
      <c r="H67" s="286"/>
      <c r="I67" s="290"/>
    </row>
    <row r="68" spans="1:9" ht="15" customHeight="1">
      <c r="A68" s="267"/>
      <c r="B68" s="268"/>
      <c r="C68" s="269"/>
      <c r="D68" s="268"/>
      <c r="E68" s="279" t="s">
        <v>716</v>
      </c>
      <c r="F68" s="291">
        <f>G62*5</f>
        <v>44306.271428571425</v>
      </c>
      <c r="G68" s="292">
        <f>G62*6</f>
        <v>53167.525714285715</v>
      </c>
      <c r="H68" s="286"/>
      <c r="I68" s="290"/>
    </row>
    <row r="69" spans="1:9" ht="15" customHeight="1">
      <c r="A69" s="267"/>
      <c r="B69" s="268"/>
      <c r="C69" s="269"/>
      <c r="D69" s="268"/>
      <c r="E69" s="279" t="s">
        <v>752</v>
      </c>
      <c r="F69" s="291">
        <f>G63*5</f>
        <v>118333.33333333334</v>
      </c>
      <c r="G69" s="292">
        <f>G63*6</f>
        <v>142000</v>
      </c>
      <c r="H69" s="286"/>
      <c r="I69" s="290"/>
    </row>
    <row r="70" spans="1:9" ht="15" customHeight="1">
      <c r="A70" s="267"/>
      <c r="B70" s="268"/>
      <c r="C70" s="269"/>
      <c r="D70" s="268"/>
      <c r="E70" s="293" t="s">
        <v>719</v>
      </c>
      <c r="F70" s="294">
        <f>G64*5</f>
        <v>128348.42142857143</v>
      </c>
      <c r="G70" s="295">
        <f>G64*6</f>
        <v>154018.10571428569</v>
      </c>
      <c r="H70" s="286"/>
      <c r="I70" s="290"/>
    </row>
    <row r="71" spans="1:9" ht="5.15" customHeight="1" thickBot="1">
      <c r="A71" s="296"/>
      <c r="B71" s="297"/>
      <c r="C71" s="298"/>
      <c r="D71" s="297"/>
      <c r="E71" s="297"/>
      <c r="F71" s="299"/>
      <c r="G71" s="299"/>
      <c r="H71" s="300"/>
      <c r="I71" s="301"/>
    </row>
    <row r="72" spans="1:9" ht="5.15" customHeight="1" thickBot="1"/>
    <row r="73" spans="1:9" ht="15" customHeight="1">
      <c r="A73" s="302" t="s">
        <v>724</v>
      </c>
      <c r="B73" s="303"/>
      <c r="C73" s="303"/>
      <c r="D73" s="303"/>
      <c r="E73" s="303"/>
      <c r="F73" s="304"/>
      <c r="G73" s="305"/>
      <c r="H73" s="305"/>
      <c r="I73" s="306"/>
    </row>
    <row r="74" spans="1:9" ht="15" customHeight="1">
      <c r="A74" s="307"/>
      <c r="B74" s="287"/>
      <c r="C74" s="287" t="s">
        <v>725</v>
      </c>
      <c r="D74" s="287" t="s">
        <v>726</v>
      </c>
      <c r="E74" s="229" t="s">
        <v>727</v>
      </c>
      <c r="F74" s="308" t="s">
        <v>714</v>
      </c>
      <c r="H74" s="309"/>
      <c r="I74" s="310"/>
    </row>
    <row r="75" spans="1:9" ht="15" customHeight="1">
      <c r="A75" s="307"/>
      <c r="B75" s="287"/>
      <c r="C75" s="287" t="s">
        <v>728</v>
      </c>
      <c r="D75" s="229">
        <v>10</v>
      </c>
      <c r="E75" s="291">
        <v>408900</v>
      </c>
      <c r="F75" s="311">
        <f>E75/D75</f>
        <v>40890</v>
      </c>
      <c r="G75" s="311"/>
      <c r="H75" s="309"/>
      <c r="I75" s="310"/>
    </row>
    <row r="76" spans="1:9" ht="15" customHeight="1">
      <c r="A76" s="307"/>
      <c r="B76" s="287"/>
      <c r="C76" s="287" t="s">
        <v>729</v>
      </c>
      <c r="D76" s="229">
        <v>5</v>
      </c>
      <c r="E76" s="291">
        <v>218028.31</v>
      </c>
      <c r="F76" s="311">
        <f>E76/D76</f>
        <v>43605.661999999997</v>
      </c>
      <c r="G76" s="311"/>
      <c r="H76" s="309"/>
      <c r="I76" s="310"/>
    </row>
    <row r="77" spans="1:9" ht="15" customHeight="1">
      <c r="A77" s="307"/>
      <c r="B77" s="287"/>
      <c r="C77" s="287" t="s">
        <v>730</v>
      </c>
      <c r="D77" s="229">
        <v>4</v>
      </c>
      <c r="E77" s="291">
        <v>169750</v>
      </c>
      <c r="F77" s="311">
        <f>E77/D77</f>
        <v>42437.5</v>
      </c>
      <c r="G77" s="311"/>
      <c r="H77" s="309"/>
      <c r="I77" s="310"/>
    </row>
    <row r="78" spans="1:9" ht="5.15" customHeight="1">
      <c r="A78" s="307"/>
      <c r="B78" s="287"/>
      <c r="C78" s="287"/>
      <c r="D78" s="229"/>
      <c r="E78" s="291"/>
      <c r="F78" s="311"/>
      <c r="G78" s="309"/>
      <c r="H78" s="309"/>
      <c r="I78" s="310"/>
    </row>
    <row r="79" spans="1:9" ht="15" customHeight="1">
      <c r="A79" s="307"/>
      <c r="B79" s="287"/>
      <c r="D79" s="312" t="s">
        <v>731</v>
      </c>
      <c r="E79" s="313">
        <f>G32+G62</f>
        <v>47840.474285714285</v>
      </c>
      <c r="F79" s="311"/>
      <c r="G79" s="309"/>
      <c r="H79" s="309"/>
      <c r="I79" s="310"/>
    </row>
    <row r="80" spans="1:9" ht="15" customHeight="1">
      <c r="A80" s="307"/>
      <c r="B80" s="287"/>
      <c r="D80" s="312"/>
      <c r="E80" s="313"/>
      <c r="F80" s="311"/>
      <c r="G80" s="309"/>
      <c r="H80" s="309"/>
      <c r="I80" s="310"/>
    </row>
    <row r="81" spans="1:9" ht="15" customHeight="1">
      <c r="A81" s="307" t="s">
        <v>732</v>
      </c>
      <c r="B81" s="287"/>
      <c r="C81" s="287"/>
      <c r="D81" s="287"/>
      <c r="E81" s="291"/>
      <c r="F81" s="314"/>
      <c r="G81" s="309"/>
      <c r="H81" s="309"/>
      <c r="I81" s="310"/>
    </row>
    <row r="82" spans="1:9" ht="5.15" customHeight="1" thickBot="1">
      <c r="A82" s="315"/>
      <c r="B82" s="316"/>
      <c r="C82" s="316"/>
      <c r="D82" s="316"/>
      <c r="E82" s="316"/>
      <c r="F82" s="317"/>
      <c r="G82" s="318"/>
      <c r="H82" s="318"/>
      <c r="I82" s="319"/>
    </row>
  </sheetData>
  <mergeCells count="4">
    <mergeCell ref="I14:I16"/>
    <mergeCell ref="I21:I23"/>
    <mergeCell ref="I44:I46"/>
    <mergeCell ref="I51:I53"/>
  </mergeCells>
  <conditionalFormatting sqref="G5:G9">
    <cfRule type="cellIs" dxfId="20" priority="2" operator="equal">
      <formula>0</formula>
    </cfRule>
  </conditionalFormatting>
  <conditionalFormatting sqref="H5:H9">
    <cfRule type="cellIs" dxfId="19" priority="1" operator="equal">
      <formula>0</formula>
    </cfRule>
  </conditionalFormatting>
  <pageMargins left="0.51181102362204722" right="0.51181102362204722" top="0.51181102362204722" bottom="0.70866141732283472" header="0" footer="0.19685039370078741"/>
  <pageSetup paperSize="9" scale="62" fitToWidth="0" fitToHeight="0" orientation="landscape" r:id="rId1"/>
  <headerFooter>
    <oddFooter>&amp;L&amp;9&amp;A&amp;R&amp;9Página &amp;P de &amp;N</oddFooter>
  </headerFooter>
  <rowBreaks count="1" manualBreakCount="1">
    <brk id="41"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outlinePr summaryBelow="0"/>
  </sheetPr>
  <dimension ref="A1:L228"/>
  <sheetViews>
    <sheetView view="pageBreakPreview" topLeftCell="A39" zoomScale="85" zoomScaleNormal="85" zoomScaleSheetLayoutView="85" workbookViewId="0">
      <selection activeCell="F70" sqref="F70"/>
    </sheetView>
  </sheetViews>
  <sheetFormatPr defaultColWidth="9.08203125" defaultRowHeight="14"/>
  <cols>
    <col min="1" max="1" width="9.25" style="320" customWidth="1"/>
    <col min="2" max="2" width="10.25" style="320" customWidth="1"/>
    <col min="3" max="3" width="46.83203125" style="320" customWidth="1"/>
    <col min="4" max="4" width="9.25" style="321" customWidth="1"/>
    <col min="5" max="5" width="10.33203125" style="320" bestFit="1" customWidth="1"/>
    <col min="6" max="7" width="7.75" style="320" customWidth="1"/>
    <col min="8" max="8" width="8.08203125" style="320" customWidth="1"/>
    <col min="9" max="9" width="8.33203125" style="320" customWidth="1"/>
    <col min="10" max="10" width="8.83203125" style="320" customWidth="1"/>
    <col min="11" max="11" width="9.75" style="322" customWidth="1"/>
    <col min="12" max="12" width="10.25" style="320" bestFit="1" customWidth="1"/>
    <col min="13" max="13" width="13.33203125" style="320" bestFit="1" customWidth="1"/>
    <col min="14" max="16384" width="9.08203125" style="320"/>
  </cols>
  <sheetData>
    <row r="1" spans="1:12" ht="50.15" customHeight="1"/>
    <row r="2" spans="1:12" ht="25" customHeight="1">
      <c r="A2" s="14" t="s">
        <v>457</v>
      </c>
      <c r="B2" s="14"/>
      <c r="C2" s="14"/>
      <c r="D2" s="323"/>
      <c r="E2" s="14"/>
      <c r="F2" s="14"/>
      <c r="G2" s="14"/>
      <c r="H2" s="324"/>
      <c r="I2" s="324"/>
      <c r="J2" s="324"/>
      <c r="K2" s="325"/>
    </row>
    <row r="3" spans="1:12" ht="5.15" customHeight="1">
      <c r="A3" s="17"/>
      <c r="B3" s="17"/>
      <c r="C3" s="17"/>
      <c r="D3" s="96"/>
      <c r="E3" s="17"/>
      <c r="F3" s="17"/>
      <c r="G3" s="17"/>
    </row>
    <row r="4" spans="1:12" s="17" customFormat="1" ht="15" customHeight="1">
      <c r="A4" s="18" t="s">
        <v>321</v>
      </c>
      <c r="B4" s="19" t="str">
        <f>RESUMO!B4</f>
        <v>SUBSTITUIÇÃO DE ELEVADORES NA SEDE DA JUSTIÇA FEDERAL NA PARAÍBA - R2</v>
      </c>
      <c r="C4" s="19"/>
      <c r="D4" s="326"/>
      <c r="E4" s="19"/>
      <c r="F4" s="19"/>
      <c r="G4" s="19"/>
      <c r="H4" s="19"/>
      <c r="I4" s="19"/>
      <c r="J4" s="19"/>
      <c r="K4" s="20"/>
    </row>
    <row r="5" spans="1:12" s="17" customFormat="1" ht="15" customHeight="1">
      <c r="A5" s="21" t="s">
        <v>325</v>
      </c>
      <c r="B5" s="22" t="str">
        <f>RESUMO!B5</f>
        <v>R2 - 15/04/2025</v>
      </c>
      <c r="C5" s="22"/>
      <c r="D5" s="327"/>
      <c r="E5" s="22"/>
      <c r="F5" s="22"/>
      <c r="G5" s="23"/>
      <c r="H5" s="21" t="s">
        <v>334</v>
      </c>
      <c r="I5" s="24"/>
      <c r="J5" s="21" t="s">
        <v>329</v>
      </c>
      <c r="K5" s="25">
        <f>RESUMO!$F$5</f>
        <v>45762</v>
      </c>
    </row>
    <row r="6" spans="1:12" s="17" customFormat="1" ht="15" customHeight="1">
      <c r="A6" s="26" t="s">
        <v>322</v>
      </c>
      <c r="B6" s="27" t="str">
        <f>RESUMO!B6</f>
        <v>RUA JOÃO TEIXEIRA DE CARVALHO, 480, PEDRO GONDIM, JOÃO PESSOA/PB</v>
      </c>
      <c r="C6" s="27"/>
      <c r="D6" s="328"/>
      <c r="E6" s="27"/>
      <c r="F6" s="27"/>
      <c r="G6" s="28"/>
      <c r="H6" s="29" t="str">
        <f>RESUMO!$C$6</f>
        <v>SINAPI</v>
      </c>
      <c r="I6" s="30" t="str">
        <f>RESUMO!$D$6</f>
        <v>2025/02</v>
      </c>
      <c r="J6" s="26" t="s">
        <v>443</v>
      </c>
      <c r="K6" s="30">
        <f>RESUMO!$F$6</f>
        <v>0.23530000000000001</v>
      </c>
    </row>
    <row r="7" spans="1:12" s="17" customFormat="1" ht="15" customHeight="1">
      <c r="A7" s="26" t="s">
        <v>323</v>
      </c>
      <c r="B7" s="27" t="str">
        <f>RESUMO!B7</f>
        <v>JUSTIÇA FEDERAL NA PARAÍBA</v>
      </c>
      <c r="C7" s="27"/>
      <c r="D7" s="328"/>
      <c r="E7" s="27"/>
      <c r="F7" s="27"/>
      <c r="G7" s="28"/>
      <c r="H7" s="29" t="str">
        <f>RESUMO!$C$7</f>
        <v>SICRO</v>
      </c>
      <c r="I7" s="30" t="str">
        <f>RESUMO!$D$7</f>
        <v>2025/01</v>
      </c>
      <c r="J7" s="26" t="s">
        <v>330</v>
      </c>
      <c r="K7" s="30">
        <f>RESUMO!$F$7</f>
        <v>0.1527</v>
      </c>
    </row>
    <row r="8" spans="1:12" s="17" customFormat="1" ht="15" customHeight="1">
      <c r="A8" s="26" t="s">
        <v>328</v>
      </c>
      <c r="B8" s="27" t="str">
        <f>RESUMO!B8</f>
        <v>JOSÉ MENDONÇA FILHO SEGUNDO</v>
      </c>
      <c r="C8" s="27"/>
      <c r="D8" s="328"/>
      <c r="E8" s="27"/>
      <c r="F8" s="27"/>
      <c r="G8" s="28"/>
      <c r="H8" s="29" t="str">
        <f>RESUMO!$C$8</f>
        <v>SBC</v>
      </c>
      <c r="I8" s="30" t="str">
        <f>RESUMO!$D$8</f>
        <v>2025/02</v>
      </c>
      <c r="J8" s="26" t="s">
        <v>331</v>
      </c>
      <c r="K8" s="30">
        <f>RESUMO!$F$8</f>
        <v>1.1359999999999999</v>
      </c>
    </row>
    <row r="9" spans="1:12" s="17" customFormat="1" ht="15" customHeight="1">
      <c r="A9" s="31" t="s">
        <v>324</v>
      </c>
      <c r="B9" s="32" t="str">
        <f>RESUMO!B9</f>
        <v>ENGENHEIRO MECÂNICO - CREA 060136183-0</v>
      </c>
      <c r="C9" s="32"/>
      <c r="D9" s="329"/>
      <c r="E9" s="32"/>
      <c r="F9" s="32"/>
      <c r="G9" s="33"/>
      <c r="H9" s="31" t="s">
        <v>325</v>
      </c>
      <c r="I9" s="34" t="str">
        <f>RESUMO!$D$9</f>
        <v>R2</v>
      </c>
      <c r="J9" s="31" t="s">
        <v>332</v>
      </c>
      <c r="K9" s="34">
        <f>RESUMO!$F$9</f>
        <v>0.6984999999999999</v>
      </c>
    </row>
    <row r="10" spans="1:12" ht="5.15" customHeight="1">
      <c r="A10" s="330"/>
      <c r="B10" s="1" t="s">
        <v>0</v>
      </c>
      <c r="C10" s="1"/>
      <c r="D10" s="10"/>
      <c r="E10" s="1"/>
      <c r="F10" s="1"/>
      <c r="G10" s="1"/>
      <c r="H10" s="1"/>
      <c r="I10" s="1"/>
      <c r="J10" s="330"/>
    </row>
    <row r="11" spans="1:12" ht="22" customHeight="1">
      <c r="A11" s="36" t="s">
        <v>1</v>
      </c>
      <c r="B11" s="36" t="s">
        <v>2</v>
      </c>
      <c r="C11" s="36" t="s">
        <v>3</v>
      </c>
      <c r="D11" s="36" t="s">
        <v>4</v>
      </c>
      <c r="E11" s="36" t="s">
        <v>441</v>
      </c>
      <c r="F11" s="36" t="s">
        <v>5</v>
      </c>
      <c r="G11" s="36" t="s">
        <v>458</v>
      </c>
      <c r="H11" s="36"/>
      <c r="I11" s="36"/>
      <c r="J11" s="36"/>
      <c r="K11" s="37"/>
    </row>
    <row r="12" spans="1:12">
      <c r="A12" s="331" t="s">
        <v>8</v>
      </c>
      <c r="B12" s="332" t="s">
        <v>9</v>
      </c>
      <c r="C12" s="332"/>
      <c r="D12" s="333"/>
      <c r="E12" s="332"/>
      <c r="F12" s="332"/>
      <c r="G12" s="331"/>
      <c r="H12" s="331"/>
      <c r="I12" s="331"/>
      <c r="J12" s="334"/>
      <c r="K12" s="72"/>
    </row>
    <row r="13" spans="1:12" ht="20">
      <c r="A13" s="58" t="s">
        <v>10</v>
      </c>
      <c r="B13" s="59" t="s">
        <v>469</v>
      </c>
      <c r="C13" s="60" t="s">
        <v>470</v>
      </c>
      <c r="D13" s="59" t="s">
        <v>11</v>
      </c>
      <c r="E13" s="59" t="s">
        <v>444</v>
      </c>
      <c r="F13" s="59" t="s">
        <v>12</v>
      </c>
      <c r="G13" s="61">
        <v>1</v>
      </c>
      <c r="H13" s="61"/>
      <c r="I13" s="61"/>
      <c r="J13" s="335"/>
      <c r="K13" s="72"/>
      <c r="L13" s="336"/>
    </row>
    <row r="14" spans="1:12" s="345" customFormat="1">
      <c r="A14" s="337"/>
      <c r="B14" s="338"/>
      <c r="C14" s="339" t="s">
        <v>459</v>
      </c>
      <c r="D14" s="340"/>
      <c r="E14" s="338"/>
      <c r="F14" s="338"/>
      <c r="G14" s="341"/>
      <c r="H14" s="341"/>
      <c r="I14" s="341"/>
      <c r="J14" s="342"/>
      <c r="K14" s="343"/>
      <c r="L14" s="344"/>
    </row>
    <row r="15" spans="1:12" s="351" customFormat="1" ht="15" customHeight="1">
      <c r="A15" s="58"/>
      <c r="B15" s="346"/>
      <c r="C15" s="339" t="s">
        <v>757</v>
      </c>
      <c r="D15" s="59"/>
      <c r="E15" s="346"/>
      <c r="F15" s="346"/>
      <c r="G15" s="347"/>
      <c r="H15" s="347"/>
      <c r="I15" s="347"/>
      <c r="J15" s="348"/>
      <c r="K15" s="349"/>
      <c r="L15" s="350"/>
    </row>
    <row r="16" spans="1:12">
      <c r="A16" s="331" t="s">
        <v>13</v>
      </c>
      <c r="B16" s="332" t="s">
        <v>14</v>
      </c>
      <c r="C16" s="332"/>
      <c r="D16" s="333"/>
      <c r="E16" s="332"/>
      <c r="F16" s="332"/>
      <c r="G16" s="331"/>
      <c r="H16" s="61"/>
      <c r="I16" s="61"/>
      <c r="J16" s="334"/>
      <c r="K16" s="72"/>
    </row>
    <row r="17" spans="1:11">
      <c r="A17" s="331" t="s">
        <v>15</v>
      </c>
      <c r="B17" s="332" t="s">
        <v>16</v>
      </c>
      <c r="C17" s="332"/>
      <c r="D17" s="333"/>
      <c r="E17" s="332"/>
      <c r="F17" s="332"/>
      <c r="G17" s="331"/>
      <c r="H17" s="61"/>
      <c r="I17" s="61"/>
      <c r="J17" s="334"/>
      <c r="K17" s="72"/>
    </row>
    <row r="18" spans="1:11" ht="20">
      <c r="A18" s="58" t="s">
        <v>17</v>
      </c>
      <c r="B18" s="59" t="s">
        <v>18</v>
      </c>
      <c r="C18" s="60" t="s">
        <v>19</v>
      </c>
      <c r="D18" s="59" t="s">
        <v>11</v>
      </c>
      <c r="E18" s="59" t="s">
        <v>444</v>
      </c>
      <c r="F18" s="59" t="s">
        <v>12</v>
      </c>
      <c r="G18" s="61">
        <v>1</v>
      </c>
      <c r="H18" s="61"/>
      <c r="I18" s="61"/>
      <c r="J18" s="335"/>
      <c r="K18" s="72"/>
    </row>
    <row r="19" spans="1:11" ht="30">
      <c r="A19" s="58"/>
      <c r="B19" s="59"/>
      <c r="C19" s="339" t="s">
        <v>460</v>
      </c>
      <c r="D19" s="59"/>
      <c r="E19" s="59"/>
      <c r="F19" s="59"/>
      <c r="G19" s="61"/>
      <c r="H19" s="61"/>
      <c r="I19" s="61"/>
      <c r="J19" s="335"/>
      <c r="K19" s="72"/>
    </row>
    <row r="20" spans="1:11">
      <c r="A20" s="58"/>
      <c r="B20" s="59"/>
      <c r="C20" s="60"/>
      <c r="D20" s="59"/>
      <c r="E20" s="59"/>
      <c r="F20" s="59"/>
      <c r="G20" s="61"/>
      <c r="H20" s="61"/>
      <c r="I20" s="61"/>
      <c r="J20" s="335"/>
      <c r="K20" s="72"/>
    </row>
    <row r="21" spans="1:11">
      <c r="A21" s="331" t="s">
        <v>20</v>
      </c>
      <c r="B21" s="332" t="s">
        <v>21</v>
      </c>
      <c r="C21" s="332"/>
      <c r="D21" s="333"/>
      <c r="E21" s="332"/>
      <c r="F21" s="332"/>
      <c r="G21" s="331"/>
      <c r="H21" s="61"/>
      <c r="I21" s="61"/>
      <c r="J21" s="334"/>
      <c r="K21" s="72"/>
    </row>
    <row r="22" spans="1:11" ht="20">
      <c r="A22" s="58" t="s">
        <v>22</v>
      </c>
      <c r="B22" s="59">
        <v>105115</v>
      </c>
      <c r="C22" s="60" t="s">
        <v>23</v>
      </c>
      <c r="D22" s="59" t="s">
        <v>24</v>
      </c>
      <c r="E22" s="59" t="s">
        <v>444</v>
      </c>
      <c r="F22" s="59" t="s">
        <v>12</v>
      </c>
      <c r="G22" s="61">
        <v>2</v>
      </c>
      <c r="H22" s="61"/>
      <c r="I22" s="61"/>
      <c r="J22" s="335"/>
      <c r="K22" s="72"/>
    </row>
    <row r="23" spans="1:11" ht="20">
      <c r="A23" s="58"/>
      <c r="B23" s="59"/>
      <c r="C23" s="339" t="s">
        <v>461</v>
      </c>
      <c r="D23" s="59"/>
      <c r="E23" s="59"/>
      <c r="F23" s="59"/>
      <c r="G23" s="61"/>
      <c r="H23" s="61"/>
      <c r="I23" s="61"/>
      <c r="J23" s="335"/>
      <c r="K23" s="72"/>
    </row>
    <row r="24" spans="1:11">
      <c r="A24" s="58"/>
      <c r="B24" s="59"/>
      <c r="C24" s="60"/>
      <c r="D24" s="59"/>
      <c r="E24" s="59"/>
      <c r="F24" s="59"/>
      <c r="G24" s="61"/>
      <c r="H24" s="61"/>
      <c r="I24" s="61"/>
      <c r="J24" s="335"/>
      <c r="K24" s="72"/>
    </row>
    <row r="25" spans="1:11" ht="30">
      <c r="A25" s="58" t="s">
        <v>25</v>
      </c>
      <c r="B25" s="59">
        <v>10776</v>
      </c>
      <c r="C25" s="60" t="s">
        <v>26</v>
      </c>
      <c r="D25" s="59" t="s">
        <v>24</v>
      </c>
      <c r="E25" s="59" t="s">
        <v>444</v>
      </c>
      <c r="F25" s="59" t="s">
        <v>27</v>
      </c>
      <c r="G25" s="61">
        <v>10</v>
      </c>
      <c r="H25" s="61"/>
      <c r="I25" s="61"/>
      <c r="J25" s="335"/>
      <c r="K25" s="72"/>
    </row>
    <row r="26" spans="1:11">
      <c r="A26" s="58"/>
      <c r="B26" s="59"/>
      <c r="C26" s="60"/>
      <c r="D26" s="59"/>
      <c r="E26" s="59"/>
      <c r="F26" s="59"/>
      <c r="G26" s="61"/>
      <c r="H26" s="61"/>
      <c r="I26" s="61"/>
      <c r="J26" s="335"/>
      <c r="K26" s="72"/>
    </row>
    <row r="27" spans="1:11" ht="30">
      <c r="A27" s="58" t="s">
        <v>28</v>
      </c>
      <c r="B27" s="59">
        <v>10778</v>
      </c>
      <c r="C27" s="60" t="s">
        <v>29</v>
      </c>
      <c r="D27" s="59" t="s">
        <v>24</v>
      </c>
      <c r="E27" s="59" t="s">
        <v>444</v>
      </c>
      <c r="F27" s="59" t="s">
        <v>27</v>
      </c>
      <c r="G27" s="61">
        <v>10</v>
      </c>
      <c r="H27" s="61"/>
      <c r="I27" s="61"/>
      <c r="J27" s="335"/>
      <c r="K27" s="72"/>
    </row>
    <row r="28" spans="1:11">
      <c r="A28" s="58"/>
      <c r="B28" s="59"/>
      <c r="C28" s="60"/>
      <c r="D28" s="59"/>
      <c r="E28" s="59"/>
      <c r="F28" s="59"/>
      <c r="G28" s="61"/>
      <c r="H28" s="61"/>
      <c r="I28" s="61"/>
      <c r="J28" s="335"/>
      <c r="K28" s="72"/>
    </row>
    <row r="29" spans="1:11" ht="20">
      <c r="A29" s="58" t="s">
        <v>30</v>
      </c>
      <c r="B29" s="59">
        <v>103689</v>
      </c>
      <c r="C29" s="60" t="s">
        <v>31</v>
      </c>
      <c r="D29" s="59" t="s">
        <v>24</v>
      </c>
      <c r="E29" s="59" t="s">
        <v>444</v>
      </c>
      <c r="F29" s="59" t="s">
        <v>32</v>
      </c>
      <c r="G29" s="61">
        <f>I30</f>
        <v>8</v>
      </c>
      <c r="H29" s="61"/>
      <c r="I29" s="61"/>
      <c r="J29" s="335"/>
      <c r="K29" s="72"/>
    </row>
    <row r="30" spans="1:11" s="359" customFormat="1">
      <c r="A30" s="352"/>
      <c r="B30" s="353"/>
      <c r="C30" s="354" t="s">
        <v>462</v>
      </c>
      <c r="D30" s="340" t="s">
        <v>463</v>
      </c>
      <c r="E30" s="355">
        <v>4</v>
      </c>
      <c r="F30" s="353" t="s">
        <v>464</v>
      </c>
      <c r="G30" s="356">
        <v>2</v>
      </c>
      <c r="H30" s="356" t="s">
        <v>465</v>
      </c>
      <c r="I30" s="356">
        <f>G30*E30</f>
        <v>8</v>
      </c>
      <c r="J30" s="357"/>
      <c r="K30" s="358"/>
    </row>
    <row r="31" spans="1:11">
      <c r="A31" s="58"/>
      <c r="B31" s="59"/>
      <c r="C31" s="360"/>
      <c r="D31" s="59"/>
      <c r="E31" s="59"/>
      <c r="F31" s="59"/>
      <c r="G31" s="61"/>
      <c r="H31" s="61"/>
      <c r="I31" s="61"/>
      <c r="J31" s="335"/>
      <c r="K31" s="72"/>
    </row>
    <row r="32" spans="1:11">
      <c r="A32" s="58" t="s">
        <v>33</v>
      </c>
      <c r="B32" s="59">
        <v>98459</v>
      </c>
      <c r="C32" s="60" t="s">
        <v>34</v>
      </c>
      <c r="D32" s="59" t="s">
        <v>24</v>
      </c>
      <c r="E32" s="59" t="s">
        <v>444</v>
      </c>
      <c r="F32" s="59" t="s">
        <v>32</v>
      </c>
      <c r="G32" s="61">
        <f>I33</f>
        <v>36.299999999999997</v>
      </c>
      <c r="H32" s="61"/>
      <c r="I32" s="61"/>
      <c r="J32" s="335"/>
      <c r="K32" s="72"/>
    </row>
    <row r="33" spans="1:11">
      <c r="A33" s="58"/>
      <c r="B33" s="59"/>
      <c r="C33" s="360" t="s">
        <v>550</v>
      </c>
      <c r="D33" s="340" t="s">
        <v>466</v>
      </c>
      <c r="E33" s="355">
        <v>18.149999999999999</v>
      </c>
      <c r="F33" s="353" t="s">
        <v>464</v>
      </c>
      <c r="G33" s="356">
        <v>2</v>
      </c>
      <c r="H33" s="356" t="s">
        <v>465</v>
      </c>
      <c r="I33" s="356">
        <f>G33*E33</f>
        <v>36.299999999999997</v>
      </c>
      <c r="J33" s="335"/>
      <c r="K33" s="72"/>
    </row>
    <row r="34" spans="1:11">
      <c r="A34" s="58"/>
      <c r="B34" s="59"/>
      <c r="C34" s="360"/>
      <c r="D34" s="340"/>
      <c r="E34" s="355"/>
      <c r="F34" s="353"/>
      <c r="G34" s="356"/>
      <c r="H34" s="356"/>
      <c r="I34" s="356"/>
      <c r="J34" s="335"/>
      <c r="K34" s="72"/>
    </row>
    <row r="35" spans="1:11">
      <c r="A35" s="331" t="s">
        <v>35</v>
      </c>
      <c r="B35" s="332" t="s">
        <v>36</v>
      </c>
      <c r="C35" s="332"/>
      <c r="D35" s="333"/>
      <c r="E35" s="332"/>
      <c r="F35" s="332"/>
      <c r="G35" s="61"/>
      <c r="H35" s="61"/>
      <c r="I35" s="61"/>
      <c r="J35" s="335"/>
      <c r="K35" s="72"/>
    </row>
    <row r="36" spans="1:11" s="363" customFormat="1" ht="30">
      <c r="A36" s="58" t="s">
        <v>37</v>
      </c>
      <c r="B36" s="59" t="s">
        <v>471</v>
      </c>
      <c r="C36" s="60" t="s">
        <v>472</v>
      </c>
      <c r="D36" s="59" t="s">
        <v>11</v>
      </c>
      <c r="E36" s="59" t="s">
        <v>444</v>
      </c>
      <c r="F36" s="59" t="s">
        <v>49</v>
      </c>
      <c r="G36" s="61">
        <f>E37</f>
        <v>25</v>
      </c>
      <c r="H36" s="62"/>
      <c r="I36" s="62"/>
      <c r="J36" s="361"/>
      <c r="K36" s="362"/>
    </row>
    <row r="37" spans="1:11" s="363" customFormat="1">
      <c r="A37" s="58"/>
      <c r="B37" s="59"/>
      <c r="C37" s="364" t="s">
        <v>590</v>
      </c>
      <c r="D37" s="340" t="s">
        <v>552</v>
      </c>
      <c r="E37" s="365">
        <v>25</v>
      </c>
      <c r="F37" s="353"/>
      <c r="G37" s="355"/>
      <c r="H37" s="353"/>
      <c r="I37" s="62"/>
      <c r="J37" s="361"/>
      <c r="K37" s="362"/>
    </row>
    <row r="38" spans="1:11" s="363" customFormat="1">
      <c r="A38" s="58"/>
      <c r="B38" s="59"/>
      <c r="C38" s="60"/>
      <c r="D38" s="59"/>
      <c r="E38" s="59"/>
      <c r="F38" s="59"/>
      <c r="G38" s="61"/>
      <c r="H38" s="62"/>
      <c r="I38" s="62"/>
      <c r="J38" s="361"/>
      <c r="K38" s="362"/>
    </row>
    <row r="39" spans="1:11" s="363" customFormat="1" ht="30">
      <c r="A39" s="58" t="s">
        <v>38</v>
      </c>
      <c r="B39" s="59" t="s">
        <v>471</v>
      </c>
      <c r="C39" s="60" t="s">
        <v>473</v>
      </c>
      <c r="D39" s="59" t="s">
        <v>11</v>
      </c>
      <c r="E39" s="59" t="s">
        <v>444</v>
      </c>
      <c r="F39" s="59" t="s">
        <v>49</v>
      </c>
      <c r="G39" s="61">
        <f>E40</f>
        <v>25</v>
      </c>
      <c r="H39" s="62"/>
      <c r="I39" s="62"/>
      <c r="J39" s="366"/>
      <c r="K39" s="362"/>
    </row>
    <row r="40" spans="1:11" s="363" customFormat="1">
      <c r="A40" s="58"/>
      <c r="B40" s="59"/>
      <c r="C40" s="364" t="s">
        <v>590</v>
      </c>
      <c r="D40" s="340" t="s">
        <v>552</v>
      </c>
      <c r="E40" s="365">
        <v>25</v>
      </c>
      <c r="F40" s="59"/>
      <c r="G40" s="61"/>
      <c r="H40" s="62"/>
      <c r="I40" s="62"/>
      <c r="J40" s="366"/>
      <c r="K40" s="362"/>
    </row>
    <row r="41" spans="1:11" s="363" customFormat="1">
      <c r="A41" s="58"/>
      <c r="B41" s="59"/>
      <c r="C41" s="60"/>
      <c r="D41" s="59"/>
      <c r="E41" s="59"/>
      <c r="F41" s="59"/>
      <c r="G41" s="61"/>
      <c r="H41" s="62"/>
      <c r="I41" s="62"/>
      <c r="J41" s="366"/>
      <c r="K41" s="362"/>
    </row>
    <row r="42" spans="1:11" s="370" customFormat="1" ht="30">
      <c r="A42" s="58" t="s">
        <v>39</v>
      </c>
      <c r="B42" s="59" t="s">
        <v>471</v>
      </c>
      <c r="C42" s="60" t="s">
        <v>474</v>
      </c>
      <c r="D42" s="59" t="s">
        <v>11</v>
      </c>
      <c r="E42" s="59" t="s">
        <v>444</v>
      </c>
      <c r="F42" s="59" t="s">
        <v>49</v>
      </c>
      <c r="G42" s="61">
        <f>E43</f>
        <v>25</v>
      </c>
      <c r="H42" s="367"/>
      <c r="I42" s="367"/>
      <c r="J42" s="368"/>
      <c r="K42" s="369"/>
    </row>
    <row r="43" spans="1:11" s="370" customFormat="1">
      <c r="A43" s="58"/>
      <c r="B43" s="59"/>
      <c r="C43" s="364" t="s">
        <v>590</v>
      </c>
      <c r="D43" s="340" t="s">
        <v>552</v>
      </c>
      <c r="E43" s="365">
        <v>25</v>
      </c>
      <c r="F43" s="59"/>
      <c r="G43" s="61"/>
      <c r="H43" s="367"/>
      <c r="I43" s="367"/>
      <c r="J43" s="368"/>
      <c r="K43" s="369"/>
    </row>
    <row r="44" spans="1:11" s="370" customFormat="1">
      <c r="A44" s="58"/>
      <c r="B44" s="59"/>
      <c r="C44" s="60"/>
      <c r="D44" s="59"/>
      <c r="E44" s="59"/>
      <c r="F44" s="59"/>
      <c r="G44" s="61"/>
      <c r="H44" s="367"/>
      <c r="I44" s="367"/>
      <c r="J44" s="368"/>
      <c r="K44" s="369"/>
    </row>
    <row r="45" spans="1:11" s="370" customFormat="1" ht="30">
      <c r="A45" s="58" t="s">
        <v>41</v>
      </c>
      <c r="B45" s="59" t="s">
        <v>471</v>
      </c>
      <c r="C45" s="60" t="s">
        <v>475</v>
      </c>
      <c r="D45" s="59" t="s">
        <v>11</v>
      </c>
      <c r="E45" s="59" t="s">
        <v>444</v>
      </c>
      <c r="F45" s="59" t="s">
        <v>49</v>
      </c>
      <c r="G45" s="61">
        <f>E46</f>
        <v>29.7</v>
      </c>
      <c r="H45" s="371"/>
      <c r="I45" s="371"/>
      <c r="J45" s="368"/>
      <c r="K45" s="369"/>
    </row>
    <row r="46" spans="1:11" s="370" customFormat="1">
      <c r="A46" s="58"/>
      <c r="B46" s="59"/>
      <c r="C46" s="364" t="s">
        <v>590</v>
      </c>
      <c r="D46" s="340" t="s">
        <v>552</v>
      </c>
      <c r="E46" s="365">
        <v>29.7</v>
      </c>
      <c r="F46" s="59"/>
      <c r="G46" s="61"/>
      <c r="H46" s="371"/>
      <c r="I46" s="371"/>
      <c r="J46" s="368"/>
      <c r="K46" s="369"/>
    </row>
    <row r="47" spans="1:11" s="363" customFormat="1">
      <c r="A47" s="372"/>
      <c r="B47" s="373"/>
      <c r="C47" s="374"/>
      <c r="D47" s="373"/>
      <c r="E47" s="332"/>
      <c r="F47" s="332"/>
      <c r="G47" s="61"/>
      <c r="H47" s="62"/>
      <c r="I47" s="62"/>
      <c r="J47" s="366"/>
      <c r="K47" s="362"/>
    </row>
    <row r="48" spans="1:11" s="363" customFormat="1" ht="20">
      <c r="A48" s="58" t="s">
        <v>42</v>
      </c>
      <c r="B48" s="59">
        <v>99814</v>
      </c>
      <c r="C48" s="60" t="s">
        <v>565</v>
      </c>
      <c r="D48" s="59" t="s">
        <v>24</v>
      </c>
      <c r="E48" s="59" t="s">
        <v>444</v>
      </c>
      <c r="F48" s="59" t="s">
        <v>32</v>
      </c>
      <c r="G48" s="61">
        <f>D49*D50</f>
        <v>184.99199999999996</v>
      </c>
      <c r="H48" s="62"/>
      <c r="I48" s="62"/>
      <c r="J48" s="366"/>
      <c r="K48" s="362"/>
    </row>
    <row r="49" spans="1:11" s="363" customFormat="1">
      <c r="A49" s="58"/>
      <c r="B49" s="59"/>
      <c r="C49" s="364" t="s">
        <v>560</v>
      </c>
      <c r="D49" s="375">
        <v>8.1999999999999993</v>
      </c>
      <c r="E49" s="375" t="s">
        <v>320</v>
      </c>
      <c r="F49" s="59"/>
      <c r="G49" s="61"/>
      <c r="H49" s="62"/>
      <c r="I49" s="62"/>
      <c r="J49" s="366"/>
      <c r="K49" s="362"/>
    </row>
    <row r="50" spans="1:11" s="363" customFormat="1">
      <c r="A50" s="58"/>
      <c r="B50" s="59"/>
      <c r="C50" s="364" t="s">
        <v>561</v>
      </c>
      <c r="D50" s="375">
        <v>22.56</v>
      </c>
      <c r="E50" s="375" t="s">
        <v>320</v>
      </c>
      <c r="F50" s="59"/>
      <c r="G50" s="61"/>
      <c r="H50" s="62"/>
      <c r="I50" s="62"/>
      <c r="J50" s="366"/>
      <c r="K50" s="362"/>
    </row>
    <row r="51" spans="1:11" s="363" customFormat="1">
      <c r="A51" s="58"/>
      <c r="B51" s="59"/>
      <c r="C51" s="60"/>
      <c r="D51" s="59"/>
      <c r="E51" s="59"/>
      <c r="F51" s="59"/>
      <c r="G51" s="61"/>
      <c r="H51" s="62"/>
      <c r="I51" s="62"/>
      <c r="J51" s="366"/>
      <c r="K51" s="362"/>
    </row>
    <row r="52" spans="1:11" s="363" customFormat="1" ht="20">
      <c r="A52" s="58" t="s">
        <v>43</v>
      </c>
      <c r="B52" s="59">
        <v>99814</v>
      </c>
      <c r="C52" s="60" t="s">
        <v>566</v>
      </c>
      <c r="D52" s="59" t="s">
        <v>24</v>
      </c>
      <c r="E52" s="59" t="s">
        <v>444</v>
      </c>
      <c r="F52" s="59" t="s">
        <v>32</v>
      </c>
      <c r="G52" s="61">
        <f>D53*D54</f>
        <v>184.99199999999996</v>
      </c>
      <c r="H52" s="62"/>
      <c r="I52" s="62"/>
      <c r="J52" s="366"/>
      <c r="K52" s="362"/>
    </row>
    <row r="53" spans="1:11" s="363" customFormat="1">
      <c r="A53" s="58"/>
      <c r="B53" s="59"/>
      <c r="C53" s="364" t="s">
        <v>560</v>
      </c>
      <c r="D53" s="375">
        <v>8.1999999999999993</v>
      </c>
      <c r="E53" s="375" t="s">
        <v>320</v>
      </c>
      <c r="F53" s="59"/>
      <c r="G53" s="61"/>
      <c r="H53" s="62"/>
      <c r="I53" s="62"/>
      <c r="J53" s="366"/>
      <c r="K53" s="362"/>
    </row>
    <row r="54" spans="1:11" s="363" customFormat="1">
      <c r="A54" s="58"/>
      <c r="B54" s="59"/>
      <c r="C54" s="364" t="s">
        <v>561</v>
      </c>
      <c r="D54" s="375">
        <v>22.56</v>
      </c>
      <c r="E54" s="375" t="s">
        <v>320</v>
      </c>
      <c r="F54" s="59"/>
      <c r="G54" s="61"/>
      <c r="H54" s="62"/>
      <c r="I54" s="62"/>
      <c r="J54" s="366"/>
      <c r="K54" s="362"/>
    </row>
    <row r="55" spans="1:11" s="363" customFormat="1">
      <c r="A55" s="58"/>
      <c r="B55" s="59"/>
      <c r="C55" s="60"/>
      <c r="D55" s="59"/>
      <c r="E55" s="59"/>
      <c r="F55" s="59"/>
      <c r="G55" s="61"/>
      <c r="H55" s="62"/>
      <c r="I55" s="62"/>
      <c r="J55" s="366"/>
      <c r="K55" s="362"/>
    </row>
    <row r="56" spans="1:11" s="363" customFormat="1" ht="20">
      <c r="A56" s="58" t="s">
        <v>44</v>
      </c>
      <c r="B56" s="59">
        <v>99814</v>
      </c>
      <c r="C56" s="60" t="s">
        <v>567</v>
      </c>
      <c r="D56" s="59" t="s">
        <v>24</v>
      </c>
      <c r="E56" s="59" t="s">
        <v>444</v>
      </c>
      <c r="F56" s="59" t="s">
        <v>32</v>
      </c>
      <c r="G56" s="61">
        <f>D57*D58</f>
        <v>184.99199999999996</v>
      </c>
      <c r="H56" s="62"/>
      <c r="I56" s="62"/>
      <c r="J56" s="366"/>
      <c r="K56" s="362"/>
    </row>
    <row r="57" spans="1:11" s="363" customFormat="1">
      <c r="A57" s="58"/>
      <c r="B57" s="59"/>
      <c r="C57" s="364" t="s">
        <v>560</v>
      </c>
      <c r="D57" s="375">
        <v>8.1999999999999993</v>
      </c>
      <c r="E57" s="375" t="s">
        <v>320</v>
      </c>
      <c r="F57" s="59"/>
      <c r="G57" s="61"/>
      <c r="H57" s="62"/>
      <c r="I57" s="62"/>
      <c r="J57" s="366"/>
      <c r="K57" s="362"/>
    </row>
    <row r="58" spans="1:11" s="363" customFormat="1">
      <c r="A58" s="58"/>
      <c r="B58" s="59"/>
      <c r="C58" s="364" t="s">
        <v>561</v>
      </c>
      <c r="D58" s="375">
        <v>22.56</v>
      </c>
      <c r="E58" s="375" t="s">
        <v>320</v>
      </c>
      <c r="F58" s="59"/>
      <c r="G58" s="61"/>
      <c r="H58" s="62"/>
      <c r="I58" s="62"/>
      <c r="J58" s="366"/>
      <c r="K58" s="362"/>
    </row>
    <row r="59" spans="1:11" s="363" customFormat="1">
      <c r="A59" s="58"/>
      <c r="B59" s="59"/>
      <c r="C59" s="60"/>
      <c r="D59" s="59"/>
      <c r="E59" s="59"/>
      <c r="F59" s="59"/>
      <c r="G59" s="61"/>
      <c r="H59" s="62"/>
      <c r="I59" s="62"/>
      <c r="J59" s="366"/>
      <c r="K59" s="362"/>
    </row>
    <row r="60" spans="1:11" s="363" customFormat="1" ht="20">
      <c r="A60" s="58" t="s">
        <v>45</v>
      </c>
      <c r="B60" s="59">
        <v>99814</v>
      </c>
      <c r="C60" s="60" t="s">
        <v>568</v>
      </c>
      <c r="D60" s="59" t="s">
        <v>24</v>
      </c>
      <c r="E60" s="59" t="s">
        <v>444</v>
      </c>
      <c r="F60" s="59" t="s">
        <v>32</v>
      </c>
      <c r="G60" s="61">
        <f>D61*D62</f>
        <v>226.47040000000001</v>
      </c>
      <c r="H60" s="62"/>
      <c r="I60" s="62"/>
      <c r="J60" s="366"/>
      <c r="K60" s="362"/>
    </row>
    <row r="61" spans="1:11" s="363" customFormat="1">
      <c r="A61" s="372"/>
      <c r="B61" s="373"/>
      <c r="C61" s="364" t="s">
        <v>560</v>
      </c>
      <c r="D61" s="375">
        <v>8.32</v>
      </c>
      <c r="E61" s="375" t="s">
        <v>320</v>
      </c>
      <c r="F61" s="332"/>
      <c r="G61" s="61"/>
      <c r="H61" s="62"/>
      <c r="I61" s="62"/>
      <c r="J61" s="366"/>
      <c r="K61" s="362"/>
    </row>
    <row r="62" spans="1:11" s="363" customFormat="1">
      <c r="A62" s="372"/>
      <c r="B62" s="373"/>
      <c r="C62" s="364" t="s">
        <v>561</v>
      </c>
      <c r="D62" s="375">
        <v>27.22</v>
      </c>
      <c r="E62" s="375" t="s">
        <v>320</v>
      </c>
      <c r="F62" s="332"/>
      <c r="G62" s="61"/>
      <c r="H62" s="62"/>
      <c r="I62" s="62"/>
      <c r="J62" s="366"/>
      <c r="K62" s="362"/>
    </row>
    <row r="63" spans="1:11" s="363" customFormat="1">
      <c r="A63" s="372"/>
      <c r="B63" s="373"/>
      <c r="C63" s="364"/>
      <c r="D63" s="375"/>
      <c r="E63" s="375"/>
      <c r="F63" s="332"/>
      <c r="G63" s="61"/>
      <c r="H63" s="62"/>
      <c r="I63" s="62"/>
      <c r="J63" s="366"/>
      <c r="K63" s="362"/>
    </row>
    <row r="64" spans="1:11" s="363" customFormat="1">
      <c r="A64" s="372" t="s">
        <v>776</v>
      </c>
      <c r="B64" s="554" t="s">
        <v>853</v>
      </c>
      <c r="C64" s="513" t="s">
        <v>854</v>
      </c>
      <c r="D64" s="59" t="s">
        <v>855</v>
      </c>
      <c r="E64" s="59" t="s">
        <v>444</v>
      </c>
      <c r="F64" s="510" t="s">
        <v>40</v>
      </c>
      <c r="G64" s="61">
        <f>SUM(D65)*D66</f>
        <v>9.7999999999999989</v>
      </c>
      <c r="H64" s="62"/>
      <c r="I64" s="62"/>
      <c r="J64" s="366"/>
      <c r="K64" s="362"/>
    </row>
    <row r="65" spans="1:11" s="363" customFormat="1">
      <c r="A65" s="372"/>
      <c r="B65" s="373"/>
      <c r="C65" s="511" t="s">
        <v>864</v>
      </c>
      <c r="D65" s="375">
        <v>7</v>
      </c>
      <c r="E65" s="512" t="s">
        <v>778</v>
      </c>
      <c r="F65" s="512"/>
      <c r="G65" s="61"/>
      <c r="H65" s="62"/>
      <c r="I65" s="62"/>
      <c r="J65" s="366"/>
      <c r="K65" s="362"/>
    </row>
    <row r="66" spans="1:11" s="363" customFormat="1">
      <c r="A66" s="372"/>
      <c r="B66" s="373"/>
      <c r="C66" s="511" t="s">
        <v>779</v>
      </c>
      <c r="D66" s="375">
        <v>1.4</v>
      </c>
      <c r="E66" s="514" t="s">
        <v>780</v>
      </c>
      <c r="F66" s="332"/>
      <c r="G66" s="61"/>
      <c r="H66" s="62"/>
      <c r="I66" s="62"/>
      <c r="J66" s="366"/>
      <c r="K66" s="362"/>
    </row>
    <row r="67" spans="1:11" s="363" customFormat="1">
      <c r="A67" s="372"/>
      <c r="B67" s="373"/>
      <c r="C67" s="364"/>
      <c r="D67" s="375"/>
      <c r="E67" s="375"/>
      <c r="F67" s="332"/>
      <c r="G67" s="61"/>
      <c r="H67" s="62"/>
      <c r="I67" s="62"/>
      <c r="J67" s="366"/>
      <c r="K67" s="362"/>
    </row>
    <row r="68" spans="1:11" s="363" customFormat="1">
      <c r="A68" s="372"/>
      <c r="B68" s="373"/>
      <c r="C68" s="364"/>
      <c r="D68" s="375"/>
      <c r="E68" s="375"/>
      <c r="F68" s="332"/>
      <c r="G68" s="61"/>
      <c r="H68" s="62"/>
      <c r="I68" s="62"/>
      <c r="J68" s="366"/>
      <c r="K68" s="362"/>
    </row>
    <row r="69" spans="1:11" s="363" customFormat="1">
      <c r="A69" s="372" t="s">
        <v>777</v>
      </c>
      <c r="B69" s="373">
        <v>210000</v>
      </c>
      <c r="C69" s="513" t="s">
        <v>862</v>
      </c>
      <c r="D69" s="59" t="s">
        <v>855</v>
      </c>
      <c r="E69" s="59" t="s">
        <v>444</v>
      </c>
      <c r="F69" s="510" t="s">
        <v>12</v>
      </c>
      <c r="G69" s="61">
        <f>ROUND(D70/D71,1)</f>
        <v>2</v>
      </c>
      <c r="H69" s="62"/>
      <c r="I69" s="62"/>
      <c r="J69" s="366"/>
      <c r="K69" s="362"/>
    </row>
    <row r="70" spans="1:11" s="363" customFormat="1">
      <c r="A70" s="372"/>
      <c r="B70" s="373"/>
      <c r="C70" s="511" t="s">
        <v>865</v>
      </c>
      <c r="D70" s="375">
        <f>G64</f>
        <v>9.7999999999999989</v>
      </c>
      <c r="E70" s="512" t="s">
        <v>778</v>
      </c>
      <c r="F70" s="512"/>
      <c r="G70" s="61"/>
      <c r="H70" s="62"/>
      <c r="I70" s="62"/>
      <c r="J70" s="366"/>
      <c r="K70" s="362"/>
    </row>
    <row r="71" spans="1:11" s="363" customFormat="1">
      <c r="A71" s="372"/>
      <c r="B71" s="373"/>
      <c r="C71" s="511" t="s">
        <v>866</v>
      </c>
      <c r="D71" s="375">
        <v>5</v>
      </c>
      <c r="E71" s="512" t="s">
        <v>778</v>
      </c>
      <c r="F71" s="332"/>
      <c r="G71" s="61"/>
      <c r="H71" s="62"/>
      <c r="I71" s="62"/>
      <c r="J71" s="366"/>
      <c r="K71" s="362"/>
    </row>
    <row r="72" spans="1:11" s="363" customFormat="1">
      <c r="A72" s="372"/>
      <c r="B72" s="373"/>
      <c r="C72" s="374"/>
      <c r="D72" s="373"/>
      <c r="E72" s="332"/>
      <c r="F72" s="332"/>
      <c r="G72" s="61"/>
      <c r="H72" s="62"/>
      <c r="I72" s="62"/>
      <c r="J72" s="366"/>
      <c r="K72" s="362"/>
    </row>
    <row r="73" spans="1:11" s="370" customFormat="1">
      <c r="A73" s="331" t="s">
        <v>46</v>
      </c>
      <c r="B73" s="332" t="s">
        <v>51</v>
      </c>
      <c r="C73" s="332"/>
      <c r="D73" s="333"/>
      <c r="E73" s="59" t="s">
        <v>444</v>
      </c>
      <c r="F73" s="59" t="s">
        <v>32</v>
      </c>
      <c r="G73" s="61"/>
      <c r="H73" s="367"/>
      <c r="I73" s="367"/>
      <c r="J73" s="368"/>
      <c r="K73" s="369"/>
    </row>
    <row r="74" spans="1:11" s="370" customFormat="1" ht="30">
      <c r="A74" s="58" t="s">
        <v>47</v>
      </c>
      <c r="B74" s="59" t="s">
        <v>476</v>
      </c>
      <c r="C74" s="60" t="s">
        <v>477</v>
      </c>
      <c r="D74" s="59" t="s">
        <v>24</v>
      </c>
      <c r="E74" s="59" t="s">
        <v>444</v>
      </c>
      <c r="F74" s="59" t="s">
        <v>32</v>
      </c>
      <c r="G74" s="61">
        <f>SUM(F77:F81)</f>
        <v>40.949999999999996</v>
      </c>
      <c r="H74" s="371"/>
      <c r="I74" s="371"/>
      <c r="J74" s="368"/>
      <c r="K74" s="369"/>
    </row>
    <row r="75" spans="1:11" s="370" customFormat="1">
      <c r="A75" s="58"/>
      <c r="B75" s="59"/>
      <c r="C75" s="360" t="s">
        <v>551</v>
      </c>
      <c r="D75" s="340" t="s">
        <v>468</v>
      </c>
      <c r="E75" s="365">
        <v>1</v>
      </c>
      <c r="F75" s="59"/>
      <c r="G75" s="61"/>
      <c r="H75" s="371"/>
      <c r="I75" s="371"/>
      <c r="J75" s="368"/>
      <c r="K75" s="369"/>
    </row>
    <row r="76" spans="1:11" s="370" customFormat="1">
      <c r="A76" s="58"/>
      <c r="B76" s="59"/>
      <c r="C76" s="360"/>
      <c r="D76" s="340" t="s">
        <v>464</v>
      </c>
      <c r="E76" s="376" t="s">
        <v>556</v>
      </c>
      <c r="F76" s="340" t="s">
        <v>467</v>
      </c>
      <c r="G76" s="61"/>
      <c r="H76" s="371"/>
      <c r="I76" s="371"/>
      <c r="J76" s="368"/>
      <c r="K76" s="369"/>
    </row>
    <row r="77" spans="1:11" s="370" customFormat="1">
      <c r="A77" s="58"/>
      <c r="B77" s="59"/>
      <c r="C77" s="364" t="s">
        <v>557</v>
      </c>
      <c r="D77" s="375">
        <v>3.8</v>
      </c>
      <c r="E77" s="376">
        <v>2.1</v>
      </c>
      <c r="F77" s="340">
        <f>E77*D77</f>
        <v>7.9799999999999995</v>
      </c>
      <c r="G77" s="61"/>
      <c r="H77" s="371"/>
      <c r="I77" s="371"/>
      <c r="J77" s="368"/>
      <c r="K77" s="369"/>
    </row>
    <row r="78" spans="1:11" s="370" customFormat="1">
      <c r="A78" s="58"/>
      <c r="B78" s="59"/>
      <c r="C78" s="364" t="s">
        <v>553</v>
      </c>
      <c r="D78" s="375">
        <v>3.8</v>
      </c>
      <c r="E78" s="376">
        <v>2.1</v>
      </c>
      <c r="F78" s="340">
        <f>E78*D78</f>
        <v>7.9799999999999995</v>
      </c>
      <c r="G78" s="61"/>
      <c r="H78" s="371"/>
      <c r="I78" s="371"/>
      <c r="J78" s="368"/>
      <c r="K78" s="369"/>
    </row>
    <row r="79" spans="1:11" s="370" customFormat="1">
      <c r="A79" s="58"/>
      <c r="B79" s="59"/>
      <c r="C79" s="364" t="s">
        <v>554</v>
      </c>
      <c r="D79" s="375">
        <v>3.8</v>
      </c>
      <c r="E79" s="376">
        <v>2.1</v>
      </c>
      <c r="F79" s="340">
        <f>E79*D79</f>
        <v>7.9799999999999995</v>
      </c>
      <c r="G79" s="61"/>
      <c r="H79" s="371"/>
      <c r="I79" s="371"/>
      <c r="J79" s="368"/>
      <c r="K79" s="369"/>
    </row>
    <row r="80" spans="1:11" s="370" customFormat="1">
      <c r="A80" s="58"/>
      <c r="B80" s="59"/>
      <c r="C80" s="364" t="s">
        <v>555</v>
      </c>
      <c r="D80" s="375">
        <v>3.8</v>
      </c>
      <c r="E80" s="376">
        <v>2.1</v>
      </c>
      <c r="F80" s="340">
        <f>E80*D80</f>
        <v>7.9799999999999995</v>
      </c>
      <c r="G80" s="61"/>
      <c r="H80" s="371"/>
      <c r="I80" s="371"/>
      <c r="J80" s="368"/>
      <c r="K80" s="369"/>
    </row>
    <row r="81" spans="1:11" s="370" customFormat="1">
      <c r="A81" s="58"/>
      <c r="B81" s="59"/>
      <c r="C81" s="364" t="s">
        <v>558</v>
      </c>
      <c r="D81" s="375">
        <v>4.3</v>
      </c>
      <c r="E81" s="376">
        <v>2.1</v>
      </c>
      <c r="F81" s="340">
        <f>E81*D81</f>
        <v>9.0299999999999994</v>
      </c>
      <c r="G81" s="61"/>
      <c r="H81" s="371"/>
      <c r="I81" s="371"/>
      <c r="J81" s="368"/>
      <c r="K81" s="369"/>
    </row>
    <row r="82" spans="1:11" s="370" customFormat="1">
      <c r="A82" s="58"/>
      <c r="B82" s="59"/>
      <c r="C82" s="60"/>
      <c r="D82" s="59"/>
      <c r="E82" s="59"/>
      <c r="F82" s="59"/>
      <c r="G82" s="61"/>
      <c r="H82" s="371"/>
      <c r="I82" s="371"/>
      <c r="J82" s="368"/>
      <c r="K82" s="369"/>
    </row>
    <row r="83" spans="1:11" s="363" customFormat="1" ht="30">
      <c r="A83" s="58" t="s">
        <v>48</v>
      </c>
      <c r="B83" s="59" t="s">
        <v>476</v>
      </c>
      <c r="C83" s="60" t="s">
        <v>478</v>
      </c>
      <c r="D83" s="59" t="s">
        <v>24</v>
      </c>
      <c r="E83" s="59" t="s">
        <v>444</v>
      </c>
      <c r="F83" s="59" t="s">
        <v>32</v>
      </c>
      <c r="G83" s="61">
        <f>G74</f>
        <v>40.949999999999996</v>
      </c>
      <c r="H83" s="62"/>
      <c r="I83" s="62"/>
      <c r="J83" s="366"/>
      <c r="K83" s="362"/>
    </row>
    <row r="84" spans="1:11" s="363" customFormat="1">
      <c r="A84" s="58"/>
      <c r="B84" s="59"/>
      <c r="C84" s="360" t="s">
        <v>559</v>
      </c>
      <c r="D84" s="340"/>
      <c r="E84" s="340"/>
      <c r="F84" s="340"/>
      <c r="G84" s="377"/>
      <c r="H84" s="62"/>
      <c r="I84" s="62"/>
      <c r="J84" s="366"/>
      <c r="K84" s="362"/>
    </row>
    <row r="85" spans="1:11" s="363" customFormat="1">
      <c r="A85" s="58"/>
      <c r="B85" s="59"/>
      <c r="C85" s="60"/>
      <c r="D85" s="59"/>
      <c r="E85" s="59"/>
      <c r="F85" s="59"/>
      <c r="G85" s="61"/>
      <c r="H85" s="62"/>
      <c r="I85" s="62"/>
      <c r="J85" s="366"/>
      <c r="K85" s="362"/>
    </row>
    <row r="86" spans="1:11" s="370" customFormat="1" ht="20">
      <c r="A86" s="58" t="s">
        <v>494</v>
      </c>
      <c r="B86" s="59" t="s">
        <v>479</v>
      </c>
      <c r="C86" s="60" t="s">
        <v>480</v>
      </c>
      <c r="D86" s="59" t="s">
        <v>24</v>
      </c>
      <c r="E86" s="59" t="s">
        <v>444</v>
      </c>
      <c r="F86" s="59" t="s">
        <v>32</v>
      </c>
      <c r="G86" s="61">
        <f>(D87*D88)-(D89*D90)</f>
        <v>175.84199999999996</v>
      </c>
      <c r="H86" s="367"/>
      <c r="I86" s="367"/>
      <c r="J86" s="368"/>
      <c r="K86" s="369"/>
    </row>
    <row r="87" spans="1:11" s="370" customFormat="1">
      <c r="A87" s="58"/>
      <c r="B87" s="59"/>
      <c r="C87" s="364" t="s">
        <v>560</v>
      </c>
      <c r="D87" s="375">
        <v>8.1999999999999993</v>
      </c>
      <c r="E87" s="375" t="s">
        <v>320</v>
      </c>
      <c r="F87" s="375"/>
      <c r="G87" s="375"/>
      <c r="H87" s="375"/>
      <c r="I87" s="367"/>
      <c r="J87" s="368"/>
      <c r="K87" s="369"/>
    </row>
    <row r="88" spans="1:11" s="370" customFormat="1">
      <c r="A88" s="58"/>
      <c r="B88" s="59"/>
      <c r="C88" s="364" t="s">
        <v>561</v>
      </c>
      <c r="D88" s="375">
        <v>22.56</v>
      </c>
      <c r="E88" s="375" t="s">
        <v>320</v>
      </c>
      <c r="F88" s="375"/>
      <c r="G88" s="375"/>
      <c r="H88" s="375"/>
      <c r="I88" s="367"/>
      <c r="J88" s="368"/>
      <c r="K88" s="369"/>
    </row>
    <row r="89" spans="1:11" s="370" customFormat="1">
      <c r="A89" s="58"/>
      <c r="B89" s="59"/>
      <c r="C89" s="364" t="s">
        <v>562</v>
      </c>
      <c r="D89" s="375">
        <v>1.83</v>
      </c>
      <c r="E89" s="375" t="s">
        <v>468</v>
      </c>
      <c r="F89" s="375"/>
      <c r="G89" s="375"/>
      <c r="H89" s="375"/>
      <c r="I89" s="367"/>
      <c r="J89" s="368"/>
      <c r="K89" s="369"/>
    </row>
    <row r="90" spans="1:11" s="370" customFormat="1">
      <c r="A90" s="58"/>
      <c r="B90" s="59"/>
      <c r="C90" s="364" t="s">
        <v>563</v>
      </c>
      <c r="D90" s="375">
        <v>5</v>
      </c>
      <c r="E90" s="375" t="s">
        <v>564</v>
      </c>
      <c r="F90" s="375"/>
      <c r="G90" s="375"/>
      <c r="H90" s="375"/>
      <c r="I90" s="367"/>
      <c r="J90" s="368"/>
      <c r="K90" s="369"/>
    </row>
    <row r="91" spans="1:11" s="370" customFormat="1">
      <c r="A91" s="58"/>
      <c r="B91" s="59"/>
      <c r="C91" s="60"/>
      <c r="D91" s="59"/>
      <c r="E91" s="59"/>
      <c r="F91" s="59"/>
      <c r="G91" s="61"/>
      <c r="H91" s="367"/>
      <c r="I91" s="367"/>
      <c r="J91" s="368"/>
      <c r="K91" s="369"/>
    </row>
    <row r="92" spans="1:11" s="370" customFormat="1" ht="20">
      <c r="A92" s="58" t="s">
        <v>495</v>
      </c>
      <c r="B92" s="59" t="s">
        <v>479</v>
      </c>
      <c r="C92" s="60" t="s">
        <v>481</v>
      </c>
      <c r="D92" s="59" t="s">
        <v>24</v>
      </c>
      <c r="E92" s="59" t="s">
        <v>444</v>
      </c>
      <c r="F92" s="59" t="s">
        <v>32</v>
      </c>
      <c r="G92" s="61">
        <f>(D93*D94)-(D95*D96)</f>
        <v>175.84199999999996</v>
      </c>
      <c r="H92" s="367"/>
      <c r="I92" s="367"/>
      <c r="J92" s="368"/>
      <c r="K92" s="369"/>
    </row>
    <row r="93" spans="1:11" s="370" customFormat="1">
      <c r="A93" s="58"/>
      <c r="B93" s="59"/>
      <c r="C93" s="364" t="s">
        <v>560</v>
      </c>
      <c r="D93" s="375">
        <v>8.1999999999999993</v>
      </c>
      <c r="E93" s="375" t="s">
        <v>320</v>
      </c>
      <c r="F93" s="59"/>
      <c r="G93" s="61"/>
      <c r="H93" s="367"/>
      <c r="I93" s="367"/>
      <c r="J93" s="368"/>
      <c r="K93" s="369"/>
    </row>
    <row r="94" spans="1:11" s="370" customFormat="1">
      <c r="A94" s="58"/>
      <c r="B94" s="59"/>
      <c r="C94" s="364" t="s">
        <v>561</v>
      </c>
      <c r="D94" s="375">
        <v>22.56</v>
      </c>
      <c r="E94" s="375" t="s">
        <v>320</v>
      </c>
      <c r="F94" s="59"/>
      <c r="G94" s="61"/>
      <c r="H94" s="367"/>
      <c r="I94" s="367"/>
      <c r="J94" s="368"/>
      <c r="K94" s="369"/>
    </row>
    <row r="95" spans="1:11" s="370" customFormat="1">
      <c r="A95" s="58"/>
      <c r="B95" s="59"/>
      <c r="C95" s="364" t="s">
        <v>562</v>
      </c>
      <c r="D95" s="375">
        <v>1.83</v>
      </c>
      <c r="E95" s="375" t="s">
        <v>468</v>
      </c>
      <c r="F95" s="59"/>
      <c r="G95" s="61"/>
      <c r="H95" s="367"/>
      <c r="I95" s="367"/>
      <c r="J95" s="368"/>
      <c r="K95" s="369"/>
    </row>
    <row r="96" spans="1:11" s="370" customFormat="1">
      <c r="A96" s="58"/>
      <c r="B96" s="59"/>
      <c r="C96" s="364" t="s">
        <v>563</v>
      </c>
      <c r="D96" s="375">
        <v>5</v>
      </c>
      <c r="E96" s="375" t="s">
        <v>564</v>
      </c>
      <c r="F96" s="59"/>
      <c r="G96" s="61"/>
      <c r="H96" s="367"/>
      <c r="I96" s="367"/>
      <c r="J96" s="368"/>
      <c r="K96" s="369"/>
    </row>
    <row r="97" spans="1:11" s="370" customFormat="1">
      <c r="A97" s="58"/>
      <c r="B97" s="59"/>
      <c r="C97" s="60"/>
      <c r="D97" s="59"/>
      <c r="E97" s="59"/>
      <c r="F97" s="59"/>
      <c r="G97" s="61"/>
      <c r="H97" s="367"/>
      <c r="I97" s="367"/>
      <c r="J97" s="368"/>
      <c r="K97" s="369"/>
    </row>
    <row r="98" spans="1:11" s="370" customFormat="1" ht="20">
      <c r="A98" s="58" t="s">
        <v>496</v>
      </c>
      <c r="B98" s="59" t="s">
        <v>479</v>
      </c>
      <c r="C98" s="60" t="s">
        <v>482</v>
      </c>
      <c r="D98" s="59" t="s">
        <v>24</v>
      </c>
      <c r="E98" s="59" t="s">
        <v>444</v>
      </c>
      <c r="F98" s="59" t="s">
        <v>32</v>
      </c>
      <c r="G98" s="61">
        <f>(D99*D100)-(D101*D102)</f>
        <v>175.84199999999996</v>
      </c>
      <c r="H98" s="367"/>
      <c r="I98" s="367"/>
      <c r="J98" s="368"/>
      <c r="K98" s="369"/>
    </row>
    <row r="99" spans="1:11" s="370" customFormat="1">
      <c r="A99" s="58"/>
      <c r="B99" s="59"/>
      <c r="C99" s="364" t="s">
        <v>560</v>
      </c>
      <c r="D99" s="375">
        <v>8.1999999999999993</v>
      </c>
      <c r="E99" s="375" t="s">
        <v>320</v>
      </c>
      <c r="F99" s="59"/>
      <c r="G99" s="61"/>
      <c r="H99" s="367"/>
      <c r="I99" s="367"/>
      <c r="J99" s="368"/>
      <c r="K99" s="369"/>
    </row>
    <row r="100" spans="1:11" s="370" customFormat="1">
      <c r="A100" s="58"/>
      <c r="B100" s="59"/>
      <c r="C100" s="364" t="s">
        <v>561</v>
      </c>
      <c r="D100" s="375">
        <v>22.56</v>
      </c>
      <c r="E100" s="375" t="s">
        <v>320</v>
      </c>
      <c r="F100" s="59"/>
      <c r="G100" s="61"/>
      <c r="H100" s="367"/>
      <c r="I100" s="367"/>
      <c r="J100" s="368"/>
      <c r="K100" s="369"/>
    </row>
    <row r="101" spans="1:11" s="370" customFormat="1">
      <c r="A101" s="58"/>
      <c r="B101" s="59"/>
      <c r="C101" s="364" t="s">
        <v>562</v>
      </c>
      <c r="D101" s="375">
        <v>1.83</v>
      </c>
      <c r="E101" s="375" t="s">
        <v>468</v>
      </c>
      <c r="F101" s="59"/>
      <c r="G101" s="61"/>
      <c r="H101" s="367"/>
      <c r="I101" s="367"/>
      <c r="J101" s="368"/>
      <c r="K101" s="369"/>
    </row>
    <row r="102" spans="1:11" s="370" customFormat="1">
      <c r="A102" s="58"/>
      <c r="B102" s="59"/>
      <c r="C102" s="364" t="s">
        <v>563</v>
      </c>
      <c r="D102" s="375">
        <v>5</v>
      </c>
      <c r="E102" s="375" t="s">
        <v>564</v>
      </c>
      <c r="F102" s="59"/>
      <c r="G102" s="61"/>
      <c r="H102" s="367"/>
      <c r="I102" s="367"/>
      <c r="J102" s="368"/>
      <c r="K102" s="369"/>
    </row>
    <row r="103" spans="1:11" s="370" customFormat="1">
      <c r="A103" s="58"/>
      <c r="B103" s="59"/>
      <c r="C103" s="60"/>
      <c r="D103" s="59"/>
      <c r="E103" s="59"/>
      <c r="F103" s="59"/>
      <c r="G103" s="61"/>
      <c r="H103" s="367"/>
      <c r="I103" s="367"/>
      <c r="J103" s="368"/>
      <c r="K103" s="369"/>
    </row>
    <row r="104" spans="1:11" s="370" customFormat="1" ht="20">
      <c r="A104" s="58" t="s">
        <v>497</v>
      </c>
      <c r="B104" s="59" t="s">
        <v>479</v>
      </c>
      <c r="C104" s="60" t="s">
        <v>483</v>
      </c>
      <c r="D104" s="59" t="s">
        <v>24</v>
      </c>
      <c r="E104" s="59" t="s">
        <v>444</v>
      </c>
      <c r="F104" s="59" t="s">
        <v>32</v>
      </c>
      <c r="G104" s="61">
        <f>(D105*D106)-(D107*D108)</f>
        <v>215.49040000000002</v>
      </c>
      <c r="H104" s="367"/>
      <c r="I104" s="367"/>
      <c r="J104" s="368"/>
      <c r="K104" s="369"/>
    </row>
    <row r="105" spans="1:11" s="370" customFormat="1">
      <c r="A105" s="58"/>
      <c r="B105" s="59"/>
      <c r="C105" s="364" t="s">
        <v>560</v>
      </c>
      <c r="D105" s="375">
        <v>8.32</v>
      </c>
      <c r="E105" s="375" t="s">
        <v>320</v>
      </c>
      <c r="F105" s="59"/>
      <c r="G105" s="61"/>
      <c r="H105" s="367"/>
      <c r="I105" s="367"/>
      <c r="J105" s="368"/>
      <c r="K105" s="369"/>
    </row>
    <row r="106" spans="1:11" s="370" customFormat="1">
      <c r="A106" s="58"/>
      <c r="B106" s="59"/>
      <c r="C106" s="364" t="s">
        <v>561</v>
      </c>
      <c r="D106" s="375">
        <v>27.22</v>
      </c>
      <c r="E106" s="375" t="s">
        <v>320</v>
      </c>
      <c r="F106" s="59"/>
      <c r="G106" s="61"/>
      <c r="H106" s="367"/>
      <c r="I106" s="367"/>
      <c r="J106" s="368"/>
      <c r="K106" s="369"/>
    </row>
    <row r="107" spans="1:11" s="370" customFormat="1">
      <c r="A107" s="58"/>
      <c r="B107" s="59"/>
      <c r="C107" s="364" t="s">
        <v>562</v>
      </c>
      <c r="D107" s="375">
        <v>1.83</v>
      </c>
      <c r="E107" s="375" t="s">
        <v>468</v>
      </c>
      <c r="F107" s="59"/>
      <c r="G107" s="61"/>
      <c r="H107" s="367"/>
      <c r="I107" s="367"/>
      <c r="J107" s="368"/>
      <c r="K107" s="369"/>
    </row>
    <row r="108" spans="1:11" s="370" customFormat="1">
      <c r="A108" s="58"/>
      <c r="B108" s="59"/>
      <c r="C108" s="364" t="s">
        <v>563</v>
      </c>
      <c r="D108" s="375">
        <v>6</v>
      </c>
      <c r="E108" s="375" t="s">
        <v>564</v>
      </c>
      <c r="F108" s="59"/>
      <c r="G108" s="61"/>
      <c r="H108" s="367"/>
      <c r="I108" s="367"/>
      <c r="J108" s="368"/>
      <c r="K108" s="369"/>
    </row>
    <row r="109" spans="1:11" s="370" customFormat="1">
      <c r="A109" s="58"/>
      <c r="B109" s="59"/>
      <c r="C109" s="60"/>
      <c r="D109" s="59"/>
      <c r="E109" s="59"/>
      <c r="F109" s="59"/>
      <c r="G109" s="61"/>
      <c r="H109" s="367"/>
      <c r="I109" s="367"/>
      <c r="J109" s="368"/>
      <c r="K109" s="369"/>
    </row>
    <row r="110" spans="1:11" s="370" customFormat="1" ht="20">
      <c r="A110" s="58" t="s">
        <v>498</v>
      </c>
      <c r="B110" s="59" t="s">
        <v>484</v>
      </c>
      <c r="C110" s="60" t="s">
        <v>485</v>
      </c>
      <c r="D110" s="59" t="s">
        <v>11</v>
      </c>
      <c r="E110" s="59" t="s">
        <v>444</v>
      </c>
      <c r="F110" s="59" t="s">
        <v>32</v>
      </c>
      <c r="G110" s="61">
        <f>SUM(D111:D116)*H111</f>
        <v>10.0625</v>
      </c>
      <c r="H110" s="371"/>
      <c r="I110" s="371"/>
      <c r="J110" s="368"/>
      <c r="K110" s="369"/>
    </row>
    <row r="111" spans="1:11" s="370" customFormat="1">
      <c r="A111" s="58"/>
      <c r="B111" s="59"/>
      <c r="C111" s="364" t="s">
        <v>569</v>
      </c>
      <c r="D111" s="375">
        <v>0.32</v>
      </c>
      <c r="E111" s="375" t="s">
        <v>468</v>
      </c>
      <c r="F111" s="378"/>
      <c r="G111" s="379" t="s">
        <v>576</v>
      </c>
      <c r="H111" s="380">
        <v>5</v>
      </c>
      <c r="I111" s="381"/>
      <c r="J111" s="368"/>
      <c r="K111" s="369"/>
    </row>
    <row r="112" spans="1:11" s="370" customFormat="1">
      <c r="A112" s="58"/>
      <c r="B112" s="59"/>
      <c r="C112" s="364" t="s">
        <v>570</v>
      </c>
      <c r="D112" s="375">
        <v>0.32</v>
      </c>
      <c r="E112" s="375" t="s">
        <v>468</v>
      </c>
      <c r="F112" s="378"/>
      <c r="G112" s="382"/>
      <c r="H112" s="381"/>
      <c r="I112" s="381"/>
      <c r="J112" s="368"/>
      <c r="K112" s="369"/>
    </row>
    <row r="113" spans="1:11" s="370" customFormat="1">
      <c r="A113" s="58"/>
      <c r="B113" s="59"/>
      <c r="C113" s="364" t="s">
        <v>571</v>
      </c>
      <c r="D113" s="375">
        <v>0.14000000000000001</v>
      </c>
      <c r="E113" s="375" t="s">
        <v>468</v>
      </c>
      <c r="F113" s="378"/>
      <c r="G113" s="382"/>
      <c r="H113" s="381"/>
      <c r="I113" s="381"/>
      <c r="J113" s="368"/>
      <c r="K113" s="369"/>
    </row>
    <row r="114" spans="1:11" s="370" customFormat="1">
      <c r="A114" s="58"/>
      <c r="B114" s="59"/>
      <c r="C114" s="364" t="s">
        <v>572</v>
      </c>
      <c r="D114" s="375">
        <f>0.25*2.065</f>
        <v>0.51624999999999999</v>
      </c>
      <c r="E114" s="375" t="s">
        <v>468</v>
      </c>
      <c r="F114" s="378"/>
      <c r="G114" s="382"/>
      <c r="H114" s="381"/>
      <c r="I114" s="381"/>
      <c r="J114" s="368"/>
      <c r="K114" s="369"/>
    </row>
    <row r="115" spans="1:11" s="370" customFormat="1">
      <c r="A115" s="58"/>
      <c r="B115" s="59"/>
      <c r="C115" s="364" t="s">
        <v>573</v>
      </c>
      <c r="D115" s="375">
        <f>0.25*2.065</f>
        <v>0.51624999999999999</v>
      </c>
      <c r="E115" s="375" t="s">
        <v>468</v>
      </c>
      <c r="F115" s="378"/>
      <c r="G115" s="382"/>
      <c r="H115" s="381"/>
      <c r="I115" s="381"/>
      <c r="J115" s="368"/>
      <c r="K115" s="369"/>
    </row>
    <row r="116" spans="1:11" s="370" customFormat="1">
      <c r="A116" s="58"/>
      <c r="B116" s="59"/>
      <c r="C116" s="364" t="s">
        <v>574</v>
      </c>
      <c r="D116" s="375">
        <f>0.25*0.8</f>
        <v>0.2</v>
      </c>
      <c r="E116" s="375" t="s">
        <v>468</v>
      </c>
      <c r="F116" s="59"/>
      <c r="G116" s="61"/>
      <c r="H116" s="371"/>
      <c r="I116" s="371"/>
      <c r="J116" s="368"/>
      <c r="K116" s="369"/>
    </row>
    <row r="117" spans="1:11" s="370" customFormat="1">
      <c r="A117" s="58"/>
      <c r="B117" s="59"/>
      <c r="C117" s="60"/>
      <c r="D117" s="59"/>
      <c r="E117" s="59"/>
      <c r="F117" s="59"/>
      <c r="G117" s="61"/>
      <c r="H117" s="371"/>
      <c r="I117" s="371"/>
      <c r="J117" s="368"/>
      <c r="K117" s="369"/>
    </row>
    <row r="118" spans="1:11" s="363" customFormat="1" ht="20">
      <c r="A118" s="58" t="s">
        <v>499</v>
      </c>
      <c r="B118" s="59" t="s">
        <v>484</v>
      </c>
      <c r="C118" s="60" t="s">
        <v>486</v>
      </c>
      <c r="D118" s="59" t="s">
        <v>11</v>
      </c>
      <c r="E118" s="59" t="s">
        <v>444</v>
      </c>
      <c r="F118" s="59" t="s">
        <v>32</v>
      </c>
      <c r="G118" s="61">
        <f>G110</f>
        <v>10.0625</v>
      </c>
      <c r="H118" s="62"/>
      <c r="I118" s="62"/>
      <c r="J118" s="366"/>
      <c r="K118" s="362"/>
    </row>
    <row r="119" spans="1:11" s="363" customFormat="1">
      <c r="A119" s="58"/>
      <c r="B119" s="59"/>
      <c r="C119" s="383" t="s">
        <v>575</v>
      </c>
      <c r="D119" s="59"/>
      <c r="E119" s="59"/>
      <c r="F119" s="59"/>
      <c r="G119" s="61"/>
      <c r="H119" s="62"/>
      <c r="I119" s="62"/>
      <c r="J119" s="366"/>
      <c r="K119" s="362"/>
    </row>
    <row r="120" spans="1:11" s="363" customFormat="1">
      <c r="A120" s="58"/>
      <c r="B120" s="59"/>
      <c r="C120" s="60"/>
      <c r="D120" s="59"/>
      <c r="E120" s="59"/>
      <c r="F120" s="59"/>
      <c r="G120" s="61"/>
      <c r="H120" s="62"/>
      <c r="I120" s="62"/>
      <c r="J120" s="366"/>
      <c r="K120" s="362"/>
    </row>
    <row r="121" spans="1:11" s="370" customFormat="1" ht="20">
      <c r="A121" s="58" t="s">
        <v>500</v>
      </c>
      <c r="B121" s="59" t="s">
        <v>484</v>
      </c>
      <c r="C121" s="60" t="s">
        <v>487</v>
      </c>
      <c r="D121" s="59" t="s">
        <v>11</v>
      </c>
      <c r="E121" s="59" t="s">
        <v>444</v>
      </c>
      <c r="F121" s="59" t="s">
        <v>32</v>
      </c>
      <c r="G121" s="61">
        <f>G110</f>
        <v>10.0625</v>
      </c>
      <c r="H121" s="367"/>
      <c r="I121" s="367"/>
      <c r="J121" s="368"/>
      <c r="K121" s="369"/>
    </row>
    <row r="122" spans="1:11" s="370" customFormat="1">
      <c r="A122" s="58"/>
      <c r="B122" s="59"/>
      <c r="C122" s="383" t="s">
        <v>575</v>
      </c>
      <c r="D122" s="59"/>
      <c r="E122" s="59"/>
      <c r="F122" s="59"/>
      <c r="G122" s="61"/>
      <c r="H122" s="367"/>
      <c r="I122" s="367"/>
      <c r="J122" s="368"/>
      <c r="K122" s="369"/>
    </row>
    <row r="123" spans="1:11" s="370" customFormat="1">
      <c r="A123" s="58"/>
      <c r="B123" s="59"/>
      <c r="C123" s="60"/>
      <c r="D123" s="59"/>
      <c r="E123" s="59"/>
      <c r="F123" s="59"/>
      <c r="G123" s="61"/>
      <c r="H123" s="367"/>
      <c r="I123" s="367"/>
      <c r="J123" s="368"/>
      <c r="K123" s="369"/>
    </row>
    <row r="124" spans="1:11" s="370" customFormat="1" ht="20">
      <c r="A124" s="58" t="s">
        <v>501</v>
      </c>
      <c r="B124" s="59" t="s">
        <v>484</v>
      </c>
      <c r="C124" s="60" t="s">
        <v>488</v>
      </c>
      <c r="D124" s="59" t="s">
        <v>11</v>
      </c>
      <c r="E124" s="59" t="s">
        <v>444</v>
      </c>
      <c r="F124" s="59" t="s">
        <v>49</v>
      </c>
      <c r="G124" s="61">
        <f>SUM(D125:D130)*H125</f>
        <v>12.075000000000001</v>
      </c>
      <c r="H124" s="371"/>
      <c r="I124" s="371"/>
      <c r="J124" s="368"/>
      <c r="K124" s="369"/>
    </row>
    <row r="125" spans="1:11" s="370" customFormat="1">
      <c r="A125" s="58"/>
      <c r="B125" s="59"/>
      <c r="C125" s="364" t="s">
        <v>569</v>
      </c>
      <c r="D125" s="375">
        <v>0.32</v>
      </c>
      <c r="E125" s="375" t="s">
        <v>468</v>
      </c>
      <c r="F125" s="378"/>
      <c r="G125" s="379" t="s">
        <v>576</v>
      </c>
      <c r="H125" s="380">
        <v>6</v>
      </c>
      <c r="I125" s="381"/>
      <c r="J125" s="368"/>
      <c r="K125" s="369"/>
    </row>
    <row r="126" spans="1:11" s="370" customFormat="1">
      <c r="A126" s="58"/>
      <c r="B126" s="59"/>
      <c r="C126" s="364" t="s">
        <v>570</v>
      </c>
      <c r="D126" s="375">
        <v>0.32</v>
      </c>
      <c r="E126" s="375" t="s">
        <v>468</v>
      </c>
      <c r="F126" s="378"/>
      <c r="G126" s="382"/>
      <c r="H126" s="381"/>
      <c r="I126" s="381"/>
      <c r="J126" s="368"/>
      <c r="K126" s="369"/>
    </row>
    <row r="127" spans="1:11" s="370" customFormat="1">
      <c r="A127" s="58"/>
      <c r="B127" s="59"/>
      <c r="C127" s="364" t="s">
        <v>571</v>
      </c>
      <c r="D127" s="375">
        <v>0.14000000000000001</v>
      </c>
      <c r="E127" s="375" t="s">
        <v>468</v>
      </c>
      <c r="F127" s="378"/>
      <c r="G127" s="382"/>
      <c r="H127" s="381"/>
      <c r="I127" s="381"/>
      <c r="J127" s="368"/>
      <c r="K127" s="369"/>
    </row>
    <row r="128" spans="1:11" s="370" customFormat="1">
      <c r="A128" s="58"/>
      <c r="B128" s="59"/>
      <c r="C128" s="364" t="s">
        <v>572</v>
      </c>
      <c r="D128" s="375">
        <f>0.25*2.065</f>
        <v>0.51624999999999999</v>
      </c>
      <c r="E128" s="375" t="s">
        <v>468</v>
      </c>
      <c r="F128" s="378"/>
      <c r="G128" s="382"/>
      <c r="H128" s="381"/>
      <c r="I128" s="381"/>
      <c r="J128" s="368"/>
      <c r="K128" s="369"/>
    </row>
    <row r="129" spans="1:11" s="370" customFormat="1">
      <c r="A129" s="58"/>
      <c r="B129" s="59"/>
      <c r="C129" s="364" t="s">
        <v>573</v>
      </c>
      <c r="D129" s="375">
        <f>0.25*2.065</f>
        <v>0.51624999999999999</v>
      </c>
      <c r="E129" s="375" t="s">
        <v>468</v>
      </c>
      <c r="F129" s="378"/>
      <c r="G129" s="382"/>
      <c r="H129" s="381"/>
      <c r="I129" s="381"/>
      <c r="J129" s="368"/>
      <c r="K129" s="369"/>
    </row>
    <row r="130" spans="1:11" s="370" customFormat="1">
      <c r="A130" s="58"/>
      <c r="B130" s="59"/>
      <c r="C130" s="364" t="s">
        <v>574</v>
      </c>
      <c r="D130" s="375">
        <f>0.25*0.8</f>
        <v>0.2</v>
      </c>
      <c r="E130" s="375" t="s">
        <v>468</v>
      </c>
      <c r="F130" s="59"/>
      <c r="G130" s="61"/>
      <c r="H130" s="371"/>
      <c r="I130" s="371"/>
      <c r="J130" s="368"/>
      <c r="K130" s="369"/>
    </row>
    <row r="131" spans="1:11" s="370" customFormat="1">
      <c r="A131" s="58"/>
      <c r="B131" s="59"/>
      <c r="C131" s="60"/>
      <c r="D131" s="59"/>
      <c r="E131" s="59"/>
      <c r="F131" s="59"/>
      <c r="G131" s="61"/>
      <c r="H131" s="371"/>
      <c r="I131" s="371"/>
      <c r="J131" s="368"/>
      <c r="K131" s="369"/>
    </row>
    <row r="132" spans="1:11" s="363" customFormat="1" ht="20">
      <c r="A132" s="58" t="s">
        <v>502</v>
      </c>
      <c r="B132" s="59" t="s">
        <v>489</v>
      </c>
      <c r="C132" s="60" t="s">
        <v>490</v>
      </c>
      <c r="D132" s="59" t="s">
        <v>11</v>
      </c>
      <c r="E132" s="59" t="s">
        <v>444</v>
      </c>
      <c r="F132" s="59" t="s">
        <v>49</v>
      </c>
      <c r="G132" s="61">
        <f>D133*D134</f>
        <v>4</v>
      </c>
      <c r="H132" s="62"/>
      <c r="I132" s="62"/>
      <c r="J132" s="366"/>
      <c r="K132" s="362"/>
    </row>
    <row r="133" spans="1:11" s="363" customFormat="1">
      <c r="A133" s="58"/>
      <c r="B133" s="59"/>
      <c r="C133" s="364" t="s">
        <v>577</v>
      </c>
      <c r="D133" s="375">
        <v>0.8</v>
      </c>
      <c r="E133" s="375" t="s">
        <v>320</v>
      </c>
      <c r="F133" s="59"/>
      <c r="G133" s="61"/>
      <c r="H133" s="62"/>
      <c r="I133" s="62"/>
      <c r="J133" s="366"/>
      <c r="K133" s="362"/>
    </row>
    <row r="134" spans="1:11" s="363" customFormat="1">
      <c r="A134" s="58"/>
      <c r="B134" s="59"/>
      <c r="C134" s="364" t="s">
        <v>563</v>
      </c>
      <c r="D134" s="375">
        <v>5</v>
      </c>
      <c r="E134" s="375" t="s">
        <v>564</v>
      </c>
      <c r="F134" s="59"/>
      <c r="G134" s="61"/>
      <c r="H134" s="62"/>
      <c r="I134" s="62"/>
      <c r="J134" s="366"/>
      <c r="K134" s="362"/>
    </row>
    <row r="135" spans="1:11" s="363" customFormat="1">
      <c r="A135" s="58"/>
      <c r="B135" s="59"/>
      <c r="C135" s="60"/>
      <c r="D135" s="59"/>
      <c r="E135" s="59"/>
      <c r="F135" s="59"/>
      <c r="G135" s="61"/>
      <c r="H135" s="62"/>
      <c r="I135" s="62"/>
      <c r="J135" s="366"/>
      <c r="K135" s="362"/>
    </row>
    <row r="136" spans="1:11" s="370" customFormat="1" ht="20">
      <c r="A136" s="58" t="s">
        <v>503</v>
      </c>
      <c r="B136" s="59" t="s">
        <v>489</v>
      </c>
      <c r="C136" s="60" t="s">
        <v>491</v>
      </c>
      <c r="D136" s="59" t="s">
        <v>11</v>
      </c>
      <c r="E136" s="59" t="s">
        <v>444</v>
      </c>
      <c r="F136" s="59" t="s">
        <v>49</v>
      </c>
      <c r="G136" s="61">
        <f>D137*D138</f>
        <v>4</v>
      </c>
      <c r="H136" s="384"/>
      <c r="I136" s="385"/>
      <c r="J136" s="386"/>
      <c r="K136" s="387"/>
    </row>
    <row r="137" spans="1:11" s="370" customFormat="1">
      <c r="A137" s="58"/>
      <c r="B137" s="59"/>
      <c r="C137" s="364" t="s">
        <v>577</v>
      </c>
      <c r="D137" s="375">
        <v>0.8</v>
      </c>
      <c r="E137" s="375" t="s">
        <v>320</v>
      </c>
      <c r="F137" s="59"/>
      <c r="G137" s="61"/>
      <c r="H137" s="384"/>
      <c r="I137" s="385"/>
      <c r="J137" s="386"/>
      <c r="K137" s="387"/>
    </row>
    <row r="138" spans="1:11" s="370" customFormat="1">
      <c r="A138" s="58"/>
      <c r="B138" s="59"/>
      <c r="C138" s="364" t="s">
        <v>563</v>
      </c>
      <c r="D138" s="375">
        <v>5</v>
      </c>
      <c r="E138" s="375" t="s">
        <v>564</v>
      </c>
      <c r="F138" s="59"/>
      <c r="G138" s="61"/>
      <c r="H138" s="384"/>
      <c r="I138" s="385"/>
      <c r="J138" s="386"/>
      <c r="K138" s="387"/>
    </row>
    <row r="139" spans="1:11" s="370" customFormat="1">
      <c r="A139" s="58"/>
      <c r="B139" s="59"/>
      <c r="C139" s="60"/>
      <c r="D139" s="59"/>
      <c r="E139" s="59"/>
      <c r="F139" s="59"/>
      <c r="G139" s="61"/>
      <c r="H139" s="384"/>
      <c r="I139" s="385"/>
      <c r="J139" s="386"/>
      <c r="K139" s="387"/>
    </row>
    <row r="140" spans="1:11" s="370" customFormat="1" ht="20">
      <c r="A140" s="58" t="s">
        <v>504</v>
      </c>
      <c r="B140" s="59" t="s">
        <v>489</v>
      </c>
      <c r="C140" s="60" t="s">
        <v>492</v>
      </c>
      <c r="D140" s="59" t="s">
        <v>11</v>
      </c>
      <c r="E140" s="59" t="s">
        <v>444</v>
      </c>
      <c r="F140" s="59" t="s">
        <v>49</v>
      </c>
      <c r="G140" s="61">
        <f>D141*D142</f>
        <v>4</v>
      </c>
      <c r="H140" s="384"/>
      <c r="I140" s="388"/>
      <c r="J140" s="386"/>
      <c r="K140" s="387"/>
    </row>
    <row r="141" spans="1:11" s="370" customFormat="1">
      <c r="A141" s="58"/>
      <c r="B141" s="59"/>
      <c r="C141" s="364" t="s">
        <v>577</v>
      </c>
      <c r="D141" s="375">
        <v>0.8</v>
      </c>
      <c r="E141" s="375" t="s">
        <v>320</v>
      </c>
      <c r="F141" s="59"/>
      <c r="G141" s="61"/>
      <c r="H141" s="384"/>
      <c r="I141" s="388"/>
      <c r="J141" s="386"/>
      <c r="K141" s="387"/>
    </row>
    <row r="142" spans="1:11" s="370" customFormat="1">
      <c r="A142" s="58"/>
      <c r="B142" s="59"/>
      <c r="C142" s="364" t="s">
        <v>563</v>
      </c>
      <c r="D142" s="375">
        <v>5</v>
      </c>
      <c r="E142" s="375" t="s">
        <v>564</v>
      </c>
      <c r="F142" s="59"/>
      <c r="G142" s="61"/>
      <c r="H142" s="384"/>
      <c r="I142" s="388"/>
      <c r="J142" s="386"/>
      <c r="K142" s="387"/>
    </row>
    <row r="143" spans="1:11" s="370" customFormat="1">
      <c r="A143" s="58"/>
      <c r="B143" s="59"/>
      <c r="C143" s="60"/>
      <c r="D143" s="59"/>
      <c r="E143" s="59"/>
      <c r="F143" s="59"/>
      <c r="G143" s="61"/>
      <c r="H143" s="384"/>
      <c r="I143" s="388"/>
      <c r="J143" s="386"/>
      <c r="K143" s="387"/>
    </row>
    <row r="144" spans="1:11" s="370" customFormat="1" ht="20">
      <c r="A144" s="58" t="s">
        <v>505</v>
      </c>
      <c r="B144" s="59" t="s">
        <v>489</v>
      </c>
      <c r="C144" s="60" t="s">
        <v>493</v>
      </c>
      <c r="D144" s="59" t="s">
        <v>11</v>
      </c>
      <c r="E144" s="59" t="s">
        <v>444</v>
      </c>
      <c r="F144" s="59" t="s">
        <v>49</v>
      </c>
      <c r="G144" s="61">
        <f>D145*D146</f>
        <v>4.8000000000000007</v>
      </c>
      <c r="H144" s="384"/>
      <c r="I144" s="388"/>
      <c r="J144" s="386"/>
      <c r="K144" s="387"/>
    </row>
    <row r="145" spans="1:11" s="370" customFormat="1">
      <c r="A145" s="58"/>
      <c r="B145" s="59"/>
      <c r="C145" s="364" t="s">
        <v>577</v>
      </c>
      <c r="D145" s="375">
        <v>0.8</v>
      </c>
      <c r="E145" s="375" t="s">
        <v>320</v>
      </c>
      <c r="F145" s="332"/>
      <c r="G145" s="61"/>
      <c r="H145" s="384"/>
      <c r="I145" s="388"/>
      <c r="J145" s="386"/>
      <c r="K145" s="387"/>
    </row>
    <row r="146" spans="1:11" s="370" customFormat="1">
      <c r="A146" s="58"/>
      <c r="B146" s="59"/>
      <c r="C146" s="364" t="s">
        <v>563</v>
      </c>
      <c r="D146" s="375">
        <v>6</v>
      </c>
      <c r="E146" s="375" t="s">
        <v>564</v>
      </c>
      <c r="F146" s="332"/>
      <c r="G146" s="61"/>
      <c r="H146" s="384"/>
      <c r="I146" s="388"/>
      <c r="J146" s="386"/>
      <c r="K146" s="387"/>
    </row>
    <row r="147" spans="1:11" s="370" customFormat="1">
      <c r="A147" s="58"/>
      <c r="B147" s="59"/>
      <c r="C147" s="60"/>
      <c r="D147" s="59"/>
      <c r="E147" s="332"/>
      <c r="F147" s="332"/>
      <c r="G147" s="61"/>
      <c r="H147" s="384"/>
      <c r="I147" s="388"/>
      <c r="J147" s="386"/>
      <c r="K147" s="387"/>
    </row>
    <row r="148" spans="1:11" s="370" customFormat="1">
      <c r="A148" s="331" t="s">
        <v>50</v>
      </c>
      <c r="B148" s="332" t="s">
        <v>59</v>
      </c>
      <c r="C148" s="332"/>
      <c r="D148" s="333"/>
      <c r="E148" s="59"/>
      <c r="F148" s="7"/>
      <c r="G148" s="61"/>
      <c r="H148" s="384"/>
      <c r="I148" s="388"/>
      <c r="J148" s="386"/>
      <c r="K148" s="387"/>
    </row>
    <row r="149" spans="1:11" s="370" customFormat="1" ht="20">
      <c r="A149" s="58" t="s">
        <v>52</v>
      </c>
      <c r="B149" s="59" t="s">
        <v>506</v>
      </c>
      <c r="C149" s="60" t="s">
        <v>507</v>
      </c>
      <c r="D149" s="59" t="s">
        <v>11</v>
      </c>
      <c r="E149" s="59" t="s">
        <v>445</v>
      </c>
      <c r="F149" s="7" t="s">
        <v>12</v>
      </c>
      <c r="G149" s="61">
        <v>3</v>
      </c>
      <c r="H149" s="384"/>
      <c r="I149" s="385"/>
      <c r="J149" s="386"/>
      <c r="K149" s="387"/>
    </row>
    <row r="150" spans="1:11" s="370" customFormat="1" ht="20">
      <c r="A150" s="58" t="s">
        <v>53</v>
      </c>
      <c r="B150" s="59" t="s">
        <v>508</v>
      </c>
      <c r="C150" s="60" t="s">
        <v>509</v>
      </c>
      <c r="D150" s="59" t="s">
        <v>11</v>
      </c>
      <c r="E150" s="59" t="s">
        <v>445</v>
      </c>
      <c r="F150" s="7" t="s">
        <v>12</v>
      </c>
      <c r="G150" s="61">
        <v>1</v>
      </c>
      <c r="H150" s="384"/>
      <c r="I150" s="385"/>
      <c r="J150" s="386"/>
      <c r="K150" s="387"/>
    </row>
    <row r="151" spans="1:11" s="370" customFormat="1">
      <c r="A151" s="331" t="s">
        <v>55</v>
      </c>
      <c r="B151" s="332" t="s">
        <v>510</v>
      </c>
      <c r="C151" s="332"/>
      <c r="D151" s="333"/>
      <c r="E151" s="332"/>
      <c r="F151" s="332"/>
      <c r="G151" s="61"/>
      <c r="H151" s="384"/>
      <c r="I151" s="385"/>
      <c r="J151" s="386"/>
      <c r="K151" s="387"/>
    </row>
    <row r="152" spans="1:11" s="370" customFormat="1" ht="20">
      <c r="A152" s="58" t="s">
        <v>56</v>
      </c>
      <c r="B152" s="59" t="s">
        <v>511</v>
      </c>
      <c r="C152" s="60" t="s">
        <v>512</v>
      </c>
      <c r="D152" s="59" t="s">
        <v>11</v>
      </c>
      <c r="E152" s="59" t="s">
        <v>444</v>
      </c>
      <c r="F152" s="7" t="s">
        <v>12</v>
      </c>
      <c r="G152" s="61">
        <v>3</v>
      </c>
      <c r="H152" s="384"/>
      <c r="I152" s="385"/>
      <c r="J152" s="386"/>
      <c r="K152" s="387"/>
    </row>
    <row r="153" spans="1:11" s="370" customFormat="1" ht="20">
      <c r="A153" s="58" t="s">
        <v>57</v>
      </c>
      <c r="B153" s="59" t="s">
        <v>513</v>
      </c>
      <c r="C153" s="60" t="s">
        <v>514</v>
      </c>
      <c r="D153" s="59" t="s">
        <v>11</v>
      </c>
      <c r="E153" s="59" t="s">
        <v>444</v>
      </c>
      <c r="F153" s="7" t="s">
        <v>12</v>
      </c>
      <c r="G153" s="61">
        <v>1</v>
      </c>
      <c r="H153" s="371"/>
      <c r="I153" s="371"/>
      <c r="J153" s="368"/>
      <c r="K153" s="369"/>
    </row>
    <row r="154" spans="1:11" s="363" customFormat="1">
      <c r="A154" s="331" t="s">
        <v>58</v>
      </c>
      <c r="B154" s="332" t="s">
        <v>515</v>
      </c>
      <c r="C154" s="332"/>
      <c r="D154" s="333"/>
      <c r="E154" s="332"/>
      <c r="F154" s="389"/>
      <c r="G154" s="61"/>
      <c r="H154" s="62"/>
      <c r="I154" s="62"/>
      <c r="J154" s="366"/>
      <c r="K154" s="362"/>
    </row>
    <row r="155" spans="1:11" s="370" customFormat="1" ht="20">
      <c r="A155" s="58" t="s">
        <v>60</v>
      </c>
      <c r="B155" s="59" t="s">
        <v>529</v>
      </c>
      <c r="C155" s="60" t="s">
        <v>530</v>
      </c>
      <c r="D155" s="59" t="s">
        <v>24</v>
      </c>
      <c r="E155" s="59" t="s">
        <v>444</v>
      </c>
      <c r="F155" s="65" t="s">
        <v>12</v>
      </c>
      <c r="G155" s="61">
        <f>D156*D157</f>
        <v>4</v>
      </c>
      <c r="H155" s="390"/>
      <c r="I155" s="371"/>
      <c r="J155" s="386"/>
      <c r="K155" s="369"/>
    </row>
    <row r="156" spans="1:11" s="370" customFormat="1">
      <c r="A156" s="58"/>
      <c r="B156" s="59"/>
      <c r="C156" s="364" t="s">
        <v>579</v>
      </c>
      <c r="D156" s="375">
        <v>1</v>
      </c>
      <c r="E156" s="375" t="s">
        <v>564</v>
      </c>
      <c r="F156" s="65"/>
      <c r="G156" s="61"/>
      <c r="H156" s="390"/>
      <c r="I156" s="371"/>
      <c r="J156" s="386"/>
      <c r="K156" s="369"/>
    </row>
    <row r="157" spans="1:11" s="370" customFormat="1">
      <c r="A157" s="58"/>
      <c r="B157" s="59"/>
      <c r="C157" s="364" t="s">
        <v>578</v>
      </c>
      <c r="D157" s="375">
        <v>4</v>
      </c>
      <c r="E157" s="375" t="s">
        <v>564</v>
      </c>
      <c r="F157" s="65"/>
      <c r="G157" s="61"/>
      <c r="H157" s="390"/>
      <c r="I157" s="371"/>
      <c r="J157" s="386"/>
      <c r="K157" s="369"/>
    </row>
    <row r="158" spans="1:11" s="370" customFormat="1">
      <c r="A158" s="58"/>
      <c r="B158" s="59"/>
      <c r="C158" s="60"/>
      <c r="D158" s="59"/>
      <c r="E158" s="59"/>
      <c r="F158" s="65"/>
      <c r="G158" s="61"/>
      <c r="H158" s="390"/>
      <c r="I158" s="371"/>
      <c r="J158" s="386"/>
      <c r="K158" s="369"/>
    </row>
    <row r="159" spans="1:11" s="370" customFormat="1" ht="30">
      <c r="A159" s="58" t="s">
        <v>61</v>
      </c>
      <c r="B159" s="59" t="s">
        <v>531</v>
      </c>
      <c r="C159" s="60" t="s">
        <v>532</v>
      </c>
      <c r="D159" s="59" t="s">
        <v>24</v>
      </c>
      <c r="E159" s="59" t="s">
        <v>444</v>
      </c>
      <c r="F159" s="65" t="s">
        <v>12</v>
      </c>
      <c r="G159" s="61">
        <f>D160*D161</f>
        <v>6</v>
      </c>
      <c r="H159" s="390"/>
      <c r="I159" s="371"/>
      <c r="J159" s="386"/>
      <c r="K159" s="369"/>
    </row>
    <row r="160" spans="1:11" s="370" customFormat="1">
      <c r="A160" s="58"/>
      <c r="B160" s="59"/>
      <c r="C160" s="364" t="s">
        <v>580</v>
      </c>
      <c r="D160" s="375">
        <v>1</v>
      </c>
      <c r="E160" s="375" t="s">
        <v>564</v>
      </c>
      <c r="F160" s="65"/>
      <c r="G160" s="61"/>
      <c r="H160" s="390"/>
      <c r="I160" s="371"/>
      <c r="J160" s="386"/>
      <c r="K160" s="369"/>
    </row>
    <row r="161" spans="1:11" s="370" customFormat="1">
      <c r="A161" s="58"/>
      <c r="B161" s="59"/>
      <c r="C161" s="364" t="s">
        <v>581</v>
      </c>
      <c r="D161" s="375">
        <v>6</v>
      </c>
      <c r="E161" s="375" t="s">
        <v>564</v>
      </c>
      <c r="F161" s="65"/>
      <c r="G161" s="61"/>
      <c r="H161" s="390"/>
      <c r="I161" s="371"/>
      <c r="J161" s="386"/>
      <c r="K161" s="369"/>
    </row>
    <row r="162" spans="1:11" s="370" customFormat="1">
      <c r="A162" s="58"/>
      <c r="B162" s="59"/>
      <c r="C162" s="60"/>
      <c r="D162" s="59"/>
      <c r="E162" s="59"/>
      <c r="F162" s="65"/>
      <c r="G162" s="61"/>
      <c r="H162" s="390"/>
      <c r="I162" s="371"/>
      <c r="J162" s="386"/>
      <c r="K162" s="369"/>
    </row>
    <row r="163" spans="1:11" s="370" customFormat="1" ht="30">
      <c r="A163" s="58" t="s">
        <v>62</v>
      </c>
      <c r="B163" s="59" t="s">
        <v>531</v>
      </c>
      <c r="C163" s="60" t="s">
        <v>533</v>
      </c>
      <c r="D163" s="59" t="s">
        <v>24</v>
      </c>
      <c r="E163" s="59" t="s">
        <v>444</v>
      </c>
      <c r="F163" s="65" t="s">
        <v>12</v>
      </c>
      <c r="G163" s="61">
        <f>D164*D165</f>
        <v>6</v>
      </c>
      <c r="H163" s="371"/>
      <c r="I163" s="371"/>
      <c r="J163" s="368"/>
      <c r="K163" s="369"/>
    </row>
    <row r="164" spans="1:11" s="370" customFormat="1">
      <c r="A164" s="58"/>
      <c r="B164" s="59"/>
      <c r="C164" s="364" t="s">
        <v>580</v>
      </c>
      <c r="D164" s="375">
        <v>1</v>
      </c>
      <c r="E164" s="375" t="s">
        <v>564</v>
      </c>
      <c r="F164" s="65"/>
      <c r="G164" s="61"/>
      <c r="H164" s="371"/>
      <c r="I164" s="371"/>
      <c r="J164" s="368"/>
      <c r="K164" s="369"/>
    </row>
    <row r="165" spans="1:11" s="370" customFormat="1">
      <c r="A165" s="58"/>
      <c r="B165" s="59"/>
      <c r="C165" s="364" t="s">
        <v>581</v>
      </c>
      <c r="D165" s="375">
        <v>6</v>
      </c>
      <c r="E165" s="375" t="s">
        <v>564</v>
      </c>
      <c r="F165" s="65"/>
      <c r="G165" s="61"/>
      <c r="H165" s="371"/>
      <c r="I165" s="371"/>
      <c r="J165" s="368"/>
      <c r="K165" s="369"/>
    </row>
    <row r="166" spans="1:11" s="370" customFormat="1">
      <c r="A166" s="58"/>
      <c r="B166" s="59"/>
      <c r="C166" s="364"/>
      <c r="D166" s="375"/>
      <c r="E166" s="391"/>
      <c r="F166" s="65"/>
      <c r="G166" s="61"/>
      <c r="H166" s="371"/>
      <c r="I166" s="371"/>
      <c r="J166" s="368"/>
      <c r="K166" s="369"/>
    </row>
    <row r="167" spans="1:11" s="370" customFormat="1" ht="30">
      <c r="A167" s="58" t="s">
        <v>516</v>
      </c>
      <c r="B167" s="59" t="s">
        <v>531</v>
      </c>
      <c r="C167" s="60" t="s">
        <v>534</v>
      </c>
      <c r="D167" s="59" t="s">
        <v>24</v>
      </c>
      <c r="E167" s="67" t="s">
        <v>444</v>
      </c>
      <c r="F167" s="65" t="s">
        <v>12</v>
      </c>
      <c r="G167" s="61">
        <f>D168*D169</f>
        <v>6</v>
      </c>
      <c r="H167" s="371"/>
      <c r="I167" s="371"/>
      <c r="J167" s="368"/>
      <c r="K167" s="369"/>
    </row>
    <row r="168" spans="1:11" s="370" customFormat="1">
      <c r="A168" s="58"/>
      <c r="B168" s="59"/>
      <c r="C168" s="364" t="s">
        <v>580</v>
      </c>
      <c r="D168" s="375">
        <v>1</v>
      </c>
      <c r="E168" s="375" t="s">
        <v>564</v>
      </c>
      <c r="F168" s="65"/>
      <c r="G168" s="61"/>
      <c r="H168" s="371"/>
      <c r="I168" s="371"/>
      <c r="J168" s="368"/>
      <c r="K168" s="369"/>
    </row>
    <row r="169" spans="1:11" s="370" customFormat="1">
      <c r="A169" s="58"/>
      <c r="B169" s="59"/>
      <c r="C169" s="364" t="s">
        <v>581</v>
      </c>
      <c r="D169" s="375">
        <v>6</v>
      </c>
      <c r="E169" s="375" t="s">
        <v>564</v>
      </c>
      <c r="F169" s="65"/>
      <c r="G169" s="61"/>
      <c r="H169" s="371"/>
      <c r="I169" s="371"/>
      <c r="J169" s="368"/>
      <c r="K169" s="369"/>
    </row>
    <row r="170" spans="1:11" s="370" customFormat="1">
      <c r="A170" s="58"/>
      <c r="B170" s="59"/>
      <c r="C170" s="60"/>
      <c r="D170" s="59"/>
      <c r="E170" s="67"/>
      <c r="F170" s="65"/>
      <c r="G170" s="61"/>
      <c r="H170" s="371"/>
      <c r="I170" s="371"/>
      <c r="J170" s="368"/>
      <c r="K170" s="369"/>
    </row>
    <row r="171" spans="1:11" s="370" customFormat="1" ht="30">
      <c r="A171" s="58" t="s">
        <v>517</v>
      </c>
      <c r="B171" s="59" t="s">
        <v>531</v>
      </c>
      <c r="C171" s="60" t="s">
        <v>535</v>
      </c>
      <c r="D171" s="59" t="s">
        <v>24</v>
      </c>
      <c r="E171" s="67" t="s">
        <v>444</v>
      </c>
      <c r="F171" s="65" t="s">
        <v>12</v>
      </c>
      <c r="G171" s="61">
        <f>D172*D173</f>
        <v>7</v>
      </c>
      <c r="H171" s="371"/>
      <c r="I171" s="371"/>
      <c r="J171" s="368"/>
      <c r="K171" s="369"/>
    </row>
    <row r="172" spans="1:11" s="370" customFormat="1">
      <c r="A172" s="58"/>
      <c r="B172" s="59"/>
      <c r="C172" s="364" t="s">
        <v>580</v>
      </c>
      <c r="D172" s="375">
        <v>1</v>
      </c>
      <c r="E172" s="375" t="s">
        <v>564</v>
      </c>
      <c r="F172" s="65"/>
      <c r="G172" s="61"/>
      <c r="H172" s="371"/>
      <c r="I172" s="371"/>
      <c r="J172" s="368"/>
      <c r="K172" s="369"/>
    </row>
    <row r="173" spans="1:11" s="370" customFormat="1">
      <c r="A173" s="58"/>
      <c r="B173" s="59"/>
      <c r="C173" s="364" t="s">
        <v>581</v>
      </c>
      <c r="D173" s="375">
        <v>7</v>
      </c>
      <c r="E173" s="375" t="s">
        <v>564</v>
      </c>
      <c r="F173" s="65"/>
      <c r="G173" s="61"/>
      <c r="H173" s="371"/>
      <c r="I173" s="371"/>
      <c r="J173" s="368"/>
      <c r="K173" s="369"/>
    </row>
    <row r="174" spans="1:11" s="370" customFormat="1">
      <c r="A174" s="58"/>
      <c r="B174" s="59"/>
      <c r="C174" s="60"/>
      <c r="D174" s="59"/>
      <c r="E174" s="67"/>
      <c r="F174" s="65"/>
      <c r="G174" s="61"/>
      <c r="H174" s="371"/>
      <c r="I174" s="371"/>
      <c r="J174" s="368"/>
      <c r="K174" s="369"/>
    </row>
    <row r="175" spans="1:11" s="370" customFormat="1" ht="20">
      <c r="A175" s="58" t="s">
        <v>518</v>
      </c>
      <c r="B175" s="59" t="s">
        <v>536</v>
      </c>
      <c r="C175" s="60" t="s">
        <v>537</v>
      </c>
      <c r="D175" s="59" t="s">
        <v>24</v>
      </c>
      <c r="E175" s="67" t="s">
        <v>444</v>
      </c>
      <c r="F175" s="65" t="s">
        <v>49</v>
      </c>
      <c r="G175" s="61">
        <f>D176+D177</f>
        <v>22.45</v>
      </c>
      <c r="H175" s="371"/>
      <c r="I175" s="371"/>
      <c r="J175" s="368"/>
      <c r="K175" s="369"/>
    </row>
    <row r="176" spans="1:11" s="370" customFormat="1">
      <c r="A176" s="58"/>
      <c r="B176" s="59"/>
      <c r="C176" s="364" t="s">
        <v>582</v>
      </c>
      <c r="D176" s="375">
        <v>1</v>
      </c>
      <c r="E176" s="375" t="s">
        <v>320</v>
      </c>
      <c r="F176" s="65"/>
      <c r="G176" s="61"/>
      <c r="H176" s="371"/>
      <c r="I176" s="371"/>
      <c r="J176" s="368"/>
      <c r="K176" s="369"/>
    </row>
    <row r="177" spans="1:11" s="370" customFormat="1">
      <c r="A177" s="58"/>
      <c r="B177" s="59"/>
      <c r="C177" s="364" t="s">
        <v>583</v>
      </c>
      <c r="D177" s="375">
        <v>21.45</v>
      </c>
      <c r="E177" s="375" t="s">
        <v>320</v>
      </c>
      <c r="F177" s="65"/>
      <c r="G177" s="61"/>
      <c r="H177" s="371"/>
      <c r="I177" s="371"/>
      <c r="J177" s="368"/>
      <c r="K177" s="369"/>
    </row>
    <row r="178" spans="1:11" s="370" customFormat="1">
      <c r="A178" s="58"/>
      <c r="B178" s="59"/>
      <c r="C178" s="60"/>
      <c r="D178" s="59"/>
      <c r="E178" s="67"/>
      <c r="F178" s="65"/>
      <c r="G178" s="61"/>
      <c r="H178" s="371"/>
      <c r="I178" s="371"/>
      <c r="J178" s="368"/>
      <c r="K178" s="369"/>
    </row>
    <row r="179" spans="1:11" s="370" customFormat="1" ht="22.5" customHeight="1">
      <c r="A179" s="58" t="s">
        <v>519</v>
      </c>
      <c r="B179" s="59" t="s">
        <v>536</v>
      </c>
      <c r="C179" s="60" t="s">
        <v>589</v>
      </c>
      <c r="D179" s="59" t="s">
        <v>24</v>
      </c>
      <c r="E179" s="67" t="s">
        <v>444</v>
      </c>
      <c r="F179" s="65" t="s">
        <v>49</v>
      </c>
      <c r="G179" s="61">
        <f>D180+D181</f>
        <v>22.45</v>
      </c>
      <c r="H179" s="371"/>
      <c r="I179" s="371"/>
      <c r="J179" s="368"/>
      <c r="K179" s="369"/>
    </row>
    <row r="180" spans="1:11" s="370" customFormat="1" ht="15" customHeight="1">
      <c r="A180" s="58"/>
      <c r="B180" s="59"/>
      <c r="C180" s="364" t="s">
        <v>582</v>
      </c>
      <c r="D180" s="375">
        <v>1</v>
      </c>
      <c r="E180" s="375" t="s">
        <v>320</v>
      </c>
      <c r="F180" s="65"/>
      <c r="G180" s="61"/>
      <c r="H180" s="371"/>
      <c r="I180" s="371"/>
      <c r="J180" s="368"/>
      <c r="K180" s="369"/>
    </row>
    <row r="181" spans="1:11" s="370" customFormat="1" ht="15" customHeight="1">
      <c r="A181" s="58"/>
      <c r="B181" s="59"/>
      <c r="C181" s="364" t="s">
        <v>583</v>
      </c>
      <c r="D181" s="375">
        <v>21.45</v>
      </c>
      <c r="E181" s="375" t="s">
        <v>320</v>
      </c>
      <c r="F181" s="65"/>
      <c r="G181" s="61"/>
      <c r="H181" s="371"/>
      <c r="I181" s="371"/>
      <c r="J181" s="368"/>
      <c r="K181" s="369"/>
    </row>
    <row r="182" spans="1:11" s="370" customFormat="1" ht="15" customHeight="1">
      <c r="A182" s="58"/>
      <c r="B182" s="59"/>
      <c r="C182" s="60"/>
      <c r="D182" s="59"/>
      <c r="E182" s="67"/>
      <c r="F182" s="65"/>
      <c r="G182" s="61"/>
      <c r="H182" s="371"/>
      <c r="I182" s="371"/>
      <c r="J182" s="368"/>
      <c r="K182" s="369"/>
    </row>
    <row r="183" spans="1:11" s="363" customFormat="1" ht="20">
      <c r="A183" s="58" t="s">
        <v>520</v>
      </c>
      <c r="B183" s="59" t="s">
        <v>536</v>
      </c>
      <c r="C183" s="60" t="s">
        <v>538</v>
      </c>
      <c r="D183" s="59" t="s">
        <v>24</v>
      </c>
      <c r="E183" s="67" t="s">
        <v>444</v>
      </c>
      <c r="F183" s="65" t="s">
        <v>49</v>
      </c>
      <c r="G183" s="61">
        <f>D184+D185</f>
        <v>22.45</v>
      </c>
      <c r="H183" s="62"/>
      <c r="I183" s="62"/>
      <c r="J183" s="366"/>
      <c r="K183" s="362"/>
    </row>
    <row r="184" spans="1:11" s="363" customFormat="1">
      <c r="A184" s="58"/>
      <c r="B184" s="59"/>
      <c r="C184" s="364" t="s">
        <v>582</v>
      </c>
      <c r="D184" s="375">
        <v>1</v>
      </c>
      <c r="E184" s="375" t="s">
        <v>320</v>
      </c>
      <c r="F184" s="65"/>
      <c r="G184" s="61"/>
      <c r="H184" s="62"/>
      <c r="I184" s="62"/>
      <c r="J184" s="366"/>
      <c r="K184" s="362"/>
    </row>
    <row r="185" spans="1:11" s="363" customFormat="1">
      <c r="A185" s="58"/>
      <c r="B185" s="59"/>
      <c r="C185" s="364" t="s">
        <v>583</v>
      </c>
      <c r="D185" s="375">
        <v>21.45</v>
      </c>
      <c r="E185" s="375" t="s">
        <v>320</v>
      </c>
      <c r="F185" s="65"/>
      <c r="G185" s="61"/>
      <c r="H185" s="62"/>
      <c r="I185" s="62"/>
      <c r="J185" s="366"/>
      <c r="K185" s="362"/>
    </row>
    <row r="186" spans="1:11" s="363" customFormat="1">
      <c r="A186" s="58"/>
      <c r="B186" s="59"/>
      <c r="C186" s="60"/>
      <c r="D186" s="59"/>
      <c r="E186" s="67"/>
      <c r="F186" s="65"/>
      <c r="G186" s="61"/>
      <c r="H186" s="62"/>
      <c r="I186" s="62"/>
      <c r="J186" s="366"/>
      <c r="K186" s="362"/>
    </row>
    <row r="187" spans="1:11" s="370" customFormat="1" ht="20">
      <c r="A187" s="58" t="s">
        <v>521</v>
      </c>
      <c r="B187" s="59" t="s">
        <v>536</v>
      </c>
      <c r="C187" s="60" t="s">
        <v>539</v>
      </c>
      <c r="D187" s="59" t="s">
        <v>24</v>
      </c>
      <c r="E187" s="67" t="s">
        <v>444</v>
      </c>
      <c r="F187" s="65" t="s">
        <v>49</v>
      </c>
      <c r="G187" s="61">
        <f>D188+D189</f>
        <v>28.4</v>
      </c>
      <c r="H187" s="371"/>
      <c r="I187" s="371"/>
      <c r="J187" s="368"/>
      <c r="K187" s="369"/>
    </row>
    <row r="188" spans="1:11" s="370" customFormat="1">
      <c r="A188" s="58"/>
      <c r="B188" s="59"/>
      <c r="C188" s="364" t="s">
        <v>582</v>
      </c>
      <c r="D188" s="375">
        <v>1</v>
      </c>
      <c r="E188" s="375" t="s">
        <v>320</v>
      </c>
      <c r="F188" s="65"/>
      <c r="G188" s="61"/>
      <c r="H188" s="371"/>
      <c r="I188" s="371"/>
      <c r="J188" s="368"/>
      <c r="K188" s="369"/>
    </row>
    <row r="189" spans="1:11" s="370" customFormat="1">
      <c r="A189" s="58"/>
      <c r="B189" s="59"/>
      <c r="C189" s="364" t="s">
        <v>583</v>
      </c>
      <c r="D189" s="375">
        <v>27.4</v>
      </c>
      <c r="E189" s="375" t="s">
        <v>320</v>
      </c>
      <c r="F189" s="65"/>
      <c r="G189" s="61"/>
      <c r="H189" s="371"/>
      <c r="I189" s="371"/>
      <c r="J189" s="368"/>
      <c r="K189" s="369"/>
    </row>
    <row r="190" spans="1:11" s="370" customFormat="1">
      <c r="A190" s="58"/>
      <c r="B190" s="59"/>
      <c r="C190" s="60"/>
      <c r="D190" s="59"/>
      <c r="E190" s="67"/>
      <c r="F190" s="65"/>
      <c r="G190" s="61"/>
      <c r="H190" s="371"/>
      <c r="I190" s="371"/>
      <c r="J190" s="368"/>
      <c r="K190" s="369"/>
    </row>
    <row r="191" spans="1:11" s="370" customFormat="1" ht="30">
      <c r="A191" s="58" t="s">
        <v>522</v>
      </c>
      <c r="B191" s="59" t="s">
        <v>540</v>
      </c>
      <c r="C191" s="60" t="s">
        <v>541</v>
      </c>
      <c r="D191" s="59" t="s">
        <v>24</v>
      </c>
      <c r="E191" s="67" t="s">
        <v>444</v>
      </c>
      <c r="F191" s="65" t="s">
        <v>12</v>
      </c>
      <c r="G191" s="61">
        <f>SUM(D192:D193)</f>
        <v>8</v>
      </c>
      <c r="H191" s="371"/>
      <c r="I191" s="371"/>
      <c r="J191" s="368"/>
      <c r="K191" s="369"/>
    </row>
    <row r="192" spans="1:11" s="370" customFormat="1">
      <c r="A192" s="58"/>
      <c r="B192" s="59"/>
      <c r="C192" s="364" t="s">
        <v>582</v>
      </c>
      <c r="D192" s="375">
        <v>2</v>
      </c>
      <c r="E192" s="67"/>
      <c r="F192" s="65"/>
      <c r="G192" s="61"/>
      <c r="H192" s="371"/>
      <c r="I192" s="371"/>
      <c r="J192" s="368"/>
      <c r="K192" s="369"/>
    </row>
    <row r="193" spans="1:11" s="370" customFormat="1">
      <c r="A193" s="58"/>
      <c r="B193" s="59"/>
      <c r="C193" s="364" t="s">
        <v>584</v>
      </c>
      <c r="D193" s="375">
        <v>6</v>
      </c>
      <c r="E193" s="67"/>
      <c r="F193" s="65"/>
      <c r="G193" s="61"/>
      <c r="H193" s="371"/>
      <c r="I193" s="371"/>
      <c r="J193" s="368"/>
      <c r="K193" s="369"/>
    </row>
    <row r="194" spans="1:11" s="370" customFormat="1">
      <c r="A194" s="58"/>
      <c r="B194" s="59"/>
      <c r="C194" s="60"/>
      <c r="D194" s="59"/>
      <c r="E194" s="67"/>
      <c r="F194" s="65"/>
      <c r="G194" s="61"/>
      <c r="H194" s="371"/>
      <c r="I194" s="371"/>
      <c r="J194" s="368"/>
      <c r="K194" s="369"/>
    </row>
    <row r="195" spans="1:11" s="370" customFormat="1" ht="30">
      <c r="A195" s="58" t="s">
        <v>523</v>
      </c>
      <c r="B195" s="59" t="s">
        <v>540</v>
      </c>
      <c r="C195" s="60" t="s">
        <v>542</v>
      </c>
      <c r="D195" s="59" t="s">
        <v>24</v>
      </c>
      <c r="E195" s="67" t="s">
        <v>444</v>
      </c>
      <c r="F195" s="65" t="s">
        <v>12</v>
      </c>
      <c r="G195" s="61">
        <f>SUM(D196:D197)</f>
        <v>8</v>
      </c>
      <c r="H195" s="371"/>
      <c r="I195" s="371"/>
      <c r="J195" s="368"/>
      <c r="K195" s="369"/>
    </row>
    <row r="196" spans="1:11" s="370" customFormat="1">
      <c r="A196" s="58"/>
      <c r="B196" s="59"/>
      <c r="C196" s="364" t="s">
        <v>582</v>
      </c>
      <c r="D196" s="375">
        <v>2</v>
      </c>
      <c r="E196" s="67"/>
      <c r="F196" s="65"/>
      <c r="G196" s="61"/>
      <c r="H196" s="371"/>
      <c r="I196" s="371"/>
      <c r="J196" s="368"/>
      <c r="K196" s="369"/>
    </row>
    <row r="197" spans="1:11" s="370" customFormat="1">
      <c r="A197" s="58"/>
      <c r="B197" s="59"/>
      <c r="C197" s="364" t="s">
        <v>584</v>
      </c>
      <c r="D197" s="375">
        <v>6</v>
      </c>
      <c r="E197" s="67"/>
      <c r="F197" s="65"/>
      <c r="G197" s="61"/>
      <c r="H197" s="371"/>
      <c r="I197" s="371"/>
      <c r="J197" s="368"/>
      <c r="K197" s="369"/>
    </row>
    <row r="198" spans="1:11" s="370" customFormat="1">
      <c r="A198" s="58"/>
      <c r="B198" s="59"/>
      <c r="C198" s="60"/>
      <c r="D198" s="59"/>
      <c r="E198" s="67"/>
      <c r="F198" s="65"/>
      <c r="G198" s="61"/>
      <c r="H198" s="371"/>
      <c r="I198" s="371"/>
      <c r="J198" s="368"/>
      <c r="K198" s="369"/>
    </row>
    <row r="199" spans="1:11" s="363" customFormat="1" ht="30">
      <c r="A199" s="58" t="s">
        <v>524</v>
      </c>
      <c r="B199" s="59" t="s">
        <v>540</v>
      </c>
      <c r="C199" s="60" t="s">
        <v>543</v>
      </c>
      <c r="D199" s="59" t="s">
        <v>24</v>
      </c>
      <c r="E199" s="67" t="s">
        <v>444</v>
      </c>
      <c r="F199" s="65" t="s">
        <v>12</v>
      </c>
      <c r="G199" s="61">
        <f>SUM(D200:D201)</f>
        <v>8</v>
      </c>
      <c r="H199" s="62"/>
      <c r="I199" s="62"/>
      <c r="J199" s="366"/>
      <c r="K199" s="362"/>
    </row>
    <row r="200" spans="1:11" s="363" customFormat="1">
      <c r="A200" s="58"/>
      <c r="B200" s="59"/>
      <c r="C200" s="364" t="s">
        <v>582</v>
      </c>
      <c r="D200" s="375">
        <v>2</v>
      </c>
      <c r="E200" s="67"/>
      <c r="F200" s="65"/>
      <c r="G200" s="61"/>
      <c r="H200" s="62"/>
      <c r="I200" s="62"/>
      <c r="J200" s="366"/>
      <c r="K200" s="362"/>
    </row>
    <row r="201" spans="1:11" s="363" customFormat="1">
      <c r="A201" s="58"/>
      <c r="B201" s="59"/>
      <c r="C201" s="364" t="s">
        <v>584</v>
      </c>
      <c r="D201" s="375">
        <v>6</v>
      </c>
      <c r="E201" s="67"/>
      <c r="F201" s="65"/>
      <c r="G201" s="61"/>
      <c r="H201" s="62"/>
      <c r="I201" s="62"/>
      <c r="J201" s="366"/>
      <c r="K201" s="362"/>
    </row>
    <row r="202" spans="1:11" s="363" customFormat="1">
      <c r="A202" s="58"/>
      <c r="B202" s="59"/>
      <c r="C202" s="60"/>
      <c r="D202" s="59"/>
      <c r="E202" s="67"/>
      <c r="F202" s="65"/>
      <c r="G202" s="61"/>
      <c r="H202" s="62"/>
      <c r="I202" s="62"/>
      <c r="J202" s="366"/>
      <c r="K202" s="362"/>
    </row>
    <row r="203" spans="1:11" s="363" customFormat="1" ht="30">
      <c r="A203" s="58" t="s">
        <v>525</v>
      </c>
      <c r="B203" s="59" t="s">
        <v>540</v>
      </c>
      <c r="C203" s="60" t="s">
        <v>544</v>
      </c>
      <c r="D203" s="59" t="s">
        <v>24</v>
      </c>
      <c r="E203" s="67" t="s">
        <v>444</v>
      </c>
      <c r="F203" s="65" t="s">
        <v>12</v>
      </c>
      <c r="G203" s="61">
        <f>SUM(D204:D205)</f>
        <v>9</v>
      </c>
      <c r="H203" s="62"/>
      <c r="I203" s="62"/>
      <c r="J203" s="366"/>
      <c r="K203" s="362"/>
    </row>
    <row r="204" spans="1:11" s="363" customFormat="1">
      <c r="A204" s="58"/>
      <c r="B204" s="59"/>
      <c r="C204" s="364" t="s">
        <v>582</v>
      </c>
      <c r="D204" s="375">
        <v>2</v>
      </c>
      <c r="E204" s="67"/>
      <c r="F204" s="65"/>
      <c r="G204" s="61"/>
      <c r="H204" s="62"/>
      <c r="I204" s="62"/>
      <c r="J204" s="366"/>
      <c r="K204" s="362"/>
    </row>
    <row r="205" spans="1:11" s="363" customFormat="1">
      <c r="A205" s="58"/>
      <c r="B205" s="59"/>
      <c r="C205" s="364" t="s">
        <v>584</v>
      </c>
      <c r="D205" s="375">
        <v>7</v>
      </c>
      <c r="E205" s="67"/>
      <c r="F205" s="65"/>
      <c r="G205" s="61"/>
      <c r="H205" s="62"/>
      <c r="I205" s="62"/>
      <c r="J205" s="366"/>
      <c r="K205" s="362"/>
    </row>
    <row r="206" spans="1:11" s="363" customFormat="1">
      <c r="A206" s="58"/>
      <c r="B206" s="59"/>
      <c r="C206" s="60"/>
      <c r="D206" s="59"/>
      <c r="E206" s="67"/>
      <c r="F206" s="65"/>
      <c r="G206" s="61"/>
      <c r="H206" s="62"/>
      <c r="I206" s="62"/>
      <c r="J206" s="366"/>
      <c r="K206" s="362"/>
    </row>
    <row r="207" spans="1:11" s="363" customFormat="1" ht="30">
      <c r="A207" s="58" t="s">
        <v>526</v>
      </c>
      <c r="B207" s="59" t="s">
        <v>545</v>
      </c>
      <c r="C207" s="60" t="s">
        <v>546</v>
      </c>
      <c r="D207" s="59" t="s">
        <v>24</v>
      </c>
      <c r="E207" s="67" t="s">
        <v>444</v>
      </c>
      <c r="F207" s="65" t="s">
        <v>49</v>
      </c>
      <c r="G207" s="61">
        <f>(D208+D209)*D210</f>
        <v>68.25</v>
      </c>
      <c r="H207" s="62"/>
      <c r="I207" s="62"/>
      <c r="J207" s="366"/>
      <c r="K207" s="362"/>
    </row>
    <row r="208" spans="1:11" s="363" customFormat="1">
      <c r="A208" s="58"/>
      <c r="B208" s="59"/>
      <c r="C208" s="364" t="s">
        <v>585</v>
      </c>
      <c r="D208" s="375">
        <f>G175</f>
        <v>22.45</v>
      </c>
      <c r="E208" s="375"/>
      <c r="F208" s="65"/>
      <c r="G208" s="61"/>
      <c r="H208" s="62"/>
      <c r="I208" s="62"/>
      <c r="J208" s="366"/>
      <c r="K208" s="362"/>
    </row>
    <row r="209" spans="1:11" s="363" customFormat="1">
      <c r="A209" s="58"/>
      <c r="B209" s="59"/>
      <c r="C209" s="364" t="s">
        <v>586</v>
      </c>
      <c r="D209" s="375">
        <v>0.3</v>
      </c>
      <c r="E209" s="375"/>
      <c r="F209" s="65"/>
      <c r="G209" s="61"/>
      <c r="H209" s="62"/>
      <c r="I209" s="62"/>
      <c r="J209" s="366"/>
      <c r="K209" s="362"/>
    </row>
    <row r="210" spans="1:11" s="363" customFormat="1">
      <c r="A210" s="58"/>
      <c r="B210" s="59"/>
      <c r="C210" s="364" t="s">
        <v>587</v>
      </c>
      <c r="D210" s="375">
        <v>3</v>
      </c>
      <c r="E210" s="375"/>
      <c r="F210" s="65"/>
      <c r="G210" s="61"/>
      <c r="H210" s="62"/>
      <c r="I210" s="62"/>
      <c r="J210" s="366"/>
      <c r="K210" s="362"/>
    </row>
    <row r="211" spans="1:11" s="363" customFormat="1">
      <c r="A211" s="58"/>
      <c r="B211" s="59"/>
      <c r="C211" s="60"/>
      <c r="D211" s="59"/>
      <c r="E211" s="67"/>
      <c r="F211" s="65"/>
      <c r="G211" s="61"/>
      <c r="H211" s="62"/>
      <c r="I211" s="62"/>
      <c r="J211" s="366"/>
      <c r="K211" s="362"/>
    </row>
    <row r="212" spans="1:11" s="363" customFormat="1" ht="30">
      <c r="A212" s="58" t="s">
        <v>527</v>
      </c>
      <c r="B212" s="59" t="s">
        <v>545</v>
      </c>
      <c r="C212" s="60" t="s">
        <v>547</v>
      </c>
      <c r="D212" s="59" t="s">
        <v>24</v>
      </c>
      <c r="E212" s="67" t="s">
        <v>444</v>
      </c>
      <c r="F212" s="65" t="s">
        <v>49</v>
      </c>
      <c r="G212" s="61">
        <f>(D213+D214)*D215</f>
        <v>68.25</v>
      </c>
      <c r="H212" s="62"/>
      <c r="I212" s="62"/>
      <c r="J212" s="366"/>
      <c r="K212" s="362"/>
    </row>
    <row r="213" spans="1:11" s="363" customFormat="1">
      <c r="A213" s="58"/>
      <c r="B213" s="59"/>
      <c r="C213" s="364" t="s">
        <v>585</v>
      </c>
      <c r="D213" s="375">
        <f>G179</f>
        <v>22.45</v>
      </c>
      <c r="E213" s="67"/>
      <c r="F213" s="65"/>
      <c r="G213" s="61"/>
      <c r="H213" s="62"/>
      <c r="I213" s="62"/>
      <c r="J213" s="366"/>
      <c r="K213" s="362"/>
    </row>
    <row r="214" spans="1:11" s="363" customFormat="1">
      <c r="A214" s="58"/>
      <c r="B214" s="59"/>
      <c r="C214" s="364" t="s">
        <v>586</v>
      </c>
      <c r="D214" s="375">
        <v>0.3</v>
      </c>
      <c r="E214" s="67"/>
      <c r="F214" s="65"/>
      <c r="G214" s="61"/>
      <c r="H214" s="62"/>
      <c r="I214" s="62"/>
      <c r="J214" s="366"/>
      <c r="K214" s="362"/>
    </row>
    <row r="215" spans="1:11" s="363" customFormat="1">
      <c r="A215" s="58"/>
      <c r="B215" s="59"/>
      <c r="C215" s="364" t="s">
        <v>587</v>
      </c>
      <c r="D215" s="375">
        <v>3</v>
      </c>
      <c r="E215" s="67"/>
      <c r="F215" s="65"/>
      <c r="G215" s="61"/>
      <c r="H215" s="62"/>
      <c r="I215" s="62"/>
      <c r="J215" s="366"/>
      <c r="K215" s="362"/>
    </row>
    <row r="216" spans="1:11" s="363" customFormat="1">
      <c r="A216" s="58"/>
      <c r="B216" s="59"/>
      <c r="C216" s="60"/>
      <c r="D216" s="59"/>
      <c r="E216" s="67"/>
      <c r="F216" s="65"/>
      <c r="G216" s="61"/>
      <c r="H216" s="62"/>
      <c r="I216" s="62"/>
      <c r="J216" s="366"/>
      <c r="K216" s="362"/>
    </row>
    <row r="217" spans="1:11" s="363" customFormat="1" ht="30">
      <c r="A217" s="58" t="s">
        <v>528</v>
      </c>
      <c r="B217" s="59" t="s">
        <v>545</v>
      </c>
      <c r="C217" s="60" t="s">
        <v>548</v>
      </c>
      <c r="D217" s="59" t="s">
        <v>24</v>
      </c>
      <c r="E217" s="67" t="s">
        <v>444</v>
      </c>
      <c r="F217" s="65" t="s">
        <v>49</v>
      </c>
      <c r="G217" s="61">
        <f>(D218+D219)*D220</f>
        <v>68.25</v>
      </c>
      <c r="H217" s="62"/>
      <c r="I217" s="62"/>
      <c r="J217" s="366"/>
      <c r="K217" s="362"/>
    </row>
    <row r="218" spans="1:11" s="363" customFormat="1">
      <c r="A218" s="58"/>
      <c r="B218" s="59"/>
      <c r="C218" s="364" t="s">
        <v>585</v>
      </c>
      <c r="D218" s="375">
        <f>G183</f>
        <v>22.45</v>
      </c>
      <c r="E218" s="67"/>
      <c r="F218" s="65"/>
      <c r="G218" s="61"/>
      <c r="H218" s="62"/>
      <c r="I218" s="62"/>
      <c r="J218" s="366"/>
      <c r="K218" s="362"/>
    </row>
    <row r="219" spans="1:11" s="363" customFormat="1">
      <c r="A219" s="58"/>
      <c r="B219" s="59"/>
      <c r="C219" s="364" t="s">
        <v>586</v>
      </c>
      <c r="D219" s="375">
        <v>0.3</v>
      </c>
      <c r="E219" s="67"/>
      <c r="F219" s="65"/>
      <c r="G219" s="61"/>
      <c r="H219" s="62"/>
      <c r="I219" s="62"/>
      <c r="J219" s="366"/>
      <c r="K219" s="362"/>
    </row>
    <row r="220" spans="1:11" s="363" customFormat="1">
      <c r="A220" s="58"/>
      <c r="B220" s="59"/>
      <c r="C220" s="364" t="s">
        <v>587</v>
      </c>
      <c r="D220" s="375">
        <v>3</v>
      </c>
      <c r="E220" s="67"/>
      <c r="F220" s="65"/>
      <c r="G220" s="61"/>
      <c r="H220" s="62"/>
      <c r="I220" s="62"/>
      <c r="J220" s="366"/>
      <c r="K220" s="362"/>
    </row>
    <row r="221" spans="1:11" s="363" customFormat="1">
      <c r="A221" s="58"/>
      <c r="B221" s="59"/>
      <c r="C221" s="60"/>
      <c r="D221" s="59"/>
      <c r="E221" s="67"/>
      <c r="F221" s="65"/>
      <c r="G221" s="61"/>
      <c r="H221" s="62"/>
      <c r="I221" s="62"/>
      <c r="J221" s="366"/>
      <c r="K221" s="362"/>
    </row>
    <row r="222" spans="1:11" s="363" customFormat="1" ht="30">
      <c r="A222" s="58" t="s">
        <v>588</v>
      </c>
      <c r="B222" s="59" t="s">
        <v>545</v>
      </c>
      <c r="C222" s="60" t="s">
        <v>549</v>
      </c>
      <c r="D222" s="59" t="s">
        <v>24</v>
      </c>
      <c r="E222" s="67" t="s">
        <v>444</v>
      </c>
      <c r="F222" s="65" t="s">
        <v>49</v>
      </c>
      <c r="G222" s="61">
        <f>(D223+D224)*D225</f>
        <v>86.1</v>
      </c>
      <c r="H222" s="62"/>
      <c r="I222" s="62"/>
      <c r="J222" s="366"/>
      <c r="K222" s="362"/>
    </row>
    <row r="223" spans="1:11" s="363" customFormat="1">
      <c r="A223" s="392"/>
      <c r="B223" s="393"/>
      <c r="C223" s="364" t="s">
        <v>585</v>
      </c>
      <c r="D223" s="375">
        <f>G187</f>
        <v>28.4</v>
      </c>
      <c r="E223" s="67"/>
      <c r="F223" s="65"/>
      <c r="G223" s="392"/>
      <c r="H223" s="62"/>
      <c r="I223" s="62"/>
      <c r="J223" s="361"/>
      <c r="K223" s="362"/>
    </row>
    <row r="224" spans="1:11" s="363" customFormat="1">
      <c r="A224" s="372"/>
      <c r="B224" s="373"/>
      <c r="C224" s="364" t="s">
        <v>586</v>
      </c>
      <c r="D224" s="375">
        <v>0.3</v>
      </c>
      <c r="E224" s="373"/>
      <c r="F224" s="373"/>
      <c r="G224" s="62"/>
      <c r="H224" s="62"/>
      <c r="I224" s="62"/>
      <c r="J224" s="366"/>
      <c r="K224" s="362"/>
    </row>
    <row r="225" spans="1:11" s="363" customFormat="1">
      <c r="A225" s="394"/>
      <c r="B225" s="395"/>
      <c r="C225" s="364" t="s">
        <v>587</v>
      </c>
      <c r="D225" s="375">
        <v>3</v>
      </c>
      <c r="E225" s="395"/>
      <c r="F225" s="395"/>
      <c r="G225" s="396"/>
      <c r="H225" s="396"/>
      <c r="I225" s="396"/>
      <c r="J225" s="397"/>
      <c r="K225" s="362"/>
    </row>
    <row r="226" spans="1:11" s="363" customFormat="1" ht="15" customHeight="1">
      <c r="A226" s="398"/>
      <c r="B226" s="398"/>
      <c r="C226" s="398"/>
      <c r="D226" s="399"/>
      <c r="E226" s="398"/>
      <c r="F226" s="400"/>
      <c r="G226" s="8"/>
      <c r="H226" s="8"/>
      <c r="I226" s="8"/>
      <c r="J226" s="9"/>
      <c r="K226" s="401"/>
    </row>
    <row r="227" spans="1:11" ht="15" customHeight="1">
      <c r="A227" s="330"/>
      <c r="B227" s="330"/>
      <c r="C227" s="330"/>
      <c r="D227" s="402"/>
      <c r="E227" s="330"/>
      <c r="F227" s="403"/>
      <c r="G227" s="2"/>
      <c r="H227" s="2"/>
      <c r="I227" s="2"/>
      <c r="J227" s="6"/>
    </row>
    <row r="228" spans="1:11" ht="15" customHeight="1">
      <c r="A228" s="330"/>
      <c r="B228" s="330"/>
      <c r="C228" s="330"/>
      <c r="D228" s="402"/>
      <c r="E228" s="330"/>
      <c r="F228" s="403"/>
      <c r="G228" s="2"/>
      <c r="H228" s="2"/>
      <c r="I228" s="2"/>
      <c r="J228" s="6"/>
    </row>
  </sheetData>
  <phoneticPr fontId="11" type="noConversion"/>
  <conditionalFormatting sqref="H2:H4 J5:J9 H10:H36 H91:H154 H163:H1048576 H38:H86">
    <cfRule type="cellIs" dxfId="18" priority="2" operator="equal">
      <formula>0</formula>
    </cfRule>
  </conditionalFormatting>
  <conditionalFormatting sqref="I3:I10 I149:I1048576 I12:I139">
    <cfRule type="cellIs" dxfId="17" priority="3" operator="equal">
      <formula>0</formula>
    </cfRule>
  </conditionalFormatting>
  <conditionalFormatting sqref="I11">
    <cfRule type="cellIs" dxfId="16" priority="1" operator="equal">
      <formula>0</formula>
    </cfRule>
  </conditionalFormatting>
  <printOptions horizontalCentered="1"/>
  <pageMargins left="0.51181102362204722" right="0.51181102362204722" top="0.51181102362204722" bottom="0.70866141732283472" header="0" footer="0.19685039370078741"/>
  <pageSetup paperSize="9" scale="90" orientation="landscape" r:id="rId1"/>
  <headerFooter>
    <oddFooter>&amp;L&amp;9&amp;A&amp;R&amp;9Página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outlinePr summaryBelow="0"/>
  </sheetPr>
  <dimension ref="A1:V125"/>
  <sheetViews>
    <sheetView view="pageBreakPreview" topLeftCell="A52" zoomScale="55" zoomScaleNormal="55" zoomScaleSheetLayoutView="55" workbookViewId="0">
      <selection activeCell="C72" sqref="C72:C73"/>
    </sheetView>
  </sheetViews>
  <sheetFormatPr defaultRowHeight="14"/>
  <cols>
    <col min="1" max="1" width="8.25" style="404" customWidth="1"/>
    <col min="2" max="2" width="32.58203125" style="404" customWidth="1"/>
    <col min="3" max="3" width="14.1640625" style="404" customWidth="1"/>
    <col min="4" max="19" width="11.75" style="404" customWidth="1"/>
    <col min="20" max="20" width="14.4140625" style="404" customWidth="1"/>
    <col min="21" max="21" width="10.08203125" style="404" bestFit="1" customWidth="1"/>
    <col min="22" max="22" width="14.33203125" style="404" customWidth="1"/>
    <col min="23" max="16384" width="8.6640625" style="404"/>
  </cols>
  <sheetData>
    <row r="1" spans="1:22" ht="50.15" customHeight="1"/>
    <row r="2" spans="1:22" ht="25" customHeight="1">
      <c r="A2" s="14" t="s">
        <v>447</v>
      </c>
      <c r="B2" s="14"/>
      <c r="C2" s="14"/>
      <c r="D2" s="14"/>
      <c r="E2" s="14"/>
      <c r="F2" s="324"/>
      <c r="G2" s="324"/>
      <c r="H2" s="324"/>
      <c r="I2" s="324"/>
      <c r="J2" s="324"/>
      <c r="K2" s="324"/>
      <c r="L2" s="324"/>
      <c r="M2" s="324"/>
      <c r="N2" s="324"/>
      <c r="O2" s="324"/>
      <c r="P2" s="324"/>
      <c r="Q2" s="324"/>
      <c r="R2" s="324"/>
      <c r="S2" s="324"/>
      <c r="T2" s="405"/>
    </row>
    <row r="3" spans="1:22" ht="5.15" customHeight="1">
      <c r="A3" s="17"/>
      <c r="B3" s="17"/>
      <c r="C3" s="17"/>
      <c r="D3" s="17"/>
      <c r="E3" s="17"/>
      <c r="F3" s="320"/>
      <c r="G3" s="320"/>
      <c r="H3" s="320"/>
      <c r="I3" s="320"/>
      <c r="J3" s="320"/>
      <c r="K3" s="320"/>
      <c r="L3" s="320"/>
      <c r="M3" s="320"/>
      <c r="N3" s="320"/>
      <c r="O3" s="320"/>
      <c r="P3" s="320"/>
      <c r="Q3" s="320"/>
      <c r="R3" s="320"/>
      <c r="S3" s="320"/>
    </row>
    <row r="4" spans="1:22">
      <c r="A4" s="18" t="s">
        <v>321</v>
      </c>
      <c r="B4" s="19" t="str">
        <f>RESUMO!B4</f>
        <v>SUBSTITUIÇÃO DE ELEVADORES NA SEDE DA JUSTIÇA FEDERAL NA PARAÍBA - R2</v>
      </c>
      <c r="C4" s="19"/>
      <c r="D4" s="19"/>
      <c r="E4" s="19"/>
      <c r="F4" s="19"/>
      <c r="G4" s="406"/>
      <c r="H4" s="407"/>
      <c r="I4" s="408"/>
      <c r="J4" s="408"/>
      <c r="K4" s="408"/>
      <c r="L4" s="408"/>
      <c r="M4" s="408"/>
      <c r="N4" s="408"/>
      <c r="O4" s="408"/>
      <c r="P4" s="408"/>
      <c r="Q4" s="408"/>
      <c r="R4" s="408"/>
      <c r="S4" s="408"/>
      <c r="T4" s="409"/>
    </row>
    <row r="5" spans="1:22">
      <c r="A5" s="21" t="s">
        <v>325</v>
      </c>
      <c r="B5" s="22" t="str">
        <f>RESUMO!B5</f>
        <v>R2 - 15/04/2025</v>
      </c>
      <c r="C5" s="22"/>
      <c r="D5" s="409"/>
      <c r="E5" s="21" t="s">
        <v>334</v>
      </c>
      <c r="F5" s="327"/>
      <c r="G5" s="21" t="s">
        <v>329</v>
      </c>
      <c r="H5" s="25">
        <f>RESUMO!$F$5</f>
        <v>45762</v>
      </c>
      <c r="I5" s="410"/>
      <c r="J5" s="410"/>
      <c r="K5" s="410"/>
      <c r="L5" s="410"/>
      <c r="M5" s="410"/>
      <c r="N5" s="410"/>
      <c r="O5" s="410"/>
      <c r="P5" s="410"/>
      <c r="Q5" s="410"/>
      <c r="R5" s="410"/>
      <c r="S5" s="410"/>
      <c r="T5" s="412"/>
    </row>
    <row r="6" spans="1:22">
      <c r="A6" s="26" t="s">
        <v>322</v>
      </c>
      <c r="B6" s="27" t="str">
        <f>RESUMO!B6</f>
        <v>RUA JOÃO TEIXEIRA DE CARVALHO, 480, PEDRO GONDIM, JOÃO PESSOA/PB</v>
      </c>
      <c r="C6" s="27"/>
      <c r="D6" s="412"/>
      <c r="E6" s="29" t="str">
        <f>RESUMO!$C$6</f>
        <v>SINAPI</v>
      </c>
      <c r="F6" s="413" t="str">
        <f>RESUMO!$D$6</f>
        <v>2025/02</v>
      </c>
      <c r="G6" s="26" t="s">
        <v>443</v>
      </c>
      <c r="H6" s="30">
        <f>RESUMO!$F$6</f>
        <v>0.23530000000000001</v>
      </c>
      <c r="I6" s="413"/>
      <c r="J6" s="413"/>
      <c r="K6" s="413"/>
      <c r="L6" s="413"/>
      <c r="M6" s="413"/>
      <c r="N6" s="413"/>
      <c r="O6" s="413"/>
      <c r="P6" s="413"/>
      <c r="Q6" s="413"/>
      <c r="R6" s="413"/>
      <c r="S6" s="413"/>
      <c r="T6" s="412"/>
    </row>
    <row r="7" spans="1:22">
      <c r="A7" s="26" t="s">
        <v>323</v>
      </c>
      <c r="B7" s="27" t="str">
        <f>RESUMO!B7</f>
        <v>JUSTIÇA FEDERAL NA PARAÍBA</v>
      </c>
      <c r="C7" s="27"/>
      <c r="D7" s="412"/>
      <c r="E7" s="29" t="str">
        <f>RESUMO!$C$7</f>
        <v>SICRO</v>
      </c>
      <c r="F7" s="413" t="str">
        <f>RESUMO!$D$7</f>
        <v>2025/01</v>
      </c>
      <c r="G7" s="26" t="s">
        <v>330</v>
      </c>
      <c r="H7" s="30">
        <f>RESUMO!$F$7</f>
        <v>0.1527</v>
      </c>
      <c r="I7" s="413"/>
      <c r="J7" s="413"/>
      <c r="K7" s="413"/>
      <c r="L7" s="413"/>
      <c r="M7" s="413"/>
      <c r="N7" s="413"/>
      <c r="O7" s="413"/>
      <c r="P7" s="413"/>
      <c r="Q7" s="413"/>
      <c r="R7" s="413"/>
      <c r="S7" s="413"/>
      <c r="T7" s="412"/>
    </row>
    <row r="8" spans="1:22">
      <c r="A8" s="26" t="s">
        <v>328</v>
      </c>
      <c r="B8" s="27" t="str">
        <f>RESUMO!B8</f>
        <v>JOSÉ MENDONÇA FILHO SEGUNDO</v>
      </c>
      <c r="C8" s="27"/>
      <c r="D8" s="412"/>
      <c r="E8" s="29" t="str">
        <f>RESUMO!$C$8</f>
        <v>SBC</v>
      </c>
      <c r="F8" s="413" t="str">
        <f>RESUMO!$D$8</f>
        <v>2025/02</v>
      </c>
      <c r="G8" s="26" t="s">
        <v>331</v>
      </c>
      <c r="H8" s="30">
        <f>RESUMO!$F$8</f>
        <v>1.1359999999999999</v>
      </c>
      <c r="I8" s="413"/>
      <c r="J8" s="413"/>
      <c r="K8" s="413"/>
      <c r="L8" s="413"/>
      <c r="M8" s="413"/>
      <c r="N8" s="413"/>
      <c r="O8" s="413"/>
      <c r="P8" s="413"/>
      <c r="Q8" s="413"/>
      <c r="R8" s="413"/>
      <c r="S8" s="413"/>
      <c r="T8" s="412"/>
    </row>
    <row r="9" spans="1:22">
      <c r="A9" s="31" t="s">
        <v>324</v>
      </c>
      <c r="B9" s="32" t="str">
        <f>RESUMO!B9</f>
        <v>ENGENHEIRO MECÂNICO - CREA 060136183-0</v>
      </c>
      <c r="C9" s="32"/>
      <c r="D9" s="414"/>
      <c r="E9" s="31" t="s">
        <v>325</v>
      </c>
      <c r="F9" s="415" t="str">
        <f>RESUMO!$D$9</f>
        <v>R2</v>
      </c>
      <c r="G9" s="31" t="s">
        <v>332</v>
      </c>
      <c r="H9" s="34">
        <f>RESUMO!$F$9</f>
        <v>0.6984999999999999</v>
      </c>
      <c r="I9" s="415"/>
      <c r="J9" s="415"/>
      <c r="K9" s="415"/>
      <c r="L9" s="415"/>
      <c r="M9" s="415"/>
      <c r="N9" s="415"/>
      <c r="O9" s="415"/>
      <c r="P9" s="415"/>
      <c r="Q9" s="415"/>
      <c r="R9" s="415"/>
      <c r="S9" s="415"/>
      <c r="T9" s="414"/>
    </row>
    <row r="10" spans="1:22" ht="5.15" customHeight="1"/>
    <row r="11" spans="1:22" ht="25" customHeight="1">
      <c r="A11" s="417" t="s">
        <v>1</v>
      </c>
      <c r="B11" s="417" t="s">
        <v>3</v>
      </c>
      <c r="C11" s="417" t="s">
        <v>230</v>
      </c>
      <c r="D11" s="418" t="s">
        <v>231</v>
      </c>
      <c r="E11" s="418" t="s">
        <v>232</v>
      </c>
      <c r="F11" s="418" t="s">
        <v>233</v>
      </c>
      <c r="G11" s="418" t="s">
        <v>234</v>
      </c>
      <c r="H11" s="418" t="s">
        <v>735</v>
      </c>
      <c r="I11" s="418" t="s">
        <v>736</v>
      </c>
      <c r="J11" s="418" t="s">
        <v>737</v>
      </c>
      <c r="K11" s="418" t="s">
        <v>738</v>
      </c>
      <c r="L11" s="418" t="s">
        <v>739</v>
      </c>
      <c r="M11" s="418" t="s">
        <v>740</v>
      </c>
      <c r="N11" s="418" t="s">
        <v>741</v>
      </c>
      <c r="O11" s="418" t="s">
        <v>742</v>
      </c>
      <c r="P11" s="418" t="s">
        <v>743</v>
      </c>
      <c r="Q11" s="418" t="s">
        <v>744</v>
      </c>
      <c r="R11" s="418" t="s">
        <v>745</v>
      </c>
      <c r="S11" s="418" t="s">
        <v>746</v>
      </c>
      <c r="T11" s="418" t="s">
        <v>235</v>
      </c>
    </row>
    <row r="12" spans="1:22" ht="24" customHeight="1">
      <c r="A12" s="587" t="s">
        <v>8</v>
      </c>
      <c r="B12" s="588" t="str">
        <f>_xlfn.XLOOKUP(A12,'PLANILHA ORCAMENTARIA'!$A$12:$A$72,'PLANILHA ORCAMENTARIA'!$C$12:$C$72)</f>
        <v>ADMINISTRAÇÃO DA OBRA</v>
      </c>
      <c r="C12" s="589">
        <f>_xlfn.XLOOKUP(A12,'PLANILHA ORCAMENTARIA'!$A$12:$A$72,'PLANILHA ORCAMENTARIA'!$J$12:$J$72)</f>
        <v>192090.39</v>
      </c>
      <c r="D12" s="419"/>
      <c r="E12" s="419"/>
      <c r="F12" s="419"/>
      <c r="G12" s="419"/>
      <c r="H12" s="419"/>
      <c r="I12" s="419"/>
      <c r="J12" s="419"/>
      <c r="K12" s="419">
        <v>0.22714542172053609</v>
      </c>
      <c r="L12" s="419">
        <v>4.2798160014768147E-2</v>
      </c>
      <c r="M12" s="419">
        <v>7.155520087755729E-2</v>
      </c>
      <c r="N12" s="419">
        <v>6.9249529952999378E-2</v>
      </c>
      <c r="O12" s="419">
        <v>0.186347815494698</v>
      </c>
      <c r="P12" s="419">
        <v>4.567359998070427E-2</v>
      </c>
      <c r="Q12" s="419">
        <v>7.5726192653265093E-2</v>
      </c>
      <c r="R12" s="419">
        <v>7.5402719984380029E-2</v>
      </c>
      <c r="S12" s="419">
        <v>0.2061013593210918</v>
      </c>
      <c r="T12" s="420">
        <f>SUM(D12:S12)</f>
        <v>1.0000000000000002</v>
      </c>
    </row>
    <row r="13" spans="1:22" ht="24" customHeight="1">
      <c r="A13" s="587"/>
      <c r="B13" s="588"/>
      <c r="C13" s="589"/>
      <c r="D13" s="46" t="str">
        <f>IF(D12&gt;0,TRUNC($C$12*D12,2),"")</f>
        <v/>
      </c>
      <c r="E13" s="46" t="str">
        <f t="shared" ref="E13:S13" si="0">IF(E12&gt;0,TRUNC($C$12*E12,2),"")</f>
        <v/>
      </c>
      <c r="F13" s="46" t="str">
        <f t="shared" si="0"/>
        <v/>
      </c>
      <c r="G13" s="46" t="str">
        <f t="shared" si="0"/>
        <v/>
      </c>
      <c r="H13" s="46" t="str">
        <f t="shared" si="0"/>
        <v/>
      </c>
      <c r="I13" s="46" t="str">
        <f t="shared" si="0"/>
        <v/>
      </c>
      <c r="J13" s="46" t="str">
        <f t="shared" si="0"/>
        <v/>
      </c>
      <c r="K13" s="46">
        <f t="shared" si="0"/>
        <v>43632.45</v>
      </c>
      <c r="L13" s="46">
        <f t="shared" si="0"/>
        <v>8221.11</v>
      </c>
      <c r="M13" s="46">
        <f t="shared" si="0"/>
        <v>13745.06</v>
      </c>
      <c r="N13" s="46">
        <f t="shared" si="0"/>
        <v>13302.16</v>
      </c>
      <c r="O13" s="46">
        <f t="shared" si="0"/>
        <v>35795.620000000003</v>
      </c>
      <c r="P13" s="46">
        <f t="shared" si="0"/>
        <v>8773.4500000000007</v>
      </c>
      <c r="Q13" s="46">
        <f t="shared" si="0"/>
        <v>14546.27</v>
      </c>
      <c r="R13" s="46">
        <f t="shared" si="0"/>
        <v>14484.13</v>
      </c>
      <c r="S13" s="46">
        <f t="shared" si="0"/>
        <v>39590.089999999997</v>
      </c>
      <c r="T13" s="421">
        <f>SUM(D13:S13)</f>
        <v>192090.34</v>
      </c>
      <c r="U13" s="422"/>
      <c r="V13" s="422"/>
    </row>
    <row r="14" spans="1:22" ht="24" customHeight="1">
      <c r="A14" s="587">
        <v>2</v>
      </c>
      <c r="B14" s="588" t="str">
        <f>_xlfn.XLOOKUP(A14,'PLANILHA ORCAMENTARIA'!$A$12:$A$72,'PLANILHA ORCAMENTARIA'!$C$12:$C$72)</f>
        <v>SERVIÇOS INICIAIS</v>
      </c>
      <c r="C14" s="589">
        <f>_xlfn.XLOOKUP(A14,'PLANILHA ORCAMENTARIA'!$A$12:$A$72,'PLANILHA ORCAMENTARIA'!$J$12:$J$72)</f>
        <v>30614.61</v>
      </c>
      <c r="D14" s="423">
        <v>0.01</v>
      </c>
      <c r="E14" s="423"/>
      <c r="F14" s="423"/>
      <c r="G14" s="423"/>
      <c r="H14" s="423"/>
      <c r="I14" s="423"/>
      <c r="J14" s="423"/>
      <c r="K14" s="423">
        <v>0.99</v>
      </c>
      <c r="L14" s="423"/>
      <c r="M14" s="423"/>
      <c r="N14" s="423"/>
      <c r="O14" s="423"/>
      <c r="P14" s="423"/>
      <c r="Q14" s="423"/>
      <c r="R14" s="423"/>
      <c r="S14" s="423"/>
      <c r="T14" s="420">
        <f>SUM(D14:S14)</f>
        <v>1</v>
      </c>
    </row>
    <row r="15" spans="1:22" ht="24" customHeight="1">
      <c r="A15" s="587"/>
      <c r="B15" s="588"/>
      <c r="C15" s="589"/>
      <c r="D15" s="46">
        <f>IF(D14&gt;0,TRUNC($C$14*D14,2),"")</f>
        <v>306.14</v>
      </c>
      <c r="E15" s="46" t="str">
        <f t="shared" ref="E15:S15" si="1">IF(E14&gt;0,TRUNC($C$14*E14,2),"")</f>
        <v/>
      </c>
      <c r="F15" s="46" t="str">
        <f t="shared" si="1"/>
        <v/>
      </c>
      <c r="G15" s="46" t="str">
        <f t="shared" si="1"/>
        <v/>
      </c>
      <c r="H15" s="46" t="str">
        <f t="shared" si="1"/>
        <v/>
      </c>
      <c r="I15" s="46" t="str">
        <f t="shared" si="1"/>
        <v/>
      </c>
      <c r="J15" s="46" t="str">
        <f t="shared" si="1"/>
        <v/>
      </c>
      <c r="K15" s="46">
        <f t="shared" si="1"/>
        <v>30308.46</v>
      </c>
      <c r="L15" s="46" t="str">
        <f t="shared" si="1"/>
        <v/>
      </c>
      <c r="M15" s="46" t="str">
        <f t="shared" si="1"/>
        <v/>
      </c>
      <c r="N15" s="46" t="str">
        <f t="shared" si="1"/>
        <v/>
      </c>
      <c r="O15" s="46" t="str">
        <f t="shared" si="1"/>
        <v/>
      </c>
      <c r="P15" s="46" t="str">
        <f t="shared" si="1"/>
        <v/>
      </c>
      <c r="Q15" s="46" t="str">
        <f t="shared" si="1"/>
        <v/>
      </c>
      <c r="R15" s="46" t="str">
        <f t="shared" si="1"/>
        <v/>
      </c>
      <c r="S15" s="46" t="str">
        <f t="shared" si="1"/>
        <v/>
      </c>
      <c r="T15" s="421">
        <f>SUM(D15:S15)</f>
        <v>30614.6</v>
      </c>
    </row>
    <row r="16" spans="1:22" ht="24" customHeight="1">
      <c r="A16" s="587">
        <v>3</v>
      </c>
      <c r="B16" s="588" t="str">
        <f>_xlfn.XLOOKUP(A16,'PLANILHA ORCAMENTARIA'!$A$12:$A$72,'PLANILHA ORCAMENTARIA'!$C$12:$C$72)</f>
        <v>DEMOLIÇÕES E RETIRADAS</v>
      </c>
      <c r="C16" s="590"/>
      <c r="D16" s="423"/>
      <c r="E16" s="423"/>
      <c r="F16" s="423"/>
      <c r="G16" s="423"/>
      <c r="H16" s="423"/>
      <c r="I16" s="423"/>
      <c r="J16" s="423"/>
      <c r="K16" s="423"/>
      <c r="L16" s="423"/>
      <c r="M16" s="423"/>
      <c r="N16" s="423"/>
      <c r="O16" s="423"/>
      <c r="P16" s="423"/>
      <c r="Q16" s="423"/>
      <c r="R16" s="423"/>
      <c r="S16" s="423"/>
      <c r="T16" s="420"/>
    </row>
    <row r="17" spans="1:22" ht="24" customHeight="1">
      <c r="A17" s="587"/>
      <c r="B17" s="588"/>
      <c r="C17" s="590"/>
      <c r="D17" s="46"/>
      <c r="E17" s="46"/>
      <c r="F17" s="46"/>
      <c r="G17" s="46"/>
      <c r="H17" s="46"/>
      <c r="I17" s="46"/>
      <c r="J17" s="46"/>
      <c r="K17" s="46"/>
      <c r="L17" s="46"/>
      <c r="M17" s="46"/>
      <c r="N17" s="46"/>
      <c r="O17" s="46"/>
      <c r="P17" s="46"/>
      <c r="Q17" s="46"/>
      <c r="R17" s="46"/>
      <c r="S17" s="46"/>
      <c r="T17" s="421"/>
    </row>
    <row r="18" spans="1:22" ht="24" customHeight="1">
      <c r="A18" s="587" t="s">
        <v>37</v>
      </c>
      <c r="B18" s="588" t="str">
        <f>_xlfn.XLOOKUP(A18,'PLANILHA ORCAMENTARIA'!$A$12:$A$72,'PLANILHA ORCAMENTARIA'!$C$12:$C$72)</f>
        <v>DESMONTAGEM COMPLETA DE ELEVADOR - INCLUSO CABINES, SISTEMAS DE TRAÇÃO E TRANSPORTE, FOSSO E ACESSÓRIOS (GRUPO A - CARRO 1)</v>
      </c>
      <c r="C18" s="589">
        <f>_xlfn.XLOOKUP(A18,'PLANILHA ORCAMENTARIA'!$A$12:$A$72,'PLANILHA ORCAMENTARIA'!$J$12:$J$72)</f>
        <v>8704.5</v>
      </c>
      <c r="D18" s="423"/>
      <c r="E18" s="423"/>
      <c r="F18" s="423"/>
      <c r="G18" s="423"/>
      <c r="H18" s="423"/>
      <c r="I18" s="423"/>
      <c r="J18" s="423"/>
      <c r="K18" s="423"/>
      <c r="L18" s="423">
        <v>1</v>
      </c>
      <c r="M18" s="423"/>
      <c r="N18" s="423"/>
      <c r="O18" s="423"/>
      <c r="P18" s="423"/>
      <c r="Q18" s="423"/>
      <c r="R18" s="423"/>
      <c r="S18" s="423"/>
      <c r="T18" s="420">
        <f t="shared" ref="T18:T37" si="2">SUM(D18:S18)</f>
        <v>1</v>
      </c>
      <c r="U18" s="422"/>
      <c r="V18" s="422"/>
    </row>
    <row r="19" spans="1:22" ht="24" customHeight="1">
      <c r="A19" s="587"/>
      <c r="B19" s="588"/>
      <c r="C19" s="589"/>
      <c r="D19" s="46" t="str">
        <f>IF(D18&gt;0,TRUNC($C$18*D18,2),"")</f>
        <v/>
      </c>
      <c r="E19" s="46" t="str">
        <f t="shared" ref="E19:S19" si="3">IF(E18&gt;0,TRUNC($C$18*E18,2),"")</f>
        <v/>
      </c>
      <c r="F19" s="46" t="str">
        <f t="shared" si="3"/>
        <v/>
      </c>
      <c r="G19" s="46" t="str">
        <f t="shared" si="3"/>
        <v/>
      </c>
      <c r="H19" s="46" t="str">
        <f t="shared" si="3"/>
        <v/>
      </c>
      <c r="I19" s="46" t="str">
        <f t="shared" si="3"/>
        <v/>
      </c>
      <c r="J19" s="46" t="str">
        <f t="shared" si="3"/>
        <v/>
      </c>
      <c r="K19" s="46" t="str">
        <f t="shared" si="3"/>
        <v/>
      </c>
      <c r="L19" s="46">
        <f t="shared" si="3"/>
        <v>8704.5</v>
      </c>
      <c r="M19" s="46" t="str">
        <f t="shared" si="3"/>
        <v/>
      </c>
      <c r="N19" s="46" t="str">
        <f t="shared" si="3"/>
        <v/>
      </c>
      <c r="O19" s="46" t="str">
        <f t="shared" si="3"/>
        <v/>
      </c>
      <c r="P19" s="46" t="str">
        <f t="shared" si="3"/>
        <v/>
      </c>
      <c r="Q19" s="46" t="str">
        <f t="shared" si="3"/>
        <v/>
      </c>
      <c r="R19" s="46" t="str">
        <f t="shared" si="3"/>
        <v/>
      </c>
      <c r="S19" s="46" t="str">
        <f t="shared" si="3"/>
        <v/>
      </c>
      <c r="T19" s="421">
        <f t="shared" si="2"/>
        <v>8704.5</v>
      </c>
    </row>
    <row r="20" spans="1:22" ht="24" customHeight="1">
      <c r="A20" s="587" t="s">
        <v>38</v>
      </c>
      <c r="B20" s="588" t="str">
        <f>_xlfn.XLOOKUP(A20,'PLANILHA ORCAMENTARIA'!$A$12:$A$72,'PLANILHA ORCAMENTARIA'!$C$12:$C$72)</f>
        <v>DESMONTAGEM COMPLETA DE ELEVADOR - INCLUSO CABINES, SISTEMAS DE TRAÇÃO E TRANSPORTE, FOSSO E ACESSÓRIOS (GRUPO A - CARRO 2)</v>
      </c>
      <c r="C20" s="589">
        <f>_xlfn.XLOOKUP(A20,'PLANILHA ORCAMENTARIA'!$A$12:$A$72,'PLANILHA ORCAMENTARIA'!$J$12:$J$72)</f>
        <v>8704.5</v>
      </c>
      <c r="D20" s="423"/>
      <c r="E20" s="423"/>
      <c r="F20" s="423"/>
      <c r="G20" s="423"/>
      <c r="H20" s="423"/>
      <c r="I20" s="423"/>
      <c r="J20" s="423"/>
      <c r="K20" s="423"/>
      <c r="L20" s="423">
        <v>1</v>
      </c>
      <c r="M20" s="423"/>
      <c r="N20" s="423"/>
      <c r="O20" s="423"/>
      <c r="P20" s="423"/>
      <c r="Q20" s="423"/>
      <c r="R20" s="423"/>
      <c r="S20" s="423"/>
      <c r="T20" s="420">
        <f t="shared" si="2"/>
        <v>1</v>
      </c>
    </row>
    <row r="21" spans="1:22" ht="24" customHeight="1">
      <c r="A21" s="587"/>
      <c r="B21" s="588"/>
      <c r="C21" s="589"/>
      <c r="D21" s="46" t="str">
        <f>IF(D20&gt;0,TRUNC($C$20*D20,2),"")</f>
        <v/>
      </c>
      <c r="E21" s="46" t="str">
        <f t="shared" ref="E21:S21" si="4">IF(E20&gt;0,TRUNC($C$20*E20,2),"")</f>
        <v/>
      </c>
      <c r="F21" s="46" t="str">
        <f t="shared" si="4"/>
        <v/>
      </c>
      <c r="G21" s="46" t="str">
        <f t="shared" si="4"/>
        <v/>
      </c>
      <c r="H21" s="46" t="str">
        <f t="shared" si="4"/>
        <v/>
      </c>
      <c r="I21" s="46" t="str">
        <f t="shared" si="4"/>
        <v/>
      </c>
      <c r="J21" s="46" t="str">
        <f t="shared" si="4"/>
        <v/>
      </c>
      <c r="K21" s="46" t="str">
        <f t="shared" si="4"/>
        <v/>
      </c>
      <c r="L21" s="46">
        <f t="shared" si="4"/>
        <v>8704.5</v>
      </c>
      <c r="M21" s="46" t="str">
        <f t="shared" si="4"/>
        <v/>
      </c>
      <c r="N21" s="46" t="str">
        <f t="shared" si="4"/>
        <v/>
      </c>
      <c r="O21" s="46" t="str">
        <f t="shared" si="4"/>
        <v/>
      </c>
      <c r="P21" s="46" t="str">
        <f t="shared" si="4"/>
        <v/>
      </c>
      <c r="Q21" s="46" t="str">
        <f t="shared" si="4"/>
        <v/>
      </c>
      <c r="R21" s="46" t="str">
        <f t="shared" si="4"/>
        <v/>
      </c>
      <c r="S21" s="46" t="str">
        <f t="shared" si="4"/>
        <v/>
      </c>
      <c r="T21" s="421">
        <f t="shared" si="2"/>
        <v>8704.5</v>
      </c>
    </row>
    <row r="22" spans="1:22" ht="24" customHeight="1">
      <c r="A22" s="587" t="s">
        <v>39</v>
      </c>
      <c r="B22" s="588" t="str">
        <f>_xlfn.XLOOKUP(A22,'PLANILHA ORCAMENTARIA'!$A$12:$A$72,'PLANILHA ORCAMENTARIA'!$C$12:$C$72)</f>
        <v>DESMONTAGEM COMPLETA DE ELEVADOR - INCLUSO CABINES, SISTEMAS DE TRAÇÃO E TRANSPORTE, FOSSO E ACESSÓRIOS (GRUPO A - CARRO 3)</v>
      </c>
      <c r="C22" s="589">
        <f>_xlfn.XLOOKUP(A22,'PLANILHA ORCAMENTARIA'!$A$12:$A$72,'PLANILHA ORCAMENTARIA'!$J$12:$J$72)</f>
        <v>8704.5</v>
      </c>
      <c r="D22" s="423"/>
      <c r="E22" s="423"/>
      <c r="F22" s="423"/>
      <c r="G22" s="423"/>
      <c r="H22" s="423"/>
      <c r="I22" s="423"/>
      <c r="J22" s="423"/>
      <c r="K22" s="423"/>
      <c r="L22" s="423"/>
      <c r="M22" s="423"/>
      <c r="N22" s="423"/>
      <c r="O22" s="423"/>
      <c r="P22" s="423">
        <v>1</v>
      </c>
      <c r="Q22" s="423"/>
      <c r="R22" s="423"/>
      <c r="S22" s="423"/>
      <c r="T22" s="420">
        <f t="shared" si="2"/>
        <v>1</v>
      </c>
    </row>
    <row r="23" spans="1:22" ht="24" customHeight="1">
      <c r="A23" s="587"/>
      <c r="B23" s="588"/>
      <c r="C23" s="589"/>
      <c r="D23" s="46" t="str">
        <f>IF(D22&gt;0,TRUNC($C$22*D22,2),"")</f>
        <v/>
      </c>
      <c r="E23" s="46" t="str">
        <f t="shared" ref="E23:S23" si="5">IF(E22&gt;0,TRUNC($C$22*E22,2),"")</f>
        <v/>
      </c>
      <c r="F23" s="46" t="str">
        <f t="shared" si="5"/>
        <v/>
      </c>
      <c r="G23" s="46" t="str">
        <f t="shared" si="5"/>
        <v/>
      </c>
      <c r="H23" s="46" t="str">
        <f t="shared" si="5"/>
        <v/>
      </c>
      <c r="I23" s="46" t="str">
        <f t="shared" si="5"/>
        <v/>
      </c>
      <c r="J23" s="46" t="str">
        <f t="shared" si="5"/>
        <v/>
      </c>
      <c r="K23" s="46" t="str">
        <f t="shared" si="5"/>
        <v/>
      </c>
      <c r="L23" s="46" t="str">
        <f t="shared" si="5"/>
        <v/>
      </c>
      <c r="M23" s="46" t="str">
        <f t="shared" si="5"/>
        <v/>
      </c>
      <c r="N23" s="46" t="str">
        <f t="shared" si="5"/>
        <v/>
      </c>
      <c r="O23" s="46" t="str">
        <f t="shared" si="5"/>
        <v/>
      </c>
      <c r="P23" s="46">
        <f t="shared" si="5"/>
        <v>8704.5</v>
      </c>
      <c r="Q23" s="46" t="str">
        <f t="shared" si="5"/>
        <v/>
      </c>
      <c r="R23" s="46" t="str">
        <f t="shared" si="5"/>
        <v/>
      </c>
      <c r="S23" s="46" t="str">
        <f t="shared" si="5"/>
        <v/>
      </c>
      <c r="T23" s="421">
        <f t="shared" si="2"/>
        <v>8704.5</v>
      </c>
    </row>
    <row r="24" spans="1:22" ht="24" customHeight="1">
      <c r="A24" s="587" t="s">
        <v>41</v>
      </c>
      <c r="B24" s="588" t="str">
        <f>_xlfn.XLOOKUP(A24,'PLANILHA ORCAMENTARIA'!$A$12:$A$72,'PLANILHA ORCAMENTARIA'!$C$12:$C$72)</f>
        <v>DESMONTAGEM COMPLETA DE ELEVADOR - INCLUSO CABINES, SISTEMAS DE TRAÇÃO E TRANSPORTE, FOSSO E ACESSÓRIOS (GRUPO B)</v>
      </c>
      <c r="C24" s="589">
        <f>_xlfn.XLOOKUP(A24,'PLANILHA ORCAMENTARIA'!$A$12:$A$72,'PLANILHA ORCAMENTARIA'!$J$12:$J$72)</f>
        <v>10340.94</v>
      </c>
      <c r="D24" s="423"/>
      <c r="E24" s="423"/>
      <c r="F24" s="423"/>
      <c r="G24" s="423"/>
      <c r="H24" s="423"/>
      <c r="I24" s="423"/>
      <c r="J24" s="423"/>
      <c r="K24" s="423"/>
      <c r="L24" s="423"/>
      <c r="M24" s="423"/>
      <c r="N24" s="423"/>
      <c r="O24" s="423"/>
      <c r="P24" s="423">
        <v>1</v>
      </c>
      <c r="Q24" s="423"/>
      <c r="R24" s="423"/>
      <c r="S24" s="423"/>
      <c r="T24" s="420">
        <f t="shared" si="2"/>
        <v>1</v>
      </c>
    </row>
    <row r="25" spans="1:22" ht="24" customHeight="1">
      <c r="A25" s="587"/>
      <c r="B25" s="588"/>
      <c r="C25" s="589"/>
      <c r="D25" s="46" t="str">
        <f>IF(D24&gt;0,TRUNC($C$24*D24,2),"")</f>
        <v/>
      </c>
      <c r="E25" s="46" t="str">
        <f t="shared" ref="E25:S25" si="6">IF(E24&gt;0,TRUNC($C$24*E24,2),"")</f>
        <v/>
      </c>
      <c r="F25" s="46" t="str">
        <f t="shared" si="6"/>
        <v/>
      </c>
      <c r="G25" s="46" t="str">
        <f t="shared" si="6"/>
        <v/>
      </c>
      <c r="H25" s="46" t="str">
        <f t="shared" si="6"/>
        <v/>
      </c>
      <c r="I25" s="46" t="str">
        <f t="shared" si="6"/>
        <v/>
      </c>
      <c r="J25" s="46" t="str">
        <f t="shared" si="6"/>
        <v/>
      </c>
      <c r="K25" s="46" t="str">
        <f t="shared" si="6"/>
        <v/>
      </c>
      <c r="L25" s="46" t="str">
        <f t="shared" si="6"/>
        <v/>
      </c>
      <c r="M25" s="46" t="str">
        <f t="shared" si="6"/>
        <v/>
      </c>
      <c r="N25" s="46" t="str">
        <f t="shared" si="6"/>
        <v/>
      </c>
      <c r="O25" s="46" t="str">
        <f t="shared" si="6"/>
        <v/>
      </c>
      <c r="P25" s="46">
        <f t="shared" si="6"/>
        <v>10340.94</v>
      </c>
      <c r="Q25" s="46" t="str">
        <f t="shared" si="6"/>
        <v/>
      </c>
      <c r="R25" s="46" t="str">
        <f t="shared" si="6"/>
        <v/>
      </c>
      <c r="S25" s="46" t="str">
        <f t="shared" si="6"/>
        <v/>
      </c>
      <c r="T25" s="421">
        <f t="shared" si="2"/>
        <v>10340.94</v>
      </c>
    </row>
    <row r="26" spans="1:22" ht="24" customHeight="1">
      <c r="A26" s="587" t="s">
        <v>42</v>
      </c>
      <c r="B26" s="588" t="str">
        <f>_xlfn.XLOOKUP(A26,'PLANILHA ORCAMENTARIA'!$A$12:$A$72,'PLANILHA ORCAMENTARIA'!$C$12:$C$72)</f>
        <v>LIMPEZA DE SUPERFÍCIE COM JATO DE ALTA PRESSÃO. AF_04/2019 (GRUPO A - CARRO 1)</v>
      </c>
      <c r="C26" s="589">
        <f>_xlfn.XLOOKUP(A26,'PLANILHA ORCAMENTARIA'!$A$12:$A$72,'PLANILHA ORCAMENTARIA'!$J$12:$J$72)</f>
        <v>421.78</v>
      </c>
      <c r="D26" s="423"/>
      <c r="E26" s="423"/>
      <c r="F26" s="423"/>
      <c r="G26" s="423"/>
      <c r="H26" s="423"/>
      <c r="I26" s="423"/>
      <c r="J26" s="423"/>
      <c r="K26" s="423"/>
      <c r="L26" s="423">
        <v>1</v>
      </c>
      <c r="M26" s="423"/>
      <c r="N26" s="423"/>
      <c r="O26" s="423"/>
      <c r="P26" s="423"/>
      <c r="Q26" s="423"/>
      <c r="R26" s="423"/>
      <c r="S26" s="423"/>
      <c r="T26" s="420">
        <f t="shared" si="2"/>
        <v>1</v>
      </c>
    </row>
    <row r="27" spans="1:22" ht="24" customHeight="1">
      <c r="A27" s="587"/>
      <c r="B27" s="588"/>
      <c r="C27" s="589"/>
      <c r="D27" s="46" t="str">
        <f>IF(D26&gt;0,TRUNC($C$26*D26,2),"")</f>
        <v/>
      </c>
      <c r="E27" s="46" t="str">
        <f t="shared" ref="E27:S27" si="7">IF(E26&gt;0,TRUNC($C$26*E26,2),"")</f>
        <v/>
      </c>
      <c r="F27" s="46" t="str">
        <f t="shared" si="7"/>
        <v/>
      </c>
      <c r="G27" s="46" t="str">
        <f t="shared" si="7"/>
        <v/>
      </c>
      <c r="H27" s="46" t="str">
        <f t="shared" si="7"/>
        <v/>
      </c>
      <c r="I27" s="46" t="str">
        <f t="shared" si="7"/>
        <v/>
      </c>
      <c r="J27" s="46" t="str">
        <f t="shared" si="7"/>
        <v/>
      </c>
      <c r="K27" s="46" t="str">
        <f t="shared" si="7"/>
        <v/>
      </c>
      <c r="L27" s="46">
        <f t="shared" si="7"/>
        <v>421.78</v>
      </c>
      <c r="M27" s="46" t="str">
        <f t="shared" si="7"/>
        <v/>
      </c>
      <c r="N27" s="46" t="str">
        <f t="shared" si="7"/>
        <v/>
      </c>
      <c r="O27" s="46" t="str">
        <f t="shared" si="7"/>
        <v/>
      </c>
      <c r="P27" s="46" t="str">
        <f t="shared" si="7"/>
        <v/>
      </c>
      <c r="Q27" s="46" t="str">
        <f t="shared" si="7"/>
        <v/>
      </c>
      <c r="R27" s="46" t="str">
        <f t="shared" si="7"/>
        <v/>
      </c>
      <c r="S27" s="46" t="str">
        <f t="shared" si="7"/>
        <v/>
      </c>
      <c r="T27" s="421">
        <f t="shared" si="2"/>
        <v>421.78</v>
      </c>
    </row>
    <row r="28" spans="1:22" ht="24" customHeight="1">
      <c r="A28" s="587" t="s">
        <v>43</v>
      </c>
      <c r="B28" s="588" t="str">
        <f>_xlfn.XLOOKUP(A28,'PLANILHA ORCAMENTARIA'!$A$12:$A$72,'PLANILHA ORCAMENTARIA'!$C$12:$C$72)</f>
        <v>LIMPEZA DE SUPERFÍCIE COM JATO DE ALTA PRESSÃO. AF_04/2019 (GRUPO A - CARRO 2)</v>
      </c>
      <c r="C28" s="589">
        <f>_xlfn.XLOOKUP(A28,'PLANILHA ORCAMENTARIA'!$A$12:$A$72,'PLANILHA ORCAMENTARIA'!$J$12:$J$72)</f>
        <v>421.78</v>
      </c>
      <c r="D28" s="423"/>
      <c r="E28" s="423"/>
      <c r="F28" s="423"/>
      <c r="G28" s="423"/>
      <c r="H28" s="423"/>
      <c r="I28" s="423"/>
      <c r="J28" s="423"/>
      <c r="K28" s="423"/>
      <c r="L28" s="423">
        <v>1</v>
      </c>
      <c r="M28" s="423"/>
      <c r="N28" s="423"/>
      <c r="O28" s="423"/>
      <c r="P28" s="423"/>
      <c r="Q28" s="423"/>
      <c r="R28" s="423"/>
      <c r="S28" s="423"/>
      <c r="T28" s="420">
        <f t="shared" si="2"/>
        <v>1</v>
      </c>
    </row>
    <row r="29" spans="1:22" ht="24" customHeight="1">
      <c r="A29" s="587"/>
      <c r="B29" s="588"/>
      <c r="C29" s="589"/>
      <c r="D29" s="46" t="str">
        <f>IF(D28&gt;0,TRUNC($C$28*D28,2),"")</f>
        <v/>
      </c>
      <c r="E29" s="46" t="str">
        <f t="shared" ref="E29:S29" si="8">IF(E28&gt;0,TRUNC($C$28*E28,2),"")</f>
        <v/>
      </c>
      <c r="F29" s="46" t="str">
        <f t="shared" si="8"/>
        <v/>
      </c>
      <c r="G29" s="46" t="str">
        <f t="shared" si="8"/>
        <v/>
      </c>
      <c r="H29" s="46" t="str">
        <f t="shared" si="8"/>
        <v/>
      </c>
      <c r="I29" s="46" t="str">
        <f t="shared" si="8"/>
        <v/>
      </c>
      <c r="J29" s="46" t="str">
        <f t="shared" si="8"/>
        <v/>
      </c>
      <c r="K29" s="46" t="str">
        <f t="shared" si="8"/>
        <v/>
      </c>
      <c r="L29" s="46">
        <f t="shared" si="8"/>
        <v>421.78</v>
      </c>
      <c r="M29" s="46" t="str">
        <f t="shared" si="8"/>
        <v/>
      </c>
      <c r="N29" s="46" t="str">
        <f t="shared" si="8"/>
        <v/>
      </c>
      <c r="O29" s="46" t="str">
        <f t="shared" si="8"/>
        <v/>
      </c>
      <c r="P29" s="46" t="str">
        <f t="shared" si="8"/>
        <v/>
      </c>
      <c r="Q29" s="46" t="str">
        <f t="shared" si="8"/>
        <v/>
      </c>
      <c r="R29" s="46" t="str">
        <f t="shared" si="8"/>
        <v/>
      </c>
      <c r="S29" s="46" t="str">
        <f t="shared" si="8"/>
        <v/>
      </c>
      <c r="T29" s="421">
        <f t="shared" si="2"/>
        <v>421.78</v>
      </c>
    </row>
    <row r="30" spans="1:22" ht="24" customHeight="1">
      <c r="A30" s="587" t="s">
        <v>44</v>
      </c>
      <c r="B30" s="588" t="str">
        <f>_xlfn.XLOOKUP(A30,'PLANILHA ORCAMENTARIA'!$A$12:$A$72,'PLANILHA ORCAMENTARIA'!$C$12:$C$72)</f>
        <v>LIMPEZA DE SUPERFÍCIE COM JATO DE ALTA PRESSÃO. AF_04/2019 (GRUPO A - CARRO 3)</v>
      </c>
      <c r="C30" s="589">
        <f>_xlfn.XLOOKUP(A30,'PLANILHA ORCAMENTARIA'!$A$12:$A$72,'PLANILHA ORCAMENTARIA'!$J$12:$J$72)</f>
        <v>421.78</v>
      </c>
      <c r="D30" s="423"/>
      <c r="E30" s="423"/>
      <c r="F30" s="423"/>
      <c r="G30" s="423"/>
      <c r="H30" s="423"/>
      <c r="I30" s="423"/>
      <c r="J30" s="423"/>
      <c r="K30" s="423"/>
      <c r="L30" s="423"/>
      <c r="M30" s="423"/>
      <c r="N30" s="423"/>
      <c r="O30" s="423"/>
      <c r="P30" s="423">
        <v>1</v>
      </c>
      <c r="Q30" s="423"/>
      <c r="R30" s="423"/>
      <c r="S30" s="423"/>
      <c r="T30" s="420">
        <f t="shared" si="2"/>
        <v>1</v>
      </c>
    </row>
    <row r="31" spans="1:22" ht="24" customHeight="1">
      <c r="A31" s="587"/>
      <c r="B31" s="588"/>
      <c r="C31" s="589"/>
      <c r="D31" s="46" t="str">
        <f>IF(D30&gt;0,TRUNC($C$30*D30,2),"")</f>
        <v/>
      </c>
      <c r="E31" s="46" t="str">
        <f t="shared" ref="E31:S31" si="9">IF(E30&gt;0,TRUNC($C$30*E30,2),"")</f>
        <v/>
      </c>
      <c r="F31" s="46" t="str">
        <f t="shared" si="9"/>
        <v/>
      </c>
      <c r="G31" s="46" t="str">
        <f t="shared" si="9"/>
        <v/>
      </c>
      <c r="H31" s="46" t="str">
        <f t="shared" si="9"/>
        <v/>
      </c>
      <c r="I31" s="46" t="str">
        <f t="shared" si="9"/>
        <v/>
      </c>
      <c r="J31" s="46" t="str">
        <f t="shared" si="9"/>
        <v/>
      </c>
      <c r="K31" s="46" t="str">
        <f t="shared" si="9"/>
        <v/>
      </c>
      <c r="L31" s="46" t="str">
        <f t="shared" si="9"/>
        <v/>
      </c>
      <c r="M31" s="46" t="str">
        <f t="shared" si="9"/>
        <v/>
      </c>
      <c r="N31" s="46" t="str">
        <f t="shared" si="9"/>
        <v/>
      </c>
      <c r="O31" s="46" t="str">
        <f t="shared" si="9"/>
        <v/>
      </c>
      <c r="P31" s="46">
        <f t="shared" si="9"/>
        <v>421.78</v>
      </c>
      <c r="Q31" s="46" t="str">
        <f t="shared" si="9"/>
        <v/>
      </c>
      <c r="R31" s="46" t="str">
        <f t="shared" si="9"/>
        <v/>
      </c>
      <c r="S31" s="46" t="str">
        <f t="shared" si="9"/>
        <v/>
      </c>
      <c r="T31" s="421">
        <f t="shared" si="2"/>
        <v>421.78</v>
      </c>
    </row>
    <row r="32" spans="1:22" ht="24" customHeight="1">
      <c r="A32" s="587" t="s">
        <v>45</v>
      </c>
      <c r="B32" s="588" t="str">
        <f>_xlfn.XLOOKUP(A32,'PLANILHA ORCAMENTARIA'!$A$12:$A$72,'PLANILHA ORCAMENTARIA'!$C$12:$C$72)</f>
        <v>LIMPEZA DE SUPERFÍCIE COM JATO DE ALTA PRESSÃO. AF_04/2019 (GRUPO B)</v>
      </c>
      <c r="C32" s="589">
        <f>_xlfn.XLOOKUP(A32,'PLANILHA ORCAMENTARIA'!$A$12:$A$72,'PLANILHA ORCAMENTARIA'!$J$12:$J$72)</f>
        <v>516.35</v>
      </c>
      <c r="D32" s="423"/>
      <c r="E32" s="423"/>
      <c r="F32" s="423"/>
      <c r="G32" s="423"/>
      <c r="H32" s="423"/>
      <c r="I32" s="423"/>
      <c r="J32" s="423"/>
      <c r="K32" s="423"/>
      <c r="L32" s="423"/>
      <c r="M32" s="423"/>
      <c r="N32" s="423"/>
      <c r="O32" s="423"/>
      <c r="P32" s="423">
        <v>1</v>
      </c>
      <c r="Q32" s="423"/>
      <c r="R32" s="423"/>
      <c r="S32" s="423"/>
      <c r="T32" s="420">
        <f t="shared" si="2"/>
        <v>1</v>
      </c>
    </row>
    <row r="33" spans="1:20" ht="24" customHeight="1">
      <c r="A33" s="587"/>
      <c r="B33" s="588"/>
      <c r="C33" s="589"/>
      <c r="D33" s="46" t="str">
        <f>IF(D32&gt;0,TRUNC($C$32*D32,2),"")</f>
        <v/>
      </c>
      <c r="E33" s="46" t="str">
        <f t="shared" ref="E33:S33" si="10">IF(E32&gt;0,TRUNC($C$32*E32,2),"")</f>
        <v/>
      </c>
      <c r="F33" s="46" t="str">
        <f t="shared" si="10"/>
        <v/>
      </c>
      <c r="G33" s="46" t="str">
        <f t="shared" si="10"/>
        <v/>
      </c>
      <c r="H33" s="46" t="str">
        <f t="shared" si="10"/>
        <v/>
      </c>
      <c r="I33" s="46" t="str">
        <f t="shared" si="10"/>
        <v/>
      </c>
      <c r="J33" s="46" t="str">
        <f t="shared" si="10"/>
        <v/>
      </c>
      <c r="K33" s="46" t="str">
        <f t="shared" si="10"/>
        <v/>
      </c>
      <c r="L33" s="46" t="str">
        <f t="shared" si="10"/>
        <v/>
      </c>
      <c r="M33" s="46" t="str">
        <f t="shared" si="10"/>
        <v/>
      </c>
      <c r="N33" s="46" t="str">
        <f t="shared" si="10"/>
        <v/>
      </c>
      <c r="O33" s="46" t="str">
        <f t="shared" si="10"/>
        <v/>
      </c>
      <c r="P33" s="46">
        <f t="shared" si="10"/>
        <v>516.35</v>
      </c>
      <c r="Q33" s="46" t="str">
        <f t="shared" si="10"/>
        <v/>
      </c>
      <c r="R33" s="46" t="str">
        <f t="shared" si="10"/>
        <v/>
      </c>
      <c r="S33" s="46" t="str">
        <f t="shared" si="10"/>
        <v/>
      </c>
      <c r="T33" s="421">
        <f t="shared" si="2"/>
        <v>516.35</v>
      </c>
    </row>
    <row r="34" spans="1:20" ht="24" customHeight="1">
      <c r="A34" s="587" t="s">
        <v>776</v>
      </c>
      <c r="B34" s="588" t="str">
        <f>_xlfn.XLOOKUP(A34,'PLANILHA ORCAMENTARIA'!$A$12:$A$72,'PLANILHA ORCAMENTARIA'!$C$12:$C$72)</f>
        <v>TRANSPORTE HORIZONTAL MATERIAIS CARRINHO RODA PNEUS</v>
      </c>
      <c r="C34" s="589">
        <f>_xlfn.XLOOKUP(A34,'PLANILHA ORCAMENTARIA'!$A$12:$A$72,'PLANILHA ORCAMENTARIA'!$J$12:$J$72)</f>
        <v>735.78</v>
      </c>
      <c r="D34" s="559"/>
      <c r="E34" s="559"/>
      <c r="F34" s="559"/>
      <c r="G34" s="559"/>
      <c r="H34" s="559"/>
      <c r="I34" s="559"/>
      <c r="J34" s="559"/>
      <c r="K34" s="559"/>
      <c r="L34" s="419">
        <v>0.5</v>
      </c>
      <c r="M34" s="559"/>
      <c r="N34" s="559"/>
      <c r="O34" s="423"/>
      <c r="P34" s="419">
        <v>0.5</v>
      </c>
      <c r="Q34" s="559"/>
      <c r="R34" s="559"/>
      <c r="S34" s="423"/>
      <c r="T34" s="420">
        <f t="shared" si="2"/>
        <v>1</v>
      </c>
    </row>
    <row r="35" spans="1:20" ht="24" customHeight="1">
      <c r="A35" s="587"/>
      <c r="B35" s="588"/>
      <c r="C35" s="589"/>
      <c r="D35" s="559"/>
      <c r="E35" s="559"/>
      <c r="F35" s="559"/>
      <c r="G35" s="559"/>
      <c r="H35" s="559"/>
      <c r="I35" s="559"/>
      <c r="J35" s="559"/>
      <c r="K35" s="559"/>
      <c r="L35" s="46">
        <f>IF(L34&gt;0,TRUNC($C$34*L34,2),"")</f>
        <v>367.89</v>
      </c>
      <c r="M35" s="559"/>
      <c r="N35" s="559"/>
      <c r="O35" s="46"/>
      <c r="P35" s="46">
        <f>IF(P34&gt;0,TRUNC($C$34*P34,2),"")</f>
        <v>367.89</v>
      </c>
      <c r="Q35" s="559"/>
      <c r="R35" s="559"/>
      <c r="S35" s="46"/>
      <c r="T35" s="421">
        <f t="shared" si="2"/>
        <v>735.78</v>
      </c>
    </row>
    <row r="36" spans="1:20" ht="24" customHeight="1">
      <c r="A36" s="587" t="s">
        <v>777</v>
      </c>
      <c r="B36" s="588" t="str">
        <f>_xlfn.XLOOKUP(A36,'PLANILHA ORCAMENTARIA'!$A$12:$A$72,'PLANILHA ORCAMENTARIA'!$C$12:$C$72)</f>
        <v>BOTA FORA EM CACAMBA 5M3 48 HORAS</v>
      </c>
      <c r="C36" s="589">
        <f>_xlfn.XLOOKUP(A36,'PLANILHA ORCAMENTARIA'!$A$12:$A$72,'PLANILHA ORCAMENTARIA'!$J$12:$J$72)</f>
        <v>1065.74</v>
      </c>
      <c r="D36" s="559"/>
      <c r="E36" s="559"/>
      <c r="F36" s="559"/>
      <c r="G36" s="559"/>
      <c r="H36" s="559"/>
      <c r="I36" s="559"/>
      <c r="J36" s="559"/>
      <c r="K36" s="559"/>
      <c r="L36" s="419">
        <v>0.5</v>
      </c>
      <c r="M36" s="559"/>
      <c r="N36" s="559"/>
      <c r="O36" s="423"/>
      <c r="P36" s="419">
        <v>0.5</v>
      </c>
      <c r="Q36" s="559"/>
      <c r="R36" s="559"/>
      <c r="S36" s="423"/>
      <c r="T36" s="420">
        <f t="shared" si="2"/>
        <v>1</v>
      </c>
    </row>
    <row r="37" spans="1:20" ht="24" customHeight="1">
      <c r="A37" s="587"/>
      <c r="B37" s="588"/>
      <c r="C37" s="589"/>
      <c r="D37" s="559"/>
      <c r="E37" s="559"/>
      <c r="F37" s="559"/>
      <c r="G37" s="559"/>
      <c r="H37" s="559"/>
      <c r="I37" s="559"/>
      <c r="J37" s="559"/>
      <c r="K37" s="559"/>
      <c r="L37" s="46">
        <f>IF(L36&gt;0,TRUNC($C$36*L36,2),"")</f>
        <v>532.87</v>
      </c>
      <c r="M37" s="559"/>
      <c r="N37" s="559"/>
      <c r="O37" s="46"/>
      <c r="P37" s="46">
        <f>IF(P36&gt;0,TRUNC($C$36*P36,2),"")</f>
        <v>532.87</v>
      </c>
      <c r="Q37" s="559"/>
      <c r="R37" s="559"/>
      <c r="S37" s="46"/>
      <c r="T37" s="421">
        <f t="shared" si="2"/>
        <v>1065.74</v>
      </c>
    </row>
    <row r="38" spans="1:20" ht="24" customHeight="1">
      <c r="A38" s="587">
        <v>4</v>
      </c>
      <c r="B38" s="588" t="str">
        <f>_xlfn.XLOOKUP(A38,'PLANILHA ORCAMENTARIA'!$A$12:$A$72,'PLANILHA ORCAMENTARIA'!$C$12:$C$72)</f>
        <v>OBRAS CIVIS</v>
      </c>
      <c r="C38" s="589"/>
      <c r="D38" s="423"/>
      <c r="E38" s="423"/>
      <c r="F38" s="423"/>
      <c r="G38" s="423"/>
      <c r="H38" s="423"/>
      <c r="I38" s="423"/>
      <c r="J38" s="423"/>
      <c r="K38" s="423"/>
      <c r="L38" s="423"/>
      <c r="M38" s="423"/>
      <c r="N38" s="423"/>
      <c r="O38" s="423"/>
      <c r="P38" s="423"/>
      <c r="Q38" s="423"/>
      <c r="R38" s="423"/>
      <c r="S38" s="423"/>
      <c r="T38" s="420"/>
    </row>
    <row r="39" spans="1:20" ht="24" customHeight="1">
      <c r="A39" s="587"/>
      <c r="B39" s="588"/>
      <c r="C39" s="589"/>
      <c r="D39" s="46"/>
      <c r="E39" s="46"/>
      <c r="F39" s="46"/>
      <c r="G39" s="46"/>
      <c r="H39" s="46"/>
      <c r="I39" s="46"/>
      <c r="J39" s="46"/>
      <c r="K39" s="46"/>
      <c r="L39" s="46"/>
      <c r="M39" s="46"/>
      <c r="N39" s="46"/>
      <c r="O39" s="46"/>
      <c r="P39" s="46"/>
      <c r="Q39" s="46"/>
      <c r="R39" s="46"/>
      <c r="S39" s="46"/>
      <c r="T39" s="421"/>
    </row>
    <row r="40" spans="1:20" ht="24" customHeight="1">
      <c r="A40" s="587" t="s">
        <v>47</v>
      </c>
      <c r="B40" s="588" t="str">
        <f>_xlfn.XLOOKUP(A40,'PLANILHA ORCAMENTARIA'!$A$12:$A$72,'PLANILHA ORCAMENTARIA'!$C$12:$C$72)</f>
        <v>ALVENARIA DE BLOCOS DE CONCRETO ESTRUTURAL 14X19X29 CM (ESPESSURA 14 CM), FBK = 14 MPA, UTILIZANDO COLHER DE PEDREIRO. AF_10/2022 (GRUPO A - VÃO ENTRE CARROS 1 e 2)</v>
      </c>
      <c r="C40" s="589">
        <f>_xlfn.XLOOKUP(A40,'PLANILHA ORCAMENTARIA'!$A$12:$A$72,'PLANILHA ORCAMENTARIA'!$J$12:$J$72)</f>
        <v>7511.86</v>
      </c>
      <c r="D40" s="423"/>
      <c r="E40" s="423"/>
      <c r="F40" s="423"/>
      <c r="G40" s="423"/>
      <c r="H40" s="423"/>
      <c r="I40" s="423"/>
      <c r="J40" s="423"/>
      <c r="K40" s="423"/>
      <c r="L40" s="423">
        <v>1</v>
      </c>
      <c r="M40" s="423"/>
      <c r="N40" s="423"/>
      <c r="O40" s="423"/>
      <c r="P40" s="423"/>
      <c r="Q40" s="423"/>
      <c r="R40" s="423"/>
      <c r="S40" s="423"/>
      <c r="T40" s="420">
        <f t="shared" ref="T40:T67" si="11">SUM(D40:S40)</f>
        <v>1</v>
      </c>
    </row>
    <row r="41" spans="1:20" ht="24" customHeight="1">
      <c r="A41" s="587"/>
      <c r="B41" s="588"/>
      <c r="C41" s="589"/>
      <c r="D41" s="46" t="str">
        <f>IF(D40&gt;0,TRUNC($C$40*D40,2),"")</f>
        <v/>
      </c>
      <c r="E41" s="46" t="str">
        <f t="shared" ref="E41:S41" si="12">IF(E40&gt;0,TRUNC($C$40*E40,2),"")</f>
        <v/>
      </c>
      <c r="F41" s="46" t="str">
        <f t="shared" si="12"/>
        <v/>
      </c>
      <c r="G41" s="46" t="str">
        <f t="shared" si="12"/>
        <v/>
      </c>
      <c r="H41" s="46" t="str">
        <f t="shared" si="12"/>
        <v/>
      </c>
      <c r="I41" s="46" t="str">
        <f t="shared" si="12"/>
        <v/>
      </c>
      <c r="J41" s="46" t="str">
        <f t="shared" si="12"/>
        <v/>
      </c>
      <c r="K41" s="46" t="str">
        <f t="shared" si="12"/>
        <v/>
      </c>
      <c r="L41" s="46">
        <f t="shared" si="12"/>
        <v>7511.86</v>
      </c>
      <c r="M41" s="46" t="str">
        <f t="shared" si="12"/>
        <v/>
      </c>
      <c r="N41" s="46" t="str">
        <f t="shared" si="12"/>
        <v/>
      </c>
      <c r="O41" s="46" t="str">
        <f t="shared" si="12"/>
        <v/>
      </c>
      <c r="P41" s="46" t="str">
        <f t="shared" si="12"/>
        <v/>
      </c>
      <c r="Q41" s="46" t="str">
        <f t="shared" si="12"/>
        <v/>
      </c>
      <c r="R41" s="46" t="str">
        <f t="shared" si="12"/>
        <v/>
      </c>
      <c r="S41" s="46" t="str">
        <f t="shared" si="12"/>
        <v/>
      </c>
      <c r="T41" s="421">
        <f t="shared" si="11"/>
        <v>7511.86</v>
      </c>
    </row>
    <row r="42" spans="1:20" ht="24" customHeight="1">
      <c r="A42" s="587" t="s">
        <v>48</v>
      </c>
      <c r="B42" s="588" t="str">
        <f>_xlfn.XLOOKUP(A42,'PLANILHA ORCAMENTARIA'!$A$12:$A$72,'PLANILHA ORCAMENTARIA'!$C$12:$C$72)</f>
        <v>ALVENARIA DE BLOCOS DE CONCRETO ESTRUTURAL 14X19X29 CM (ESPESSURA 14 CM), FBK = 14 MPA, UTILIZANDO COLHER DE PEDREIRO. AF_10/2022 (GRUPO A - VÃO ENTRE CARROS 2 e 3)</v>
      </c>
      <c r="C42" s="589">
        <f>_xlfn.XLOOKUP(A42,'PLANILHA ORCAMENTARIA'!$A$12:$A$72,'PLANILHA ORCAMENTARIA'!$J$12:$J$72)</f>
        <v>7511.86</v>
      </c>
      <c r="D42" s="423"/>
      <c r="E42" s="423"/>
      <c r="F42" s="423"/>
      <c r="G42" s="423"/>
      <c r="H42" s="423"/>
      <c r="I42" s="423"/>
      <c r="J42" s="423"/>
      <c r="K42" s="423"/>
      <c r="L42" s="423"/>
      <c r="M42" s="423"/>
      <c r="N42" s="423"/>
      <c r="O42" s="423"/>
      <c r="P42" s="423">
        <v>1</v>
      </c>
      <c r="Q42" s="423"/>
      <c r="R42" s="423"/>
      <c r="S42" s="423"/>
      <c r="T42" s="420">
        <f t="shared" si="11"/>
        <v>1</v>
      </c>
    </row>
    <row r="43" spans="1:20" ht="24" customHeight="1">
      <c r="A43" s="587"/>
      <c r="B43" s="588"/>
      <c r="C43" s="589"/>
      <c r="D43" s="46" t="str">
        <f>IF(D42&gt;0,TRUNC($C$42*D42,2),"")</f>
        <v/>
      </c>
      <c r="E43" s="46" t="str">
        <f t="shared" ref="E43:S43" si="13">IF(E42&gt;0,TRUNC($C$42*E42,2),"")</f>
        <v/>
      </c>
      <c r="F43" s="46" t="str">
        <f t="shared" si="13"/>
        <v/>
      </c>
      <c r="G43" s="46" t="str">
        <f t="shared" si="13"/>
        <v/>
      </c>
      <c r="H43" s="46" t="str">
        <f t="shared" si="13"/>
        <v/>
      </c>
      <c r="I43" s="46" t="str">
        <f t="shared" si="13"/>
        <v/>
      </c>
      <c r="J43" s="46" t="str">
        <f t="shared" si="13"/>
        <v/>
      </c>
      <c r="K43" s="46" t="str">
        <f t="shared" si="13"/>
        <v/>
      </c>
      <c r="L43" s="46" t="str">
        <f t="shared" si="13"/>
        <v/>
      </c>
      <c r="M43" s="46" t="str">
        <f t="shared" si="13"/>
        <v/>
      </c>
      <c r="N43" s="46" t="str">
        <f t="shared" si="13"/>
        <v/>
      </c>
      <c r="O43" s="46" t="str">
        <f t="shared" si="13"/>
        <v/>
      </c>
      <c r="P43" s="46">
        <f t="shared" si="13"/>
        <v>7511.86</v>
      </c>
      <c r="Q43" s="46" t="str">
        <f t="shared" si="13"/>
        <v/>
      </c>
      <c r="R43" s="46" t="str">
        <f t="shared" si="13"/>
        <v/>
      </c>
      <c r="S43" s="46" t="str">
        <f t="shared" si="13"/>
        <v/>
      </c>
      <c r="T43" s="421">
        <f t="shared" si="11"/>
        <v>7511.86</v>
      </c>
    </row>
    <row r="44" spans="1:20" ht="24" customHeight="1">
      <c r="A44" s="587" t="s">
        <v>494</v>
      </c>
      <c r="B44" s="588" t="str">
        <f>_xlfn.XLOOKUP(A44,'PLANILHA ORCAMENTARIA'!$A$12:$A$72,'PLANILHA ORCAMENTARIA'!$C$12:$C$72)</f>
        <v>PINTURA LÁTEX ACRÍLICA STANDARD, APLICAÇÃO MANUAL EM PAREDES, DUAS DEMÃOS. AF_04/2023 (GRUPO A - CARRO 1)</v>
      </c>
      <c r="C44" s="589">
        <f>_xlfn.XLOOKUP(A44,'PLANILHA ORCAMENTARIA'!$A$12:$A$72,'PLANILHA ORCAMENTARIA'!$J$12:$J$72)</f>
        <v>2175.16</v>
      </c>
      <c r="D44" s="423"/>
      <c r="E44" s="423"/>
      <c r="F44" s="423"/>
      <c r="G44" s="423"/>
      <c r="H44" s="423"/>
      <c r="I44" s="423"/>
      <c r="J44" s="423"/>
      <c r="K44" s="423"/>
      <c r="L44" s="423"/>
      <c r="M44" s="423">
        <v>1</v>
      </c>
      <c r="N44" s="423"/>
      <c r="O44" s="423"/>
      <c r="P44" s="423"/>
      <c r="Q44" s="423">
        <v>0</v>
      </c>
      <c r="R44" s="423"/>
      <c r="S44" s="423"/>
      <c r="T44" s="420">
        <f t="shared" si="11"/>
        <v>1</v>
      </c>
    </row>
    <row r="45" spans="1:20" ht="24" customHeight="1">
      <c r="A45" s="587"/>
      <c r="B45" s="588"/>
      <c r="C45" s="589"/>
      <c r="D45" s="46" t="str">
        <f>IF(D44&gt;0,TRUNC($C$44*D44,2),"")</f>
        <v/>
      </c>
      <c r="E45" s="46" t="str">
        <f t="shared" ref="E45:S45" si="14">IF(E44&gt;0,TRUNC($C$44*E44,2),"")</f>
        <v/>
      </c>
      <c r="F45" s="46" t="str">
        <f t="shared" si="14"/>
        <v/>
      </c>
      <c r="G45" s="46" t="str">
        <f t="shared" si="14"/>
        <v/>
      </c>
      <c r="H45" s="46" t="str">
        <f t="shared" si="14"/>
        <v/>
      </c>
      <c r="I45" s="46" t="str">
        <f t="shared" si="14"/>
        <v/>
      </c>
      <c r="J45" s="46" t="str">
        <f t="shared" si="14"/>
        <v/>
      </c>
      <c r="K45" s="46" t="str">
        <f t="shared" si="14"/>
        <v/>
      </c>
      <c r="L45" s="46" t="str">
        <f t="shared" si="14"/>
        <v/>
      </c>
      <c r="M45" s="46">
        <f t="shared" si="14"/>
        <v>2175.16</v>
      </c>
      <c r="N45" s="46" t="str">
        <f t="shared" si="14"/>
        <v/>
      </c>
      <c r="O45" s="46" t="str">
        <f t="shared" si="14"/>
        <v/>
      </c>
      <c r="P45" s="46" t="str">
        <f t="shared" si="14"/>
        <v/>
      </c>
      <c r="Q45" s="46" t="str">
        <f t="shared" si="14"/>
        <v/>
      </c>
      <c r="R45" s="46" t="str">
        <f t="shared" si="14"/>
        <v/>
      </c>
      <c r="S45" s="46" t="str">
        <f t="shared" si="14"/>
        <v/>
      </c>
      <c r="T45" s="421">
        <f t="shared" si="11"/>
        <v>2175.16</v>
      </c>
    </row>
    <row r="46" spans="1:20" ht="24" customHeight="1">
      <c r="A46" s="587" t="s">
        <v>495</v>
      </c>
      <c r="B46" s="588" t="str">
        <f>_xlfn.XLOOKUP(A46,'PLANILHA ORCAMENTARIA'!$A$12:$A$72,'PLANILHA ORCAMENTARIA'!$C$12:$C$72)</f>
        <v>PINTURA LÁTEX ACRÍLICA STANDARD, APLICAÇÃO MANUAL EM PAREDES, DUAS DEMÃOS. AF_04/2023 (GRUPO A - CARRO 2)</v>
      </c>
      <c r="C46" s="589">
        <f>_xlfn.XLOOKUP(A46,'PLANILHA ORCAMENTARIA'!$A$12:$A$72,'PLANILHA ORCAMENTARIA'!$J$12:$J$72)</f>
        <v>2175.16</v>
      </c>
      <c r="D46" s="423"/>
      <c r="E46" s="423"/>
      <c r="F46" s="423"/>
      <c r="G46" s="423"/>
      <c r="H46" s="423"/>
      <c r="I46" s="423"/>
      <c r="J46" s="423"/>
      <c r="K46" s="423"/>
      <c r="L46" s="423"/>
      <c r="M46" s="423">
        <v>1</v>
      </c>
      <c r="N46" s="423"/>
      <c r="O46" s="423"/>
      <c r="P46" s="423"/>
      <c r="Q46" s="423">
        <v>0</v>
      </c>
      <c r="R46" s="423"/>
      <c r="S46" s="423"/>
      <c r="T46" s="420">
        <f t="shared" si="11"/>
        <v>1</v>
      </c>
    </row>
    <row r="47" spans="1:20" ht="24" customHeight="1">
      <c r="A47" s="587"/>
      <c r="B47" s="588"/>
      <c r="C47" s="589"/>
      <c r="D47" s="46" t="str">
        <f>IF(D46&gt;0,TRUNC($C$46*D46,2),"")</f>
        <v/>
      </c>
      <c r="E47" s="46" t="str">
        <f t="shared" ref="E47:S47" si="15">IF(E46&gt;0,TRUNC($C$46*E46,2),"")</f>
        <v/>
      </c>
      <c r="F47" s="46" t="str">
        <f t="shared" si="15"/>
        <v/>
      </c>
      <c r="G47" s="46" t="str">
        <f t="shared" si="15"/>
        <v/>
      </c>
      <c r="H47" s="46" t="str">
        <f t="shared" si="15"/>
        <v/>
      </c>
      <c r="I47" s="46" t="str">
        <f t="shared" si="15"/>
        <v/>
      </c>
      <c r="J47" s="46" t="str">
        <f t="shared" si="15"/>
        <v/>
      </c>
      <c r="K47" s="46" t="str">
        <f t="shared" si="15"/>
        <v/>
      </c>
      <c r="L47" s="46" t="str">
        <f t="shared" si="15"/>
        <v/>
      </c>
      <c r="M47" s="46">
        <f t="shared" si="15"/>
        <v>2175.16</v>
      </c>
      <c r="N47" s="46" t="str">
        <f t="shared" si="15"/>
        <v/>
      </c>
      <c r="O47" s="46" t="str">
        <f t="shared" si="15"/>
        <v/>
      </c>
      <c r="P47" s="46" t="str">
        <f t="shared" si="15"/>
        <v/>
      </c>
      <c r="Q47" s="46" t="str">
        <f t="shared" si="15"/>
        <v/>
      </c>
      <c r="R47" s="46" t="str">
        <f t="shared" si="15"/>
        <v/>
      </c>
      <c r="S47" s="46" t="str">
        <f t="shared" si="15"/>
        <v/>
      </c>
      <c r="T47" s="421">
        <f t="shared" si="11"/>
        <v>2175.16</v>
      </c>
    </row>
    <row r="48" spans="1:20" ht="24" customHeight="1">
      <c r="A48" s="587" t="s">
        <v>496</v>
      </c>
      <c r="B48" s="588" t="str">
        <f>_xlfn.XLOOKUP(A48,'PLANILHA ORCAMENTARIA'!$A$12:$A$72,'PLANILHA ORCAMENTARIA'!$C$12:$C$72)</f>
        <v>PINTURA LÁTEX ACRÍLICA STANDARD, APLICAÇÃO MANUAL EM PAREDES, DUAS DEMÃOS. AF_04/2023 (GRUPO A - CARRO 3)</v>
      </c>
      <c r="C48" s="589">
        <f>_xlfn.XLOOKUP(A48,'PLANILHA ORCAMENTARIA'!$A$12:$A$72,'PLANILHA ORCAMENTARIA'!$J$12:$J$72)</f>
        <v>2175.16</v>
      </c>
      <c r="D48" s="423"/>
      <c r="E48" s="423"/>
      <c r="F48" s="423"/>
      <c r="G48" s="423"/>
      <c r="H48" s="423"/>
      <c r="I48" s="423"/>
      <c r="J48" s="423"/>
      <c r="K48" s="423"/>
      <c r="L48" s="423"/>
      <c r="M48" s="423"/>
      <c r="N48" s="423"/>
      <c r="O48" s="423"/>
      <c r="P48" s="423"/>
      <c r="Q48" s="423">
        <v>1</v>
      </c>
      <c r="R48" s="423"/>
      <c r="S48" s="423"/>
      <c r="T48" s="420">
        <f t="shared" si="11"/>
        <v>1</v>
      </c>
    </row>
    <row r="49" spans="1:20" ht="24" customHeight="1">
      <c r="A49" s="587"/>
      <c r="B49" s="588"/>
      <c r="C49" s="589"/>
      <c r="D49" s="46" t="str">
        <f>IF(D48&gt;0,TRUNC($C$48*D48,2),"")</f>
        <v/>
      </c>
      <c r="E49" s="46" t="str">
        <f t="shared" ref="E49:S49" si="16">IF(E48&gt;0,TRUNC($C$48*E48,2),"")</f>
        <v/>
      </c>
      <c r="F49" s="46" t="str">
        <f t="shared" si="16"/>
        <v/>
      </c>
      <c r="G49" s="46" t="str">
        <f t="shared" si="16"/>
        <v/>
      </c>
      <c r="H49" s="46" t="str">
        <f t="shared" si="16"/>
        <v/>
      </c>
      <c r="I49" s="46" t="str">
        <f t="shared" si="16"/>
        <v/>
      </c>
      <c r="J49" s="46" t="str">
        <f t="shared" si="16"/>
        <v/>
      </c>
      <c r="K49" s="46" t="str">
        <f t="shared" si="16"/>
        <v/>
      </c>
      <c r="L49" s="46" t="str">
        <f t="shared" si="16"/>
        <v/>
      </c>
      <c r="M49" s="46" t="str">
        <f t="shared" si="16"/>
        <v/>
      </c>
      <c r="N49" s="46" t="str">
        <f t="shared" si="16"/>
        <v/>
      </c>
      <c r="O49" s="46" t="str">
        <f t="shared" si="16"/>
        <v/>
      </c>
      <c r="P49" s="46" t="str">
        <f t="shared" si="16"/>
        <v/>
      </c>
      <c r="Q49" s="46">
        <f t="shared" si="16"/>
        <v>2175.16</v>
      </c>
      <c r="R49" s="46" t="str">
        <f t="shared" si="16"/>
        <v/>
      </c>
      <c r="S49" s="46" t="str">
        <f t="shared" si="16"/>
        <v/>
      </c>
      <c r="T49" s="421">
        <f t="shared" si="11"/>
        <v>2175.16</v>
      </c>
    </row>
    <row r="50" spans="1:20" ht="24" customHeight="1">
      <c r="A50" s="587" t="s">
        <v>497</v>
      </c>
      <c r="B50" s="588" t="str">
        <f>_xlfn.XLOOKUP(A50,'PLANILHA ORCAMENTARIA'!$A$12:$A$72,'PLANILHA ORCAMENTARIA'!$C$12:$C$72)</f>
        <v>PINTURA LÁTEX ACRÍLICA STANDARD, APLICAÇÃO MANUAL EM PAREDES, DUAS DEMÃOS. AF_04/2023 (GRUPO B)</v>
      </c>
      <c r="C50" s="589">
        <f>_xlfn.XLOOKUP(A50,'PLANILHA ORCAMENTARIA'!$A$12:$A$72,'PLANILHA ORCAMENTARIA'!$J$12:$J$72)</f>
        <v>2665.61</v>
      </c>
      <c r="D50" s="423"/>
      <c r="E50" s="423"/>
      <c r="F50" s="423"/>
      <c r="G50" s="423"/>
      <c r="H50" s="423"/>
      <c r="I50" s="423"/>
      <c r="J50" s="423"/>
      <c r="K50" s="423"/>
      <c r="L50" s="423"/>
      <c r="M50" s="423"/>
      <c r="N50" s="423"/>
      <c r="O50" s="423"/>
      <c r="P50" s="423"/>
      <c r="Q50" s="423">
        <v>1</v>
      </c>
      <c r="R50" s="423"/>
      <c r="S50" s="423"/>
      <c r="T50" s="420">
        <f t="shared" si="11"/>
        <v>1</v>
      </c>
    </row>
    <row r="51" spans="1:20" ht="24" customHeight="1">
      <c r="A51" s="587"/>
      <c r="B51" s="588"/>
      <c r="C51" s="589"/>
      <c r="D51" s="46" t="str">
        <f>IF(D50&gt;0,TRUNC($C$50*D50,2),"")</f>
        <v/>
      </c>
      <c r="E51" s="46" t="str">
        <f t="shared" ref="E51:S51" si="17">IF(E50&gt;0,TRUNC($C$50*E50,2),"")</f>
        <v/>
      </c>
      <c r="F51" s="46" t="str">
        <f t="shared" si="17"/>
        <v/>
      </c>
      <c r="G51" s="46" t="str">
        <f t="shared" si="17"/>
        <v/>
      </c>
      <c r="H51" s="46" t="str">
        <f t="shared" si="17"/>
        <v/>
      </c>
      <c r="I51" s="46" t="str">
        <f t="shared" si="17"/>
        <v/>
      </c>
      <c r="J51" s="46" t="str">
        <f t="shared" si="17"/>
        <v/>
      </c>
      <c r="K51" s="46" t="str">
        <f t="shared" si="17"/>
        <v/>
      </c>
      <c r="L51" s="46" t="str">
        <f t="shared" si="17"/>
        <v/>
      </c>
      <c r="M51" s="46" t="str">
        <f t="shared" si="17"/>
        <v/>
      </c>
      <c r="N51" s="46" t="str">
        <f t="shared" si="17"/>
        <v/>
      </c>
      <c r="O51" s="46" t="str">
        <f t="shared" si="17"/>
        <v/>
      </c>
      <c r="P51" s="46" t="str">
        <f t="shared" si="17"/>
        <v/>
      </c>
      <c r="Q51" s="46">
        <f t="shared" si="17"/>
        <v>2665.61</v>
      </c>
      <c r="R51" s="46" t="str">
        <f t="shared" si="17"/>
        <v/>
      </c>
      <c r="S51" s="46" t="str">
        <f t="shared" si="17"/>
        <v/>
      </c>
      <c r="T51" s="421">
        <f t="shared" si="11"/>
        <v>2665.61</v>
      </c>
    </row>
    <row r="52" spans="1:20" ht="24" customHeight="1">
      <c r="A52" s="587" t="s">
        <v>498</v>
      </c>
      <c r="B52" s="588" t="str">
        <f>_xlfn.XLOOKUP(A52,'PLANILHA ORCAMENTARIA'!$A$12:$A$72,'PLANILHA ORCAMENTARIA'!$C$12:$C$72)</f>
        <v>PORTAL EM GRANITO CINZA ANDORINHA PARA PORTA DE ELEVADOR - FORNECIMENTO E INSTALAÇÃO (GRUPO A - CARRO 1)</v>
      </c>
      <c r="C52" s="589">
        <f>_xlfn.XLOOKUP(A52,'PLANILHA ORCAMENTARIA'!$A$12:$A$72,'PLANILHA ORCAMENTARIA'!$J$12:$J$72)</f>
        <v>9134.5300000000007</v>
      </c>
      <c r="D52" s="423"/>
      <c r="E52" s="423"/>
      <c r="F52" s="423"/>
      <c r="G52" s="423"/>
      <c r="H52" s="423"/>
      <c r="I52" s="423"/>
      <c r="J52" s="423"/>
      <c r="K52" s="423"/>
      <c r="L52" s="423"/>
      <c r="M52" s="423"/>
      <c r="N52" s="423"/>
      <c r="O52" s="423">
        <v>1</v>
      </c>
      <c r="P52" s="423"/>
      <c r="Q52" s="423"/>
      <c r="R52" s="423"/>
      <c r="S52" s="423"/>
      <c r="T52" s="420">
        <f t="shared" si="11"/>
        <v>1</v>
      </c>
    </row>
    <row r="53" spans="1:20" ht="24" customHeight="1">
      <c r="A53" s="587"/>
      <c r="B53" s="588"/>
      <c r="C53" s="589"/>
      <c r="D53" s="46" t="str">
        <f>IF(D52&gt;0,TRUNC($C$52*D52,2),"")</f>
        <v/>
      </c>
      <c r="E53" s="46" t="str">
        <f t="shared" ref="E53:S53" si="18">IF(E52&gt;0,TRUNC($C$52*E52,2),"")</f>
        <v/>
      </c>
      <c r="F53" s="46" t="str">
        <f t="shared" si="18"/>
        <v/>
      </c>
      <c r="G53" s="46" t="str">
        <f t="shared" si="18"/>
        <v/>
      </c>
      <c r="H53" s="46" t="str">
        <f t="shared" si="18"/>
        <v/>
      </c>
      <c r="I53" s="46" t="str">
        <f t="shared" si="18"/>
        <v/>
      </c>
      <c r="J53" s="46" t="str">
        <f t="shared" si="18"/>
        <v/>
      </c>
      <c r="K53" s="46" t="str">
        <f t="shared" si="18"/>
        <v/>
      </c>
      <c r="L53" s="46" t="str">
        <f t="shared" si="18"/>
        <v/>
      </c>
      <c r="M53" s="46" t="str">
        <f t="shared" si="18"/>
        <v/>
      </c>
      <c r="N53" s="46" t="str">
        <f t="shared" si="18"/>
        <v/>
      </c>
      <c r="O53" s="46">
        <f t="shared" si="18"/>
        <v>9134.5300000000007</v>
      </c>
      <c r="P53" s="46" t="str">
        <f t="shared" si="18"/>
        <v/>
      </c>
      <c r="Q53" s="46" t="str">
        <f t="shared" si="18"/>
        <v/>
      </c>
      <c r="R53" s="46" t="str">
        <f t="shared" si="18"/>
        <v/>
      </c>
      <c r="S53" s="46" t="str">
        <f t="shared" si="18"/>
        <v/>
      </c>
      <c r="T53" s="421">
        <f t="shared" si="11"/>
        <v>9134.5300000000007</v>
      </c>
    </row>
    <row r="54" spans="1:20" ht="24" customHeight="1">
      <c r="A54" s="587" t="s">
        <v>499</v>
      </c>
      <c r="B54" s="588" t="str">
        <f>_xlfn.XLOOKUP(A54,'PLANILHA ORCAMENTARIA'!$A$12:$A$72,'PLANILHA ORCAMENTARIA'!$C$12:$C$72)</f>
        <v>PORTAL EM GRANITO CINZA ANDORINHA PARA PORTA DE ELEVADOR - FORNECIMENTO E INSTALAÇÃO (GRUPO A - CARRO 2)</v>
      </c>
      <c r="C54" s="589">
        <f>_xlfn.XLOOKUP(A54,'PLANILHA ORCAMENTARIA'!$A$12:$A$72,'PLANILHA ORCAMENTARIA'!$J$12:$J$72)</f>
        <v>9134.5300000000007</v>
      </c>
      <c r="D54" s="423"/>
      <c r="E54" s="423"/>
      <c r="F54" s="423"/>
      <c r="G54" s="423"/>
      <c r="H54" s="423"/>
      <c r="I54" s="423"/>
      <c r="J54" s="423"/>
      <c r="K54" s="423"/>
      <c r="L54" s="423"/>
      <c r="M54" s="423"/>
      <c r="N54" s="423"/>
      <c r="O54" s="423">
        <v>1</v>
      </c>
      <c r="P54" s="423"/>
      <c r="Q54" s="423"/>
      <c r="R54" s="423"/>
      <c r="S54" s="423"/>
      <c r="T54" s="420">
        <f t="shared" si="11"/>
        <v>1</v>
      </c>
    </row>
    <row r="55" spans="1:20" ht="24" customHeight="1">
      <c r="A55" s="587"/>
      <c r="B55" s="588"/>
      <c r="C55" s="589"/>
      <c r="D55" s="46" t="str">
        <f>IF(D54&gt;0,TRUNC($C$54*D54,2),"")</f>
        <v/>
      </c>
      <c r="E55" s="46" t="str">
        <f t="shared" ref="E55:S55" si="19">IF(E54&gt;0,TRUNC($C$54*E54,2),"")</f>
        <v/>
      </c>
      <c r="F55" s="46" t="str">
        <f t="shared" si="19"/>
        <v/>
      </c>
      <c r="G55" s="46" t="str">
        <f t="shared" si="19"/>
        <v/>
      </c>
      <c r="H55" s="46" t="str">
        <f t="shared" si="19"/>
        <v/>
      </c>
      <c r="I55" s="46" t="str">
        <f t="shared" si="19"/>
        <v/>
      </c>
      <c r="J55" s="46" t="str">
        <f t="shared" si="19"/>
        <v/>
      </c>
      <c r="K55" s="46" t="str">
        <f t="shared" si="19"/>
        <v/>
      </c>
      <c r="L55" s="46" t="str">
        <f t="shared" si="19"/>
        <v/>
      </c>
      <c r="M55" s="46" t="str">
        <f t="shared" si="19"/>
        <v/>
      </c>
      <c r="N55" s="46" t="str">
        <f t="shared" si="19"/>
        <v/>
      </c>
      <c r="O55" s="46">
        <f t="shared" si="19"/>
        <v>9134.5300000000007</v>
      </c>
      <c r="P55" s="46" t="str">
        <f t="shared" si="19"/>
        <v/>
      </c>
      <c r="Q55" s="46" t="str">
        <f t="shared" si="19"/>
        <v/>
      </c>
      <c r="R55" s="46" t="str">
        <f t="shared" si="19"/>
        <v/>
      </c>
      <c r="S55" s="46" t="str">
        <f t="shared" si="19"/>
        <v/>
      </c>
      <c r="T55" s="421">
        <f t="shared" si="11"/>
        <v>9134.5300000000007</v>
      </c>
    </row>
    <row r="56" spans="1:20" ht="24" customHeight="1">
      <c r="A56" s="587" t="s">
        <v>500</v>
      </c>
      <c r="B56" s="588" t="str">
        <f>_xlfn.XLOOKUP(A56,'PLANILHA ORCAMENTARIA'!$A$12:$A$72,'PLANILHA ORCAMENTARIA'!$C$12:$C$72)</f>
        <v>PORTAL EM GRANITO CINZA ANDORINHA PARA PORTA DE ELEVADOR - FORNECIMENTO E INSTALAÇÃO (GRUPO A - CARRO 3)</v>
      </c>
      <c r="C56" s="589">
        <f>_xlfn.XLOOKUP(A56,'PLANILHA ORCAMENTARIA'!$A$12:$A$72,'PLANILHA ORCAMENTARIA'!$J$12:$J$72)</f>
        <v>9134.5300000000007</v>
      </c>
      <c r="D56" s="423"/>
      <c r="E56" s="423"/>
      <c r="F56" s="423"/>
      <c r="G56" s="423"/>
      <c r="H56" s="423"/>
      <c r="I56" s="423"/>
      <c r="J56" s="423"/>
      <c r="K56" s="423"/>
      <c r="L56" s="423"/>
      <c r="M56" s="423"/>
      <c r="N56" s="423"/>
      <c r="O56" s="423"/>
      <c r="P56" s="423"/>
      <c r="Q56" s="423"/>
      <c r="R56" s="423"/>
      <c r="S56" s="423">
        <v>1</v>
      </c>
      <c r="T56" s="420">
        <f t="shared" si="11"/>
        <v>1</v>
      </c>
    </row>
    <row r="57" spans="1:20" ht="24" customHeight="1">
      <c r="A57" s="587"/>
      <c r="B57" s="588"/>
      <c r="C57" s="589"/>
      <c r="D57" s="46" t="str">
        <f>IF(D56&gt;0,TRUNC($C$56*D56,2),"")</f>
        <v/>
      </c>
      <c r="E57" s="46" t="str">
        <f t="shared" ref="E57:S57" si="20">IF(E56&gt;0,TRUNC($C$56*E56,2),"")</f>
        <v/>
      </c>
      <c r="F57" s="46" t="str">
        <f t="shared" si="20"/>
        <v/>
      </c>
      <c r="G57" s="46" t="str">
        <f t="shared" si="20"/>
        <v/>
      </c>
      <c r="H57" s="46" t="str">
        <f t="shared" si="20"/>
        <v/>
      </c>
      <c r="I57" s="46" t="str">
        <f t="shared" si="20"/>
        <v/>
      </c>
      <c r="J57" s="46" t="str">
        <f t="shared" si="20"/>
        <v/>
      </c>
      <c r="K57" s="46" t="str">
        <f t="shared" si="20"/>
        <v/>
      </c>
      <c r="L57" s="46" t="str">
        <f t="shared" si="20"/>
        <v/>
      </c>
      <c r="M57" s="46" t="str">
        <f t="shared" si="20"/>
        <v/>
      </c>
      <c r="N57" s="46" t="str">
        <f t="shared" si="20"/>
        <v/>
      </c>
      <c r="O57" s="46" t="str">
        <f t="shared" si="20"/>
        <v/>
      </c>
      <c r="P57" s="46" t="str">
        <f t="shared" si="20"/>
        <v/>
      </c>
      <c r="Q57" s="46" t="str">
        <f t="shared" si="20"/>
        <v/>
      </c>
      <c r="R57" s="46" t="str">
        <f t="shared" si="20"/>
        <v/>
      </c>
      <c r="S57" s="46">
        <f t="shared" si="20"/>
        <v>9134.5300000000007</v>
      </c>
      <c r="T57" s="421">
        <f t="shared" si="11"/>
        <v>9134.5300000000007</v>
      </c>
    </row>
    <row r="58" spans="1:20" ht="24" customHeight="1">
      <c r="A58" s="587" t="s">
        <v>501</v>
      </c>
      <c r="B58" s="588" t="str">
        <f>_xlfn.XLOOKUP(A58,'PLANILHA ORCAMENTARIA'!$A$12:$A$72,'PLANILHA ORCAMENTARIA'!$C$12:$C$72)</f>
        <v>PORTAL EM GRANITO CINZA ANDORINHA PARA PORTA DE ELEVADOR - FORNECIMENTO E INSTALAÇÃO (GRUPO B)</v>
      </c>
      <c r="C58" s="589">
        <f>_xlfn.XLOOKUP(A58,'PLANILHA ORCAMENTARIA'!$A$12:$A$72,'PLANILHA ORCAMENTARIA'!$J$12:$J$72)</f>
        <v>10961.44</v>
      </c>
      <c r="D58" s="423"/>
      <c r="E58" s="423"/>
      <c r="F58" s="423"/>
      <c r="G58" s="423"/>
      <c r="H58" s="423"/>
      <c r="I58" s="423"/>
      <c r="J58" s="423"/>
      <c r="K58" s="423"/>
      <c r="L58" s="423"/>
      <c r="M58" s="423"/>
      <c r="N58" s="423"/>
      <c r="O58" s="423"/>
      <c r="P58" s="423"/>
      <c r="Q58" s="423"/>
      <c r="R58" s="423"/>
      <c r="S58" s="423">
        <v>1</v>
      </c>
      <c r="T58" s="420">
        <f t="shared" si="11"/>
        <v>1</v>
      </c>
    </row>
    <row r="59" spans="1:20" ht="24" customHeight="1">
      <c r="A59" s="587"/>
      <c r="B59" s="588"/>
      <c r="C59" s="589"/>
      <c r="D59" s="46" t="str">
        <f>IF(D58&gt;0,TRUNC($C$58*D58,2),"")</f>
        <v/>
      </c>
      <c r="E59" s="46" t="str">
        <f t="shared" ref="E59:S59" si="21">IF(E58&gt;0,TRUNC($C$58*E58,2),"")</f>
        <v/>
      </c>
      <c r="F59" s="46" t="str">
        <f t="shared" si="21"/>
        <v/>
      </c>
      <c r="G59" s="46" t="str">
        <f t="shared" si="21"/>
        <v/>
      </c>
      <c r="H59" s="46" t="str">
        <f t="shared" si="21"/>
        <v/>
      </c>
      <c r="I59" s="46" t="str">
        <f t="shared" si="21"/>
        <v/>
      </c>
      <c r="J59" s="46" t="str">
        <f t="shared" si="21"/>
        <v/>
      </c>
      <c r="K59" s="46" t="str">
        <f t="shared" si="21"/>
        <v/>
      </c>
      <c r="L59" s="46" t="str">
        <f t="shared" si="21"/>
        <v/>
      </c>
      <c r="M59" s="46" t="str">
        <f t="shared" si="21"/>
        <v/>
      </c>
      <c r="N59" s="46" t="str">
        <f t="shared" si="21"/>
        <v/>
      </c>
      <c r="O59" s="46" t="str">
        <f t="shared" si="21"/>
        <v/>
      </c>
      <c r="P59" s="46" t="str">
        <f t="shared" si="21"/>
        <v/>
      </c>
      <c r="Q59" s="46" t="str">
        <f t="shared" si="21"/>
        <v/>
      </c>
      <c r="R59" s="46" t="str">
        <f t="shared" si="21"/>
        <v/>
      </c>
      <c r="S59" s="46">
        <f t="shared" si="21"/>
        <v>10961.44</v>
      </c>
      <c r="T59" s="421">
        <f t="shared" si="11"/>
        <v>10961.44</v>
      </c>
    </row>
    <row r="60" spans="1:20" ht="24" customHeight="1">
      <c r="A60" s="587" t="s">
        <v>502</v>
      </c>
      <c r="B60" s="588" t="str">
        <f>_xlfn.XLOOKUP(A60,'PLANILHA ORCAMENTARIA'!$A$12:$A$72,'PLANILHA ORCAMENTARIA'!$C$12:$C$72)</f>
        <v>SOLEIRA EM GRANITO, LARGURA 25 CM, ESPESSURA 2,0 CM FORNECIMENTO E INSTALAÇÃO (GRUPO A - CARRO 1)</v>
      </c>
      <c r="C60" s="589">
        <f>_xlfn.XLOOKUP(A60,'PLANILHA ORCAMENTARIA'!$A$12:$A$72,'PLANILHA ORCAMENTARIA'!$J$12:$J$72)</f>
        <v>790.12</v>
      </c>
      <c r="D60" s="423"/>
      <c r="E60" s="423"/>
      <c r="F60" s="423"/>
      <c r="G60" s="423"/>
      <c r="H60" s="423"/>
      <c r="I60" s="423"/>
      <c r="J60" s="423"/>
      <c r="K60" s="423"/>
      <c r="L60" s="423"/>
      <c r="M60" s="423"/>
      <c r="N60" s="423"/>
      <c r="O60" s="423">
        <v>1</v>
      </c>
      <c r="P60" s="423"/>
      <c r="Q60" s="423"/>
      <c r="R60" s="423"/>
      <c r="S60" s="423"/>
      <c r="T60" s="420">
        <f t="shared" si="11"/>
        <v>1</v>
      </c>
    </row>
    <row r="61" spans="1:20" ht="24" customHeight="1">
      <c r="A61" s="587"/>
      <c r="B61" s="588"/>
      <c r="C61" s="589"/>
      <c r="D61" s="46" t="str">
        <f>IF(D60&gt;0,TRUNC($C$60*D60,2),"")</f>
        <v/>
      </c>
      <c r="E61" s="46" t="str">
        <f t="shared" ref="E61:S61" si="22">IF(E60&gt;0,TRUNC($C$60*E60,2),"")</f>
        <v/>
      </c>
      <c r="F61" s="46" t="str">
        <f t="shared" si="22"/>
        <v/>
      </c>
      <c r="G61" s="46" t="str">
        <f t="shared" si="22"/>
        <v/>
      </c>
      <c r="H61" s="46" t="str">
        <f t="shared" si="22"/>
        <v/>
      </c>
      <c r="I61" s="46" t="str">
        <f t="shared" si="22"/>
        <v/>
      </c>
      <c r="J61" s="46" t="str">
        <f t="shared" si="22"/>
        <v/>
      </c>
      <c r="K61" s="46" t="str">
        <f t="shared" si="22"/>
        <v/>
      </c>
      <c r="L61" s="46" t="str">
        <f t="shared" si="22"/>
        <v/>
      </c>
      <c r="M61" s="46" t="str">
        <f t="shared" si="22"/>
        <v/>
      </c>
      <c r="N61" s="46" t="str">
        <f t="shared" si="22"/>
        <v/>
      </c>
      <c r="O61" s="46">
        <f t="shared" si="22"/>
        <v>790.12</v>
      </c>
      <c r="P61" s="46" t="str">
        <f t="shared" si="22"/>
        <v/>
      </c>
      <c r="Q61" s="46" t="str">
        <f t="shared" si="22"/>
        <v/>
      </c>
      <c r="R61" s="46" t="str">
        <f t="shared" si="22"/>
        <v/>
      </c>
      <c r="S61" s="46" t="str">
        <f t="shared" si="22"/>
        <v/>
      </c>
      <c r="T61" s="421">
        <f t="shared" si="11"/>
        <v>790.12</v>
      </c>
    </row>
    <row r="62" spans="1:20" ht="24" customHeight="1">
      <c r="A62" s="587" t="s">
        <v>503</v>
      </c>
      <c r="B62" s="588" t="str">
        <f>_xlfn.XLOOKUP(A62,'PLANILHA ORCAMENTARIA'!$A$12:$A$72,'PLANILHA ORCAMENTARIA'!$C$12:$C$72)</f>
        <v>SOLEIRA EM GRANITO, LARGURA 25 CM, ESPESSURA 2,0 CM FORNECIMENTO E INSTALAÇÃO (GRUPO A - CARRO 2)</v>
      </c>
      <c r="C62" s="589">
        <f>_xlfn.XLOOKUP(A62,'PLANILHA ORCAMENTARIA'!$A$12:$A$72,'PLANILHA ORCAMENTARIA'!$J$12:$J$72)</f>
        <v>790.12</v>
      </c>
      <c r="D62" s="423"/>
      <c r="E62" s="423"/>
      <c r="F62" s="423"/>
      <c r="G62" s="423"/>
      <c r="H62" s="423"/>
      <c r="I62" s="423"/>
      <c r="J62" s="423"/>
      <c r="K62" s="423"/>
      <c r="L62" s="423"/>
      <c r="M62" s="423"/>
      <c r="N62" s="423"/>
      <c r="O62" s="423">
        <v>1</v>
      </c>
      <c r="P62" s="423"/>
      <c r="Q62" s="423"/>
      <c r="R62" s="423"/>
      <c r="S62" s="423"/>
      <c r="T62" s="420">
        <f t="shared" si="11"/>
        <v>1</v>
      </c>
    </row>
    <row r="63" spans="1:20" ht="24" customHeight="1">
      <c r="A63" s="587"/>
      <c r="B63" s="588"/>
      <c r="C63" s="589"/>
      <c r="D63" s="46" t="str">
        <f>IF(D62&gt;0,TRUNC($C$62*D62,2),"")</f>
        <v/>
      </c>
      <c r="E63" s="46" t="str">
        <f t="shared" ref="E63:S63" si="23">IF(E62&gt;0,TRUNC($C$62*E62,2),"")</f>
        <v/>
      </c>
      <c r="F63" s="46" t="str">
        <f t="shared" si="23"/>
        <v/>
      </c>
      <c r="G63" s="46" t="str">
        <f t="shared" si="23"/>
        <v/>
      </c>
      <c r="H63" s="46" t="str">
        <f t="shared" si="23"/>
        <v/>
      </c>
      <c r="I63" s="46" t="str">
        <f t="shared" si="23"/>
        <v/>
      </c>
      <c r="J63" s="46" t="str">
        <f t="shared" si="23"/>
        <v/>
      </c>
      <c r="K63" s="46" t="str">
        <f t="shared" si="23"/>
        <v/>
      </c>
      <c r="L63" s="46" t="str">
        <f t="shared" si="23"/>
        <v/>
      </c>
      <c r="M63" s="46" t="str">
        <f t="shared" si="23"/>
        <v/>
      </c>
      <c r="N63" s="46" t="str">
        <f t="shared" si="23"/>
        <v/>
      </c>
      <c r="O63" s="46">
        <f t="shared" si="23"/>
        <v>790.12</v>
      </c>
      <c r="P63" s="46" t="str">
        <f t="shared" si="23"/>
        <v/>
      </c>
      <c r="Q63" s="46" t="str">
        <f t="shared" si="23"/>
        <v/>
      </c>
      <c r="R63" s="46" t="str">
        <f t="shared" si="23"/>
        <v/>
      </c>
      <c r="S63" s="46" t="str">
        <f t="shared" si="23"/>
        <v/>
      </c>
      <c r="T63" s="421">
        <f t="shared" si="11"/>
        <v>790.12</v>
      </c>
    </row>
    <row r="64" spans="1:20" ht="24" customHeight="1">
      <c r="A64" s="587" t="s">
        <v>504</v>
      </c>
      <c r="B64" s="588" t="str">
        <f>_xlfn.XLOOKUP(A64,'PLANILHA ORCAMENTARIA'!$A$12:$A$72,'PLANILHA ORCAMENTARIA'!$C$12:$C$72)</f>
        <v>SOLEIRA EM GRANITO, LARGURA 25 CM, ESPESSURA 2,0 CM FORNECIMENTO E INSTALAÇÃO (GRUPO A - CARRO 3)</v>
      </c>
      <c r="C64" s="589">
        <f>_xlfn.XLOOKUP(A64,'PLANILHA ORCAMENTARIA'!$A$12:$A$72,'PLANILHA ORCAMENTARIA'!$J$12:$J$72)</f>
        <v>790.12</v>
      </c>
      <c r="D64" s="423"/>
      <c r="E64" s="423"/>
      <c r="F64" s="423"/>
      <c r="G64" s="423"/>
      <c r="H64" s="423"/>
      <c r="I64" s="423"/>
      <c r="J64" s="423"/>
      <c r="K64" s="423"/>
      <c r="L64" s="423"/>
      <c r="M64" s="423"/>
      <c r="N64" s="423"/>
      <c r="O64" s="423"/>
      <c r="P64" s="423"/>
      <c r="Q64" s="423"/>
      <c r="R64" s="423"/>
      <c r="S64" s="423">
        <v>1</v>
      </c>
      <c r="T64" s="420">
        <f t="shared" si="11"/>
        <v>1</v>
      </c>
    </row>
    <row r="65" spans="1:20" ht="24" customHeight="1">
      <c r="A65" s="587"/>
      <c r="B65" s="588"/>
      <c r="C65" s="589"/>
      <c r="D65" s="46" t="str">
        <f>IF(D64&gt;0,TRUNC($C$64*D64,2),"")</f>
        <v/>
      </c>
      <c r="E65" s="46" t="str">
        <f t="shared" ref="E65:S65" si="24">IF(E64&gt;0,TRUNC($C$64*E64,2),"")</f>
        <v/>
      </c>
      <c r="F65" s="46" t="str">
        <f t="shared" si="24"/>
        <v/>
      </c>
      <c r="G65" s="46" t="str">
        <f t="shared" si="24"/>
        <v/>
      </c>
      <c r="H65" s="46" t="str">
        <f t="shared" si="24"/>
        <v/>
      </c>
      <c r="I65" s="46" t="str">
        <f t="shared" si="24"/>
        <v/>
      </c>
      <c r="J65" s="46" t="str">
        <f t="shared" si="24"/>
        <v/>
      </c>
      <c r="K65" s="46" t="str">
        <f t="shared" si="24"/>
        <v/>
      </c>
      <c r="L65" s="46" t="str">
        <f t="shared" si="24"/>
        <v/>
      </c>
      <c r="M65" s="46" t="str">
        <f t="shared" si="24"/>
        <v/>
      </c>
      <c r="N65" s="46" t="str">
        <f t="shared" si="24"/>
        <v/>
      </c>
      <c r="O65" s="46" t="str">
        <f t="shared" si="24"/>
        <v/>
      </c>
      <c r="P65" s="46" t="str">
        <f t="shared" si="24"/>
        <v/>
      </c>
      <c r="Q65" s="46" t="str">
        <f t="shared" si="24"/>
        <v/>
      </c>
      <c r="R65" s="46" t="str">
        <f t="shared" si="24"/>
        <v/>
      </c>
      <c r="S65" s="46">
        <f t="shared" si="24"/>
        <v>790.12</v>
      </c>
      <c r="T65" s="421">
        <f t="shared" si="11"/>
        <v>790.12</v>
      </c>
    </row>
    <row r="66" spans="1:20" ht="24" customHeight="1">
      <c r="A66" s="587" t="s">
        <v>505</v>
      </c>
      <c r="B66" s="588" t="str">
        <f>_xlfn.XLOOKUP(A66,'PLANILHA ORCAMENTARIA'!$A$12:$A$72,'PLANILHA ORCAMENTARIA'!$C$12:$C$72)</f>
        <v>SOLEIRA EM GRANITO, LARGURA 25 CM, ESPESSURA 2,0 CM FORNECIMENTO E INSTALAÇÃO (GRUPO B)</v>
      </c>
      <c r="C66" s="589">
        <f>_xlfn.XLOOKUP(A66,'PLANILHA ORCAMENTARIA'!$A$12:$A$72,'PLANILHA ORCAMENTARIA'!$J$12:$J$72)</f>
        <v>948.14</v>
      </c>
      <c r="D66" s="423"/>
      <c r="E66" s="423"/>
      <c r="F66" s="423"/>
      <c r="G66" s="423"/>
      <c r="H66" s="423"/>
      <c r="I66" s="423"/>
      <c r="J66" s="423"/>
      <c r="K66" s="423"/>
      <c r="L66" s="423"/>
      <c r="M66" s="423"/>
      <c r="N66" s="423"/>
      <c r="O66" s="423"/>
      <c r="P66" s="423"/>
      <c r="Q66" s="423"/>
      <c r="R66" s="423"/>
      <c r="S66" s="423">
        <v>1</v>
      </c>
      <c r="T66" s="420">
        <f t="shared" si="11"/>
        <v>1</v>
      </c>
    </row>
    <row r="67" spans="1:20" ht="24" customHeight="1">
      <c r="A67" s="587"/>
      <c r="B67" s="588"/>
      <c r="C67" s="589"/>
      <c r="D67" s="46" t="str">
        <f>IF(D66&gt;0,TRUNC($C$66*D66,2),"")</f>
        <v/>
      </c>
      <c r="E67" s="46" t="str">
        <f t="shared" ref="E67:S67" si="25">IF(E66&gt;0,TRUNC($C$66*E66,2),"")</f>
        <v/>
      </c>
      <c r="F67" s="46" t="str">
        <f t="shared" si="25"/>
        <v/>
      </c>
      <c r="G67" s="46" t="str">
        <f t="shared" si="25"/>
        <v/>
      </c>
      <c r="H67" s="46" t="str">
        <f t="shared" si="25"/>
        <v/>
      </c>
      <c r="I67" s="46" t="str">
        <f t="shared" si="25"/>
        <v/>
      </c>
      <c r="J67" s="46" t="str">
        <f t="shared" si="25"/>
        <v/>
      </c>
      <c r="K67" s="46" t="str">
        <f t="shared" si="25"/>
        <v/>
      </c>
      <c r="L67" s="46" t="str">
        <f t="shared" si="25"/>
        <v/>
      </c>
      <c r="M67" s="46" t="str">
        <f t="shared" si="25"/>
        <v/>
      </c>
      <c r="N67" s="46" t="str">
        <f t="shared" si="25"/>
        <v/>
      </c>
      <c r="O67" s="46" t="str">
        <f t="shared" si="25"/>
        <v/>
      </c>
      <c r="P67" s="46" t="str">
        <f t="shared" si="25"/>
        <v/>
      </c>
      <c r="Q67" s="46" t="str">
        <f t="shared" si="25"/>
        <v/>
      </c>
      <c r="R67" s="46" t="str">
        <f t="shared" si="25"/>
        <v/>
      </c>
      <c r="S67" s="46">
        <f t="shared" si="25"/>
        <v>948.14</v>
      </c>
      <c r="T67" s="421">
        <f t="shared" si="11"/>
        <v>948.14</v>
      </c>
    </row>
    <row r="68" spans="1:20" ht="24" customHeight="1">
      <c r="A68" s="587">
        <v>5</v>
      </c>
      <c r="B68" s="588" t="str">
        <f>_xlfn.XLOOKUP(A68,'PLANILHA ORCAMENTARIA'!$A$12:$A$72,'PLANILHA ORCAMENTARIA'!$C$12:$C$72)</f>
        <v>FORNECIMENTO DE EQUIPAMENTOS</v>
      </c>
      <c r="C68" s="589"/>
      <c r="D68" s="423"/>
      <c r="E68" s="423"/>
      <c r="F68" s="423"/>
      <c r="G68" s="423"/>
      <c r="H68" s="423"/>
      <c r="I68" s="423"/>
      <c r="J68" s="423"/>
      <c r="K68" s="423"/>
      <c r="L68" s="423"/>
      <c r="M68" s="423"/>
      <c r="N68" s="423"/>
      <c r="O68" s="423"/>
      <c r="P68" s="423"/>
      <c r="Q68" s="423"/>
      <c r="R68" s="423"/>
      <c r="S68" s="423"/>
      <c r="T68" s="420"/>
    </row>
    <row r="69" spans="1:20" ht="24" customHeight="1">
      <c r="A69" s="587"/>
      <c r="B69" s="588"/>
      <c r="C69" s="589"/>
      <c r="D69" s="46"/>
      <c r="E69" s="46"/>
      <c r="F69" s="46"/>
      <c r="G69" s="46"/>
      <c r="H69" s="46"/>
      <c r="I69" s="46"/>
      <c r="J69" s="46"/>
      <c r="K69" s="46"/>
      <c r="L69" s="46"/>
      <c r="M69" s="46"/>
      <c r="N69" s="46"/>
      <c r="O69" s="46"/>
      <c r="P69" s="46"/>
      <c r="Q69" s="46"/>
      <c r="R69" s="46"/>
      <c r="S69" s="46"/>
      <c r="T69" s="421"/>
    </row>
    <row r="70" spans="1:20" ht="24" customHeight="1">
      <c r="A70" s="587" t="s">
        <v>52</v>
      </c>
      <c r="B70" s="588" t="str">
        <f>_xlfn.XLOOKUP(A70,'PLANILHA ORCAMENTARIA'!$A$12:$A$72,'PLANILHA ORCAMENTARIA'!$C$12:$C$72)</f>
        <v>FORNECIMENTO DE ELEVADOR COMERCIAL- 5 PARADAS - 1,00M/S - CAP. 10/11 PASSAGEIROS</v>
      </c>
      <c r="C70" s="589">
        <f>_xlfn.XLOOKUP(A70,'PLANILHA ORCAMENTARIA'!$A$12:$A$72,'PLANILHA ORCAMENTARIA'!$J$12:$J$72)</f>
        <v>691121.46</v>
      </c>
      <c r="D70" s="423">
        <v>0.11</v>
      </c>
      <c r="E70" s="423">
        <v>0.11</v>
      </c>
      <c r="F70" s="423">
        <v>0.11</v>
      </c>
      <c r="G70" s="423">
        <v>0.11</v>
      </c>
      <c r="H70" s="423">
        <v>0.11</v>
      </c>
      <c r="I70" s="423">
        <v>0.11</v>
      </c>
      <c r="J70" s="423">
        <v>0.11</v>
      </c>
      <c r="K70" s="423">
        <v>0.11</v>
      </c>
      <c r="L70" s="423"/>
      <c r="M70" s="423"/>
      <c r="N70" s="423"/>
      <c r="O70" s="423">
        <v>0.08</v>
      </c>
      <c r="P70" s="423"/>
      <c r="Q70" s="423"/>
      <c r="R70" s="423"/>
      <c r="S70" s="423">
        <v>0.04</v>
      </c>
      <c r="T70" s="420">
        <f>SUM(D70:S70)</f>
        <v>1</v>
      </c>
    </row>
    <row r="71" spans="1:20" ht="24" customHeight="1">
      <c r="A71" s="587"/>
      <c r="B71" s="588"/>
      <c r="C71" s="589"/>
      <c r="D71" s="46">
        <f>IF(D70&gt;0,TRUNC($C$70*D70,2),"")</f>
        <v>76023.360000000001</v>
      </c>
      <c r="E71" s="46">
        <f t="shared" ref="E71:S71" si="26">IF(E70&gt;0,TRUNC($C$70*E70,2),"")</f>
        <v>76023.360000000001</v>
      </c>
      <c r="F71" s="46">
        <f t="shared" si="26"/>
        <v>76023.360000000001</v>
      </c>
      <c r="G71" s="46">
        <f t="shared" si="26"/>
        <v>76023.360000000001</v>
      </c>
      <c r="H71" s="46">
        <f t="shared" si="26"/>
        <v>76023.360000000001</v>
      </c>
      <c r="I71" s="46">
        <f t="shared" si="26"/>
        <v>76023.360000000001</v>
      </c>
      <c r="J71" s="46">
        <f t="shared" si="26"/>
        <v>76023.360000000001</v>
      </c>
      <c r="K71" s="46">
        <f t="shared" si="26"/>
        <v>76023.360000000001</v>
      </c>
      <c r="L71" s="46" t="str">
        <f t="shared" si="26"/>
        <v/>
      </c>
      <c r="M71" s="46" t="str">
        <f t="shared" si="26"/>
        <v/>
      </c>
      <c r="N71" s="46" t="str">
        <f t="shared" si="26"/>
        <v/>
      </c>
      <c r="O71" s="46">
        <f t="shared" si="26"/>
        <v>55289.71</v>
      </c>
      <c r="P71" s="46" t="str">
        <f t="shared" si="26"/>
        <v/>
      </c>
      <c r="Q71" s="46" t="str">
        <f t="shared" si="26"/>
        <v/>
      </c>
      <c r="R71" s="46" t="str">
        <f t="shared" si="26"/>
        <v/>
      </c>
      <c r="S71" s="46">
        <f t="shared" si="26"/>
        <v>27644.85</v>
      </c>
      <c r="T71" s="421">
        <f>SUM(D71:S71)</f>
        <v>691121.44</v>
      </c>
    </row>
    <row r="72" spans="1:20" ht="24" customHeight="1">
      <c r="A72" s="587" t="s">
        <v>53</v>
      </c>
      <c r="B72" s="588" t="str">
        <f>_xlfn.XLOOKUP(A72,'PLANILHA ORCAMENTARIA'!$A$12:$A$72,'PLANILHA ORCAMENTARIA'!$C$12:$C$72)</f>
        <v>FORNECIMENTO DE ELEVADOR COMERCIAL- 6 PARADAS - 1,00M/S - CAP. 10/11 PASSAGEIROS</v>
      </c>
      <c r="C72" s="589">
        <f>_xlfn.XLOOKUP(A72,'PLANILHA ORCAMENTARIA'!$A$12:$A$72,'PLANILHA ORCAMENTARIA'!$J$12:$J$72)</f>
        <v>276448.59000000003</v>
      </c>
      <c r="D72" s="423">
        <v>0.11</v>
      </c>
      <c r="E72" s="423">
        <v>0.11</v>
      </c>
      <c r="F72" s="423">
        <v>0.11</v>
      </c>
      <c r="G72" s="423">
        <v>0.11</v>
      </c>
      <c r="H72" s="423">
        <v>0.11</v>
      </c>
      <c r="I72" s="423">
        <v>0.11</v>
      </c>
      <c r="J72" s="423">
        <v>0.11</v>
      </c>
      <c r="K72" s="423">
        <v>0.11</v>
      </c>
      <c r="L72" s="423"/>
      <c r="M72" s="423"/>
      <c r="N72" s="423"/>
      <c r="O72" s="423"/>
      <c r="P72" s="423"/>
      <c r="Q72" s="423"/>
      <c r="R72" s="423"/>
      <c r="S72" s="423">
        <v>0.12</v>
      </c>
      <c r="T72" s="420">
        <f>SUM(D72:S72)</f>
        <v>1</v>
      </c>
    </row>
    <row r="73" spans="1:20" ht="24" customHeight="1">
      <c r="A73" s="587"/>
      <c r="B73" s="588"/>
      <c r="C73" s="589"/>
      <c r="D73" s="46">
        <f>IF(D72&gt;0,TRUNC($C$72*D72,2),"")</f>
        <v>30409.34</v>
      </c>
      <c r="E73" s="46">
        <f t="shared" ref="E73:S73" si="27">IF(E72&gt;0,TRUNC($C$72*E72,2),"")</f>
        <v>30409.34</v>
      </c>
      <c r="F73" s="46">
        <f t="shared" si="27"/>
        <v>30409.34</v>
      </c>
      <c r="G73" s="46">
        <f t="shared" si="27"/>
        <v>30409.34</v>
      </c>
      <c r="H73" s="46">
        <f t="shared" si="27"/>
        <v>30409.34</v>
      </c>
      <c r="I73" s="46">
        <f t="shared" si="27"/>
        <v>30409.34</v>
      </c>
      <c r="J73" s="46">
        <f t="shared" si="27"/>
        <v>30409.34</v>
      </c>
      <c r="K73" s="46">
        <f t="shared" si="27"/>
        <v>30409.34</v>
      </c>
      <c r="L73" s="46" t="str">
        <f t="shared" si="27"/>
        <v/>
      </c>
      <c r="M73" s="46" t="str">
        <f t="shared" si="27"/>
        <v/>
      </c>
      <c r="N73" s="46" t="str">
        <f t="shared" si="27"/>
        <v/>
      </c>
      <c r="O73" s="46" t="str">
        <f t="shared" si="27"/>
        <v/>
      </c>
      <c r="P73" s="46" t="str">
        <f t="shared" si="27"/>
        <v/>
      </c>
      <c r="Q73" s="46" t="str">
        <f t="shared" si="27"/>
        <v/>
      </c>
      <c r="R73" s="46" t="str">
        <f t="shared" si="27"/>
        <v/>
      </c>
      <c r="S73" s="46">
        <f t="shared" si="27"/>
        <v>33173.83</v>
      </c>
      <c r="T73" s="421">
        <f>SUM(D73:S73)</f>
        <v>276448.55</v>
      </c>
    </row>
    <row r="74" spans="1:20" ht="24" customHeight="1">
      <c r="A74" s="587">
        <v>6</v>
      </c>
      <c r="B74" s="588" t="str">
        <f>_xlfn.XLOOKUP(A74,'PLANILHA ORCAMENTARIA'!$A$12:$A$72,'PLANILHA ORCAMENTARIA'!$C$12:$C$72)</f>
        <v>SERVIÇOS DE INSTALAÇÃO DE EQUIPAMENTOS</v>
      </c>
      <c r="C74" s="589"/>
      <c r="D74" s="423"/>
      <c r="E74" s="423"/>
      <c r="F74" s="423"/>
      <c r="G74" s="423"/>
      <c r="H74" s="423"/>
      <c r="I74" s="423"/>
      <c r="J74" s="423"/>
      <c r="K74" s="423"/>
      <c r="L74" s="423"/>
      <c r="M74" s="423"/>
      <c r="N74" s="423"/>
      <c r="O74" s="423"/>
      <c r="P74" s="423"/>
      <c r="Q74" s="423"/>
      <c r="R74" s="423"/>
      <c r="S74" s="423"/>
      <c r="T74" s="420"/>
    </row>
    <row r="75" spans="1:20" ht="24" customHeight="1">
      <c r="A75" s="587"/>
      <c r="B75" s="588"/>
      <c r="C75" s="589"/>
      <c r="D75" s="46"/>
      <c r="E75" s="46"/>
      <c r="F75" s="46"/>
      <c r="G75" s="46"/>
      <c r="H75" s="46"/>
      <c r="I75" s="46"/>
      <c r="J75" s="46"/>
      <c r="K75" s="46"/>
      <c r="L75" s="46"/>
      <c r="M75" s="46"/>
      <c r="N75" s="46"/>
      <c r="O75" s="46"/>
      <c r="P75" s="46"/>
      <c r="Q75" s="46"/>
      <c r="R75" s="46"/>
      <c r="S75" s="46"/>
      <c r="T75" s="421"/>
    </row>
    <row r="76" spans="1:20" ht="24" customHeight="1">
      <c r="A76" s="587" t="s">
        <v>733</v>
      </c>
      <c r="B76" s="588" t="str">
        <f>_xlfn.XLOOKUP(A76,'PLANILHA ORCAMENTARIA'!$A$12:$A$72,'PLANILHA ORCAMENTARIA'!$C$12:$C$72)</f>
        <v>SERVIÇO DE INSTALAÇÃO DE ELEVADOR COMERCIAL- 5 PARADAS - 1,00M/S - CAP. 10/11 PASSAGEIROS</v>
      </c>
      <c r="C76" s="589">
        <f>_xlfn.XLOOKUP(A76,'PLANILHA ORCAMENTARIA'!$A$12:$A$72,'PLANILHA ORCAMENTARIA'!$J$12:$J$72)</f>
        <v>168373.02</v>
      </c>
      <c r="D76" s="423"/>
      <c r="E76" s="423"/>
      <c r="F76" s="423"/>
      <c r="G76" s="423"/>
      <c r="H76" s="423"/>
      <c r="I76" s="423"/>
      <c r="J76" s="423"/>
      <c r="K76" s="423"/>
      <c r="L76" s="423"/>
      <c r="M76" s="423">
        <v>0.23</v>
      </c>
      <c r="N76" s="423">
        <v>0.22</v>
      </c>
      <c r="O76" s="423">
        <v>0.22</v>
      </c>
      <c r="P76" s="423"/>
      <c r="Q76" s="423">
        <v>0.11</v>
      </c>
      <c r="R76" s="423">
        <v>0.11</v>
      </c>
      <c r="S76" s="423">
        <v>0.11</v>
      </c>
      <c r="T76" s="420">
        <f>SUM(D76:S76)</f>
        <v>1</v>
      </c>
    </row>
    <row r="77" spans="1:20" ht="24" customHeight="1">
      <c r="A77" s="587"/>
      <c r="B77" s="588"/>
      <c r="C77" s="589"/>
      <c r="D77" s="46" t="str">
        <f>IF(D76&gt;0,TRUNC($C$76*D76,2),"")</f>
        <v/>
      </c>
      <c r="E77" s="46" t="str">
        <f t="shared" ref="E77:S77" si="28">IF(E76&gt;0,TRUNC($C$76*E76,2),"")</f>
        <v/>
      </c>
      <c r="F77" s="46" t="str">
        <f t="shared" si="28"/>
        <v/>
      </c>
      <c r="G77" s="46" t="str">
        <f t="shared" si="28"/>
        <v/>
      </c>
      <c r="H77" s="46" t="str">
        <f t="shared" si="28"/>
        <v/>
      </c>
      <c r="I77" s="46" t="str">
        <f t="shared" si="28"/>
        <v/>
      </c>
      <c r="J77" s="46" t="str">
        <f t="shared" si="28"/>
        <v/>
      </c>
      <c r="K77" s="46" t="str">
        <f t="shared" si="28"/>
        <v/>
      </c>
      <c r="L77" s="46" t="str">
        <f t="shared" si="28"/>
        <v/>
      </c>
      <c r="M77" s="46">
        <f t="shared" si="28"/>
        <v>38725.79</v>
      </c>
      <c r="N77" s="46">
        <f t="shared" si="28"/>
        <v>37042.06</v>
      </c>
      <c r="O77" s="46">
        <f t="shared" si="28"/>
        <v>37042.06</v>
      </c>
      <c r="P77" s="46" t="str">
        <f t="shared" si="28"/>
        <v/>
      </c>
      <c r="Q77" s="46">
        <f t="shared" si="28"/>
        <v>18521.03</v>
      </c>
      <c r="R77" s="46">
        <f t="shared" si="28"/>
        <v>18521.03</v>
      </c>
      <c r="S77" s="46">
        <f t="shared" si="28"/>
        <v>18521.03</v>
      </c>
      <c r="T77" s="421">
        <f>SUM(D77:S77)</f>
        <v>168373</v>
      </c>
    </row>
    <row r="78" spans="1:20" ht="24" customHeight="1">
      <c r="A78" s="587" t="s">
        <v>734</v>
      </c>
      <c r="B78" s="588" t="str">
        <f>_xlfn.XLOOKUP(A78,'PLANILHA ORCAMENTARIA'!$A$12:$A$72,'PLANILHA ORCAMENTARIA'!$C$12:$C$72)</f>
        <v>SERVIÇO DE INSTALAÇÃO DE ELEVADOR COMERCIAL- 6 PARADAS - 1,00M/S - CAP. 10/11 PASSAGEIROS</v>
      </c>
      <c r="C78" s="589">
        <f>_xlfn.XLOOKUP(A78,'PLANILHA ORCAMENTARIA'!$A$12:$A$72,'PLANILHA ORCAMENTARIA'!$J$12:$J$72)</f>
        <v>67349.22</v>
      </c>
      <c r="D78" s="423"/>
      <c r="E78" s="423"/>
      <c r="F78" s="423"/>
      <c r="G78" s="423"/>
      <c r="H78" s="423"/>
      <c r="I78" s="423"/>
      <c r="J78" s="423"/>
      <c r="K78" s="423"/>
      <c r="L78" s="423"/>
      <c r="M78" s="423"/>
      <c r="N78" s="423"/>
      <c r="O78" s="423"/>
      <c r="P78" s="423"/>
      <c r="Q78" s="423">
        <v>0.33</v>
      </c>
      <c r="R78" s="423">
        <v>0.33</v>
      </c>
      <c r="S78" s="423">
        <v>0.34</v>
      </c>
      <c r="T78" s="420">
        <f>SUM(D78:S78)</f>
        <v>1</v>
      </c>
    </row>
    <row r="79" spans="1:20" ht="24" customHeight="1">
      <c r="A79" s="587"/>
      <c r="B79" s="588"/>
      <c r="C79" s="589"/>
      <c r="D79" s="46" t="str">
        <f>IF(D78&gt;0,TRUNC($C$78*D78,2),"")</f>
        <v/>
      </c>
      <c r="E79" s="46" t="str">
        <f t="shared" ref="E79:S79" si="29">IF(E78&gt;0,TRUNC($C$78*E78,2),"")</f>
        <v/>
      </c>
      <c r="F79" s="46" t="str">
        <f t="shared" si="29"/>
        <v/>
      </c>
      <c r="G79" s="46" t="str">
        <f t="shared" si="29"/>
        <v/>
      </c>
      <c r="H79" s="46" t="str">
        <f t="shared" si="29"/>
        <v/>
      </c>
      <c r="I79" s="46" t="str">
        <f t="shared" si="29"/>
        <v/>
      </c>
      <c r="J79" s="46" t="str">
        <f t="shared" si="29"/>
        <v/>
      </c>
      <c r="K79" s="46" t="str">
        <f t="shared" si="29"/>
        <v/>
      </c>
      <c r="L79" s="46" t="str">
        <f t="shared" si="29"/>
        <v/>
      </c>
      <c r="M79" s="46" t="str">
        <f t="shared" si="29"/>
        <v/>
      </c>
      <c r="N79" s="46" t="str">
        <f t="shared" si="29"/>
        <v/>
      </c>
      <c r="O79" s="46" t="str">
        <f t="shared" si="29"/>
        <v/>
      </c>
      <c r="P79" s="46" t="str">
        <f t="shared" si="29"/>
        <v/>
      </c>
      <c r="Q79" s="46">
        <f t="shared" si="29"/>
        <v>22225.24</v>
      </c>
      <c r="R79" s="46">
        <f t="shared" si="29"/>
        <v>22225.24</v>
      </c>
      <c r="S79" s="46">
        <f t="shared" si="29"/>
        <v>22898.73</v>
      </c>
      <c r="T79" s="421">
        <f>SUM(D79:S79)</f>
        <v>67349.210000000006</v>
      </c>
    </row>
    <row r="80" spans="1:20" ht="24" customHeight="1">
      <c r="A80" s="587">
        <v>7</v>
      </c>
      <c r="B80" s="588" t="str">
        <f>_xlfn.XLOOKUP(A80,'PLANILHA ORCAMENTARIA'!$A$12:$A$72,'PLANILHA ORCAMENTARIA'!$C$12:$C$72)</f>
        <v>OUTROS SERVIÇOS</v>
      </c>
      <c r="C80" s="589"/>
      <c r="D80" s="423"/>
      <c r="E80" s="423"/>
      <c r="F80" s="423"/>
      <c r="G80" s="423"/>
      <c r="H80" s="423"/>
      <c r="I80" s="423"/>
      <c r="J80" s="423"/>
      <c r="K80" s="423"/>
      <c r="L80" s="423"/>
      <c r="M80" s="423"/>
      <c r="N80" s="423"/>
      <c r="O80" s="423"/>
      <c r="P80" s="423"/>
      <c r="Q80" s="423"/>
      <c r="R80" s="423"/>
      <c r="S80" s="423"/>
      <c r="T80" s="420"/>
    </row>
    <row r="81" spans="1:20" ht="24" customHeight="1">
      <c r="A81" s="587"/>
      <c r="B81" s="588"/>
      <c r="C81" s="589"/>
      <c r="D81" s="46"/>
      <c r="E81" s="46"/>
      <c r="F81" s="46"/>
      <c r="G81" s="46"/>
      <c r="H81" s="46"/>
      <c r="I81" s="46"/>
      <c r="J81" s="46"/>
      <c r="K81" s="46"/>
      <c r="L81" s="46"/>
      <c r="M81" s="46"/>
      <c r="N81" s="46"/>
      <c r="O81" s="46"/>
      <c r="P81" s="46"/>
      <c r="Q81" s="46"/>
      <c r="R81" s="46"/>
      <c r="S81" s="46"/>
      <c r="T81" s="421"/>
    </row>
    <row r="82" spans="1:20" ht="24" customHeight="1">
      <c r="A82" s="587" t="s">
        <v>60</v>
      </c>
      <c r="B82" s="588" t="str">
        <f>_xlfn.XLOOKUP(A82,'PLANILHA ORCAMENTARIA'!$A$12:$A$72,'PLANILHA ORCAMENTARIA'!$C$12:$C$72)</f>
        <v>DISJUNTOR TRIPOLAR TIPO DIN, CORRENTE NOMINAL DE 20A - FORNECIMENTO E INSTALAÇÃO. AF_10/2020</v>
      </c>
      <c r="C82" s="589">
        <f>_xlfn.XLOOKUP(A82,'PLANILHA ORCAMENTARIA'!$A$12:$A$72,'PLANILHA ORCAMENTARIA'!$J$12:$J$72)</f>
        <v>333.48</v>
      </c>
      <c r="D82" s="423"/>
      <c r="E82" s="423"/>
      <c r="F82" s="423"/>
      <c r="G82" s="423"/>
      <c r="H82" s="423"/>
      <c r="I82" s="423"/>
      <c r="J82" s="423"/>
      <c r="K82" s="423"/>
      <c r="L82" s="423"/>
      <c r="M82" s="423"/>
      <c r="N82" s="423">
        <v>0.5</v>
      </c>
      <c r="O82" s="423"/>
      <c r="P82" s="423"/>
      <c r="Q82" s="423"/>
      <c r="R82" s="423">
        <v>0.5</v>
      </c>
      <c r="S82" s="423"/>
      <c r="T82" s="420">
        <f t="shared" ref="T82:T115" si="30">SUM(D82:S82)</f>
        <v>1</v>
      </c>
    </row>
    <row r="83" spans="1:20" ht="24" customHeight="1">
      <c r="A83" s="587"/>
      <c r="B83" s="588"/>
      <c r="C83" s="589"/>
      <c r="D83" s="46" t="str">
        <f>IF(D82&gt;0,TRUNC($C$82*D82,2),"")</f>
        <v/>
      </c>
      <c r="E83" s="46" t="str">
        <f t="shared" ref="E83:S83" si="31">IF(E82&gt;0,TRUNC($C$82*E82,2),"")</f>
        <v/>
      </c>
      <c r="F83" s="46" t="str">
        <f t="shared" si="31"/>
        <v/>
      </c>
      <c r="G83" s="46" t="str">
        <f t="shared" si="31"/>
        <v/>
      </c>
      <c r="H83" s="46" t="str">
        <f t="shared" si="31"/>
        <v/>
      </c>
      <c r="I83" s="46" t="str">
        <f t="shared" si="31"/>
        <v/>
      </c>
      <c r="J83" s="46" t="str">
        <f t="shared" si="31"/>
        <v/>
      </c>
      <c r="K83" s="46" t="str">
        <f t="shared" si="31"/>
        <v/>
      </c>
      <c r="L83" s="46" t="str">
        <f t="shared" si="31"/>
        <v/>
      </c>
      <c r="M83" s="46" t="str">
        <f t="shared" si="31"/>
        <v/>
      </c>
      <c r="N83" s="46">
        <f t="shared" si="31"/>
        <v>166.74</v>
      </c>
      <c r="O83" s="46" t="str">
        <f t="shared" si="31"/>
        <v/>
      </c>
      <c r="P83" s="46" t="str">
        <f t="shared" si="31"/>
        <v/>
      </c>
      <c r="Q83" s="46" t="str">
        <f t="shared" si="31"/>
        <v/>
      </c>
      <c r="R83" s="46">
        <f t="shared" si="31"/>
        <v>166.74</v>
      </c>
      <c r="S83" s="46" t="str">
        <f t="shared" si="31"/>
        <v/>
      </c>
      <c r="T83" s="421">
        <f t="shared" si="30"/>
        <v>333.48</v>
      </c>
    </row>
    <row r="84" spans="1:20" ht="24" customHeight="1">
      <c r="A84" s="587" t="s">
        <v>61</v>
      </c>
      <c r="B84" s="588" t="str">
        <f>_xlfn.XLOOKUP(A84,'PLANILHA ORCAMENTARIA'!$A$12:$A$72,'PLANILHA ORCAMENTARIA'!$C$12:$C$72)</f>
        <v>LUMINÁRIA ARANDELA TIPO TARTARUGA, DE SOBREPOR, COM 1 LÂMPADA LED DE 6 W, SEM REATOR - FORNECIMENTO E INSTALAÇÃO. AF_09/2024 (GRUPO A - CARRO 1)</v>
      </c>
      <c r="C84" s="589">
        <f>_xlfn.XLOOKUP(A84,'PLANILHA ORCAMENTARIA'!$A$12:$A$72,'PLANILHA ORCAMENTARIA'!$J$12:$J$72)</f>
        <v>764.52</v>
      </c>
      <c r="D84" s="423"/>
      <c r="E84" s="423"/>
      <c r="F84" s="423"/>
      <c r="G84" s="423"/>
      <c r="H84" s="423"/>
      <c r="I84" s="423"/>
      <c r="J84" s="423"/>
      <c r="K84" s="423"/>
      <c r="L84" s="423"/>
      <c r="M84" s="423"/>
      <c r="N84" s="423">
        <v>0.5</v>
      </c>
      <c r="O84" s="423"/>
      <c r="P84" s="423"/>
      <c r="Q84" s="423"/>
      <c r="R84" s="423">
        <v>0.5</v>
      </c>
      <c r="S84" s="423"/>
      <c r="T84" s="420">
        <f t="shared" si="30"/>
        <v>1</v>
      </c>
    </row>
    <row r="85" spans="1:20" ht="24" customHeight="1">
      <c r="A85" s="587"/>
      <c r="B85" s="588"/>
      <c r="C85" s="589"/>
      <c r="D85" s="46" t="str">
        <f>IF(D84&gt;0,TRUNC($C$84*D84,2),"")</f>
        <v/>
      </c>
      <c r="E85" s="46" t="str">
        <f t="shared" ref="E85:S85" si="32">IF(E84&gt;0,TRUNC($C$84*E84,2),"")</f>
        <v/>
      </c>
      <c r="F85" s="46" t="str">
        <f t="shared" si="32"/>
        <v/>
      </c>
      <c r="G85" s="46" t="str">
        <f t="shared" si="32"/>
        <v/>
      </c>
      <c r="H85" s="46" t="str">
        <f t="shared" si="32"/>
        <v/>
      </c>
      <c r="I85" s="46" t="str">
        <f t="shared" si="32"/>
        <v/>
      </c>
      <c r="J85" s="46" t="str">
        <f t="shared" si="32"/>
        <v/>
      </c>
      <c r="K85" s="46" t="str">
        <f t="shared" si="32"/>
        <v/>
      </c>
      <c r="L85" s="46" t="str">
        <f t="shared" si="32"/>
        <v/>
      </c>
      <c r="M85" s="46" t="str">
        <f t="shared" si="32"/>
        <v/>
      </c>
      <c r="N85" s="46">
        <f t="shared" si="32"/>
        <v>382.26</v>
      </c>
      <c r="O85" s="46" t="str">
        <f t="shared" si="32"/>
        <v/>
      </c>
      <c r="P85" s="46" t="str">
        <f t="shared" si="32"/>
        <v/>
      </c>
      <c r="Q85" s="46" t="str">
        <f t="shared" si="32"/>
        <v/>
      </c>
      <c r="R85" s="46">
        <f t="shared" si="32"/>
        <v>382.26</v>
      </c>
      <c r="S85" s="46" t="str">
        <f t="shared" si="32"/>
        <v/>
      </c>
      <c r="T85" s="421">
        <f t="shared" si="30"/>
        <v>764.52</v>
      </c>
    </row>
    <row r="86" spans="1:20" ht="24" customHeight="1">
      <c r="A86" s="587" t="s">
        <v>62</v>
      </c>
      <c r="B86" s="588" t="str">
        <f>_xlfn.XLOOKUP(A86,'PLANILHA ORCAMENTARIA'!$A$12:$A$72,'PLANILHA ORCAMENTARIA'!$C$12:$C$72)</f>
        <v>LUMINÁRIA ARANDELA TIPO TARTARUGA, DE SOBREPOR, COM 1 LÂMPADA LED DE 6 W, SEM REATOR - FORNECIMENTO E INSTALAÇÃO. AF_09/2024 (GRUPO A - CARRO 2)</v>
      </c>
      <c r="C86" s="589">
        <f>_xlfn.XLOOKUP(A86,'PLANILHA ORCAMENTARIA'!$A$12:$A$72,'PLANILHA ORCAMENTARIA'!$J$12:$J$72)</f>
        <v>764.52</v>
      </c>
      <c r="D86" s="423"/>
      <c r="E86" s="423"/>
      <c r="F86" s="423"/>
      <c r="G86" s="423"/>
      <c r="H86" s="423"/>
      <c r="I86" s="423"/>
      <c r="J86" s="423"/>
      <c r="K86" s="423"/>
      <c r="L86" s="423"/>
      <c r="M86" s="423"/>
      <c r="N86" s="423">
        <v>0.5</v>
      </c>
      <c r="O86" s="423"/>
      <c r="P86" s="423"/>
      <c r="Q86" s="423"/>
      <c r="R86" s="423">
        <v>0.5</v>
      </c>
      <c r="S86" s="423"/>
      <c r="T86" s="420">
        <f t="shared" si="30"/>
        <v>1</v>
      </c>
    </row>
    <row r="87" spans="1:20" ht="24" customHeight="1">
      <c r="A87" s="587"/>
      <c r="B87" s="588"/>
      <c r="C87" s="589"/>
      <c r="D87" s="46" t="str">
        <f>IF(D86&gt;0,TRUNC($C$86*D86,2),"")</f>
        <v/>
      </c>
      <c r="E87" s="46" t="str">
        <f t="shared" ref="E87:S87" si="33">IF(E86&gt;0,TRUNC($C$86*E86,2),"")</f>
        <v/>
      </c>
      <c r="F87" s="46" t="str">
        <f t="shared" si="33"/>
        <v/>
      </c>
      <c r="G87" s="46" t="str">
        <f t="shared" si="33"/>
        <v/>
      </c>
      <c r="H87" s="46" t="str">
        <f t="shared" si="33"/>
        <v/>
      </c>
      <c r="I87" s="46" t="str">
        <f t="shared" si="33"/>
        <v/>
      </c>
      <c r="J87" s="46" t="str">
        <f t="shared" si="33"/>
        <v/>
      </c>
      <c r="K87" s="46" t="str">
        <f t="shared" si="33"/>
        <v/>
      </c>
      <c r="L87" s="46" t="str">
        <f t="shared" si="33"/>
        <v/>
      </c>
      <c r="M87" s="46" t="str">
        <f t="shared" si="33"/>
        <v/>
      </c>
      <c r="N87" s="46">
        <f t="shared" si="33"/>
        <v>382.26</v>
      </c>
      <c r="O87" s="46" t="str">
        <f t="shared" si="33"/>
        <v/>
      </c>
      <c r="P87" s="46" t="str">
        <f t="shared" si="33"/>
        <v/>
      </c>
      <c r="Q87" s="46" t="str">
        <f t="shared" si="33"/>
        <v/>
      </c>
      <c r="R87" s="46">
        <f t="shared" si="33"/>
        <v>382.26</v>
      </c>
      <c r="S87" s="46" t="str">
        <f t="shared" si="33"/>
        <v/>
      </c>
      <c r="T87" s="421">
        <f t="shared" si="30"/>
        <v>764.52</v>
      </c>
    </row>
    <row r="88" spans="1:20" ht="24" customHeight="1">
      <c r="A88" s="587" t="s">
        <v>516</v>
      </c>
      <c r="B88" s="588" t="str">
        <f>_xlfn.XLOOKUP(A88,'PLANILHA ORCAMENTARIA'!$A$12:$A$72,'PLANILHA ORCAMENTARIA'!$C$12:$C$72)</f>
        <v>LUMINÁRIA ARANDELA TIPO TARTARUGA, DE SOBREPOR, COM 1 LÂMPADA LED DE 6 W, SEM REATOR - FORNECIMENTO E INSTALAÇÃO. AF_09/2024 (GRUPO A - CARRO 3)</v>
      </c>
      <c r="C88" s="589">
        <f>_xlfn.XLOOKUP(A88,'PLANILHA ORCAMENTARIA'!$A$12:$A$72,'PLANILHA ORCAMENTARIA'!$J$12:$J$72)</f>
        <v>764.52</v>
      </c>
      <c r="D88" s="423"/>
      <c r="E88" s="423"/>
      <c r="F88" s="423"/>
      <c r="G88" s="423"/>
      <c r="H88" s="423"/>
      <c r="I88" s="423"/>
      <c r="J88" s="423"/>
      <c r="K88" s="423"/>
      <c r="L88" s="423"/>
      <c r="M88" s="423"/>
      <c r="N88" s="423">
        <v>0.5</v>
      </c>
      <c r="O88" s="423"/>
      <c r="P88" s="423"/>
      <c r="Q88" s="423"/>
      <c r="R88" s="423">
        <v>0.5</v>
      </c>
      <c r="S88" s="423"/>
      <c r="T88" s="420">
        <f t="shared" si="30"/>
        <v>1</v>
      </c>
    </row>
    <row r="89" spans="1:20" ht="24" customHeight="1">
      <c r="A89" s="587"/>
      <c r="B89" s="588"/>
      <c r="C89" s="589"/>
      <c r="D89" s="46" t="str">
        <f>IF(D88&gt;0,TRUNC($C$88*D88,2),"")</f>
        <v/>
      </c>
      <c r="E89" s="46" t="str">
        <f t="shared" ref="E89:S89" si="34">IF(E88&gt;0,TRUNC($C$88*E88,2),"")</f>
        <v/>
      </c>
      <c r="F89" s="46" t="str">
        <f t="shared" si="34"/>
        <v/>
      </c>
      <c r="G89" s="46" t="str">
        <f t="shared" si="34"/>
        <v/>
      </c>
      <c r="H89" s="46" t="str">
        <f t="shared" si="34"/>
        <v/>
      </c>
      <c r="I89" s="46" t="str">
        <f t="shared" si="34"/>
        <v/>
      </c>
      <c r="J89" s="46" t="str">
        <f t="shared" si="34"/>
        <v/>
      </c>
      <c r="K89" s="46" t="str">
        <f t="shared" si="34"/>
        <v/>
      </c>
      <c r="L89" s="46" t="str">
        <f t="shared" si="34"/>
        <v/>
      </c>
      <c r="M89" s="46" t="str">
        <f t="shared" si="34"/>
        <v/>
      </c>
      <c r="N89" s="46">
        <f t="shared" si="34"/>
        <v>382.26</v>
      </c>
      <c r="O89" s="46" t="str">
        <f t="shared" si="34"/>
        <v/>
      </c>
      <c r="P89" s="46" t="str">
        <f t="shared" si="34"/>
        <v/>
      </c>
      <c r="Q89" s="46" t="str">
        <f t="shared" si="34"/>
        <v/>
      </c>
      <c r="R89" s="46">
        <f t="shared" si="34"/>
        <v>382.26</v>
      </c>
      <c r="S89" s="46" t="str">
        <f t="shared" si="34"/>
        <v/>
      </c>
      <c r="T89" s="421">
        <f t="shared" si="30"/>
        <v>764.52</v>
      </c>
    </row>
    <row r="90" spans="1:20" ht="24" customHeight="1">
      <c r="A90" s="587" t="s">
        <v>517</v>
      </c>
      <c r="B90" s="588" t="str">
        <f>_xlfn.XLOOKUP(A90,'PLANILHA ORCAMENTARIA'!$A$12:$A$72,'PLANILHA ORCAMENTARIA'!$C$12:$C$72)</f>
        <v>LUMINÁRIA ARANDELA TIPO TARTARUGA, DE SOBREPOR, COM 1 LÂMPADA LED DE 6 W, SEM REATOR - FORNECIMENTO E INSTALAÇÃO. AF_09/2024 (GRUPO B)</v>
      </c>
      <c r="C90" s="589">
        <f>_xlfn.XLOOKUP(A90,'PLANILHA ORCAMENTARIA'!$A$12:$A$72,'PLANILHA ORCAMENTARIA'!$J$12:$J$72)</f>
        <v>891.94</v>
      </c>
      <c r="D90" s="423"/>
      <c r="E90" s="423"/>
      <c r="F90" s="423"/>
      <c r="G90" s="423"/>
      <c r="H90" s="423"/>
      <c r="I90" s="423"/>
      <c r="J90" s="423"/>
      <c r="K90" s="423"/>
      <c r="L90" s="423"/>
      <c r="M90" s="423"/>
      <c r="N90" s="423">
        <v>0.5</v>
      </c>
      <c r="O90" s="423"/>
      <c r="P90" s="423"/>
      <c r="Q90" s="423"/>
      <c r="R90" s="423">
        <v>0.5</v>
      </c>
      <c r="S90" s="423"/>
      <c r="T90" s="420">
        <f t="shared" si="30"/>
        <v>1</v>
      </c>
    </row>
    <row r="91" spans="1:20" ht="24" customHeight="1">
      <c r="A91" s="587"/>
      <c r="B91" s="588"/>
      <c r="C91" s="589"/>
      <c r="D91" s="46" t="str">
        <f>IF(D90&gt;0,TRUNC($C$90*D90,2),"")</f>
        <v/>
      </c>
      <c r="E91" s="46" t="str">
        <f t="shared" ref="E91:S91" si="35">IF(E90&gt;0,TRUNC($C$90*E90,2),"")</f>
        <v/>
      </c>
      <c r="F91" s="46" t="str">
        <f t="shared" si="35"/>
        <v/>
      </c>
      <c r="G91" s="46" t="str">
        <f t="shared" si="35"/>
        <v/>
      </c>
      <c r="H91" s="46" t="str">
        <f t="shared" si="35"/>
        <v/>
      </c>
      <c r="I91" s="46" t="str">
        <f t="shared" si="35"/>
        <v/>
      </c>
      <c r="J91" s="46" t="str">
        <f t="shared" si="35"/>
        <v/>
      </c>
      <c r="K91" s="46" t="str">
        <f t="shared" si="35"/>
        <v/>
      </c>
      <c r="L91" s="46" t="str">
        <f t="shared" si="35"/>
        <v/>
      </c>
      <c r="M91" s="46" t="str">
        <f t="shared" si="35"/>
        <v/>
      </c>
      <c r="N91" s="46">
        <f t="shared" si="35"/>
        <v>445.97</v>
      </c>
      <c r="O91" s="46" t="str">
        <f t="shared" si="35"/>
        <v/>
      </c>
      <c r="P91" s="46" t="str">
        <f t="shared" si="35"/>
        <v/>
      </c>
      <c r="Q91" s="46" t="str">
        <f t="shared" si="35"/>
        <v/>
      </c>
      <c r="R91" s="46">
        <f t="shared" si="35"/>
        <v>445.97</v>
      </c>
      <c r="S91" s="46" t="str">
        <f t="shared" si="35"/>
        <v/>
      </c>
      <c r="T91" s="421">
        <f t="shared" si="30"/>
        <v>891.94</v>
      </c>
    </row>
    <row r="92" spans="1:20" ht="24" customHeight="1">
      <c r="A92" s="587" t="s">
        <v>518</v>
      </c>
      <c r="B92" s="588" t="str">
        <f>_xlfn.XLOOKUP(A92,'PLANILHA ORCAMENTARIA'!$A$12:$A$72,'PLANILHA ORCAMENTARIA'!$C$12:$C$72)</f>
        <v>ELETRODUTO RÍGIDO SOLDÁVEL, PVC, DN 32 MM (1"), APARENTE - FORNECIMENTO E INSTALAÇÃO. AF_10/2022_PA (GRUPO A - CARRO 1)</v>
      </c>
      <c r="C92" s="589">
        <f>_xlfn.XLOOKUP(A92,'PLANILHA ORCAMENTARIA'!$A$12:$A$72,'PLANILHA ORCAMENTARIA'!$J$12:$J$72)</f>
        <v>678.88</v>
      </c>
      <c r="D92" s="423"/>
      <c r="E92" s="423"/>
      <c r="F92" s="423"/>
      <c r="G92" s="423"/>
      <c r="H92" s="423"/>
      <c r="I92" s="423"/>
      <c r="J92" s="423"/>
      <c r="K92" s="423"/>
      <c r="L92" s="423"/>
      <c r="M92" s="423"/>
      <c r="N92" s="423">
        <v>0.5</v>
      </c>
      <c r="O92" s="423"/>
      <c r="P92" s="423"/>
      <c r="Q92" s="423"/>
      <c r="R92" s="423">
        <v>0.5</v>
      </c>
      <c r="S92" s="423"/>
      <c r="T92" s="420">
        <f t="shared" si="30"/>
        <v>1</v>
      </c>
    </row>
    <row r="93" spans="1:20" ht="24" customHeight="1">
      <c r="A93" s="587"/>
      <c r="B93" s="588"/>
      <c r="C93" s="589"/>
      <c r="D93" s="46" t="str">
        <f>IF(D92&gt;0,TRUNC($C$92*D92,2),"")</f>
        <v/>
      </c>
      <c r="E93" s="46" t="str">
        <f t="shared" ref="E93:S93" si="36">IF(E92&gt;0,TRUNC($C$92*E92,2),"")</f>
        <v/>
      </c>
      <c r="F93" s="46" t="str">
        <f t="shared" si="36"/>
        <v/>
      </c>
      <c r="G93" s="46" t="str">
        <f t="shared" si="36"/>
        <v/>
      </c>
      <c r="H93" s="46" t="str">
        <f t="shared" si="36"/>
        <v/>
      </c>
      <c r="I93" s="46" t="str">
        <f t="shared" si="36"/>
        <v/>
      </c>
      <c r="J93" s="46" t="str">
        <f t="shared" si="36"/>
        <v/>
      </c>
      <c r="K93" s="46" t="str">
        <f t="shared" si="36"/>
        <v/>
      </c>
      <c r="L93" s="46" t="str">
        <f t="shared" si="36"/>
        <v/>
      </c>
      <c r="M93" s="46" t="str">
        <f t="shared" si="36"/>
        <v/>
      </c>
      <c r="N93" s="46">
        <f t="shared" si="36"/>
        <v>339.44</v>
      </c>
      <c r="O93" s="46" t="str">
        <f t="shared" si="36"/>
        <v/>
      </c>
      <c r="P93" s="46" t="str">
        <f t="shared" si="36"/>
        <v/>
      </c>
      <c r="Q93" s="46" t="str">
        <f t="shared" si="36"/>
        <v/>
      </c>
      <c r="R93" s="46">
        <f t="shared" si="36"/>
        <v>339.44</v>
      </c>
      <c r="S93" s="46" t="str">
        <f t="shared" si="36"/>
        <v/>
      </c>
      <c r="T93" s="421">
        <f t="shared" si="30"/>
        <v>678.88</v>
      </c>
    </row>
    <row r="94" spans="1:20" ht="24" customHeight="1">
      <c r="A94" s="587" t="s">
        <v>519</v>
      </c>
      <c r="B94" s="588" t="str">
        <f>_xlfn.XLOOKUP(A94,'PLANILHA ORCAMENTARIA'!$A$12:$A$72,'PLANILHA ORCAMENTARIA'!$C$12:$C$72)</f>
        <v>ELETRODUTO RÍGIDO SOLDÁVEL, PVC, DN 32 MM (1"), APARENTE - FORNECIMENTO E INSTALAÇÃO. AF_10/2022_PA (GRUPO A - CARRO 2)</v>
      </c>
      <c r="C94" s="589">
        <f>_xlfn.XLOOKUP(A94,'PLANILHA ORCAMENTARIA'!$A$12:$A$72,'PLANILHA ORCAMENTARIA'!$J$12:$J$72)</f>
        <v>678.88</v>
      </c>
      <c r="D94" s="423"/>
      <c r="E94" s="423"/>
      <c r="F94" s="423"/>
      <c r="G94" s="423"/>
      <c r="H94" s="423"/>
      <c r="I94" s="423"/>
      <c r="J94" s="423"/>
      <c r="K94" s="423"/>
      <c r="L94" s="423"/>
      <c r="M94" s="423"/>
      <c r="N94" s="423">
        <v>0.5</v>
      </c>
      <c r="O94" s="423"/>
      <c r="P94" s="423"/>
      <c r="Q94" s="423"/>
      <c r="R94" s="423">
        <v>0.5</v>
      </c>
      <c r="S94" s="423"/>
      <c r="T94" s="420">
        <f t="shared" si="30"/>
        <v>1</v>
      </c>
    </row>
    <row r="95" spans="1:20" ht="24" customHeight="1">
      <c r="A95" s="587"/>
      <c r="B95" s="588"/>
      <c r="C95" s="589"/>
      <c r="D95" s="46" t="str">
        <f>IF(D94&gt;0,TRUNC($C$94*D94,2),"")</f>
        <v/>
      </c>
      <c r="E95" s="46" t="str">
        <f t="shared" ref="E95:S95" si="37">IF(E94&gt;0,TRUNC($C$94*E94,2),"")</f>
        <v/>
      </c>
      <c r="F95" s="46" t="str">
        <f t="shared" si="37"/>
        <v/>
      </c>
      <c r="G95" s="46" t="str">
        <f t="shared" si="37"/>
        <v/>
      </c>
      <c r="H95" s="46" t="str">
        <f t="shared" si="37"/>
        <v/>
      </c>
      <c r="I95" s="46" t="str">
        <f t="shared" si="37"/>
        <v/>
      </c>
      <c r="J95" s="46" t="str">
        <f t="shared" si="37"/>
        <v/>
      </c>
      <c r="K95" s="46" t="str">
        <f t="shared" si="37"/>
        <v/>
      </c>
      <c r="L95" s="46" t="str">
        <f t="shared" si="37"/>
        <v/>
      </c>
      <c r="M95" s="46" t="str">
        <f t="shared" si="37"/>
        <v/>
      </c>
      <c r="N95" s="46">
        <f t="shared" si="37"/>
        <v>339.44</v>
      </c>
      <c r="O95" s="46" t="str">
        <f t="shared" si="37"/>
        <v/>
      </c>
      <c r="P95" s="46" t="str">
        <f t="shared" si="37"/>
        <v/>
      </c>
      <c r="Q95" s="46" t="str">
        <f t="shared" si="37"/>
        <v/>
      </c>
      <c r="R95" s="46">
        <f t="shared" si="37"/>
        <v>339.44</v>
      </c>
      <c r="S95" s="46" t="str">
        <f t="shared" si="37"/>
        <v/>
      </c>
      <c r="T95" s="421">
        <f t="shared" si="30"/>
        <v>678.88</v>
      </c>
    </row>
    <row r="96" spans="1:20" ht="24" customHeight="1">
      <c r="A96" s="587" t="s">
        <v>520</v>
      </c>
      <c r="B96" s="588" t="str">
        <f>_xlfn.XLOOKUP(A96,'PLANILHA ORCAMENTARIA'!$A$12:$A$72,'PLANILHA ORCAMENTARIA'!$C$12:$C$72)</f>
        <v>ELETRODUTO RÍGIDO SOLDÁVEL, PVC, DN 32 MM (1"), APARENTE - FORNECIMENTO E INSTALAÇÃO. AF_10/2022_PA (GRUPO A - CARRO 3)</v>
      </c>
      <c r="C96" s="589">
        <f>_xlfn.XLOOKUP(A96,'PLANILHA ORCAMENTARIA'!$A$12:$A$72,'PLANILHA ORCAMENTARIA'!$J$12:$J$72)</f>
        <v>678.88</v>
      </c>
      <c r="D96" s="423"/>
      <c r="E96" s="423"/>
      <c r="F96" s="423"/>
      <c r="G96" s="423"/>
      <c r="H96" s="423"/>
      <c r="I96" s="423"/>
      <c r="J96" s="423"/>
      <c r="K96" s="423"/>
      <c r="L96" s="423"/>
      <c r="M96" s="423"/>
      <c r="N96" s="423">
        <v>0.5</v>
      </c>
      <c r="O96" s="423"/>
      <c r="P96" s="423"/>
      <c r="Q96" s="423"/>
      <c r="R96" s="423">
        <v>0.5</v>
      </c>
      <c r="S96" s="423"/>
      <c r="T96" s="420">
        <f t="shared" si="30"/>
        <v>1</v>
      </c>
    </row>
    <row r="97" spans="1:20" ht="24" customHeight="1">
      <c r="A97" s="587"/>
      <c r="B97" s="588"/>
      <c r="C97" s="589"/>
      <c r="D97" s="46" t="str">
        <f>IF(D96&gt;0,TRUNC($C$96*D96,2),"")</f>
        <v/>
      </c>
      <c r="E97" s="46" t="str">
        <f t="shared" ref="E97:S97" si="38">IF(E96&gt;0,TRUNC($C$96*E96,2),"")</f>
        <v/>
      </c>
      <c r="F97" s="46" t="str">
        <f t="shared" si="38"/>
        <v/>
      </c>
      <c r="G97" s="46" t="str">
        <f t="shared" si="38"/>
        <v/>
      </c>
      <c r="H97" s="46" t="str">
        <f t="shared" si="38"/>
        <v/>
      </c>
      <c r="I97" s="46" t="str">
        <f t="shared" si="38"/>
        <v/>
      </c>
      <c r="J97" s="46" t="str">
        <f t="shared" si="38"/>
        <v/>
      </c>
      <c r="K97" s="46" t="str">
        <f t="shared" si="38"/>
        <v/>
      </c>
      <c r="L97" s="46" t="str">
        <f t="shared" si="38"/>
        <v/>
      </c>
      <c r="M97" s="46" t="str">
        <f t="shared" si="38"/>
        <v/>
      </c>
      <c r="N97" s="46">
        <f t="shared" si="38"/>
        <v>339.44</v>
      </c>
      <c r="O97" s="46" t="str">
        <f t="shared" si="38"/>
        <v/>
      </c>
      <c r="P97" s="46" t="str">
        <f t="shared" si="38"/>
        <v/>
      </c>
      <c r="Q97" s="46" t="str">
        <f t="shared" si="38"/>
        <v/>
      </c>
      <c r="R97" s="46">
        <f t="shared" si="38"/>
        <v>339.44</v>
      </c>
      <c r="S97" s="46" t="str">
        <f t="shared" si="38"/>
        <v/>
      </c>
      <c r="T97" s="421">
        <f t="shared" si="30"/>
        <v>678.88</v>
      </c>
    </row>
    <row r="98" spans="1:20" ht="24" customHeight="1">
      <c r="A98" s="587" t="s">
        <v>521</v>
      </c>
      <c r="B98" s="588" t="str">
        <f>_xlfn.XLOOKUP(A98,'PLANILHA ORCAMENTARIA'!$A$12:$A$72,'PLANILHA ORCAMENTARIA'!$C$12:$C$72)</f>
        <v>ELETRODUTO RÍGIDO SOLDÁVEL, PVC, DN 32 MM (1"), APARENTE - FORNECIMENTO E INSTALAÇÃO. AF_10/2022_PA (GRUPO B)</v>
      </c>
      <c r="C98" s="589">
        <f>_xlfn.XLOOKUP(A98,'PLANILHA ORCAMENTARIA'!$A$12:$A$72,'PLANILHA ORCAMENTARIA'!$J$12:$J$72)</f>
        <v>858.81</v>
      </c>
      <c r="D98" s="423"/>
      <c r="E98" s="423"/>
      <c r="F98" s="423"/>
      <c r="G98" s="423"/>
      <c r="H98" s="423"/>
      <c r="I98" s="423"/>
      <c r="J98" s="423"/>
      <c r="K98" s="423"/>
      <c r="L98" s="423"/>
      <c r="M98" s="423"/>
      <c r="N98" s="423">
        <v>0.5</v>
      </c>
      <c r="O98" s="423"/>
      <c r="P98" s="423"/>
      <c r="Q98" s="423"/>
      <c r="R98" s="423">
        <v>0.5</v>
      </c>
      <c r="S98" s="423"/>
      <c r="T98" s="420">
        <f t="shared" si="30"/>
        <v>1</v>
      </c>
    </row>
    <row r="99" spans="1:20" ht="24" customHeight="1">
      <c r="A99" s="587"/>
      <c r="B99" s="588"/>
      <c r="C99" s="589"/>
      <c r="D99" s="46" t="str">
        <f>IF(D98&gt;0,TRUNC($C$98*D98,2),"")</f>
        <v/>
      </c>
      <c r="E99" s="46" t="str">
        <f t="shared" ref="E99:S99" si="39">IF(E98&gt;0,TRUNC($C$98*E98,2),"")</f>
        <v/>
      </c>
      <c r="F99" s="46" t="str">
        <f t="shared" si="39"/>
        <v/>
      </c>
      <c r="G99" s="46" t="str">
        <f t="shared" si="39"/>
        <v/>
      </c>
      <c r="H99" s="46" t="str">
        <f t="shared" si="39"/>
        <v/>
      </c>
      <c r="I99" s="46" t="str">
        <f t="shared" si="39"/>
        <v/>
      </c>
      <c r="J99" s="46" t="str">
        <f t="shared" si="39"/>
        <v/>
      </c>
      <c r="K99" s="46" t="str">
        <f t="shared" si="39"/>
        <v/>
      </c>
      <c r="L99" s="46" t="str">
        <f t="shared" si="39"/>
        <v/>
      </c>
      <c r="M99" s="46" t="str">
        <f t="shared" si="39"/>
        <v/>
      </c>
      <c r="N99" s="46">
        <f t="shared" si="39"/>
        <v>429.4</v>
      </c>
      <c r="O99" s="46" t="str">
        <f t="shared" si="39"/>
        <v/>
      </c>
      <c r="P99" s="46" t="str">
        <f t="shared" si="39"/>
        <v/>
      </c>
      <c r="Q99" s="46" t="str">
        <f t="shared" si="39"/>
        <v/>
      </c>
      <c r="R99" s="46">
        <f t="shared" si="39"/>
        <v>429.4</v>
      </c>
      <c r="S99" s="46" t="str">
        <f t="shared" si="39"/>
        <v/>
      </c>
      <c r="T99" s="421">
        <f t="shared" si="30"/>
        <v>858.8</v>
      </c>
    </row>
    <row r="100" spans="1:20" ht="24" customHeight="1">
      <c r="A100" s="587" t="s">
        <v>522</v>
      </c>
      <c r="B100" s="588" t="str">
        <f>_xlfn.XLOOKUP(A100,'PLANILHA ORCAMENTARIA'!$A$12:$A$72,'PLANILHA ORCAMENTARIA'!$C$12:$C$72)</f>
        <v>CONDULETE DE PVC, TIPO C, PARA ELETRODUTO DE PVC SOLDÁVEL DN 32 MM (1''), APARENTE - FORNECIMENTO E INSTALAÇÃO. AF_10/2022 (GRUPO A - CARRO 1)</v>
      </c>
      <c r="C100" s="589">
        <f>_xlfn.XLOOKUP(A100,'PLANILHA ORCAMENTARIA'!$A$12:$A$72,'PLANILHA ORCAMENTARIA'!$J$12:$J$72)</f>
        <v>240.72</v>
      </c>
      <c r="D100" s="423"/>
      <c r="E100" s="423"/>
      <c r="F100" s="423"/>
      <c r="G100" s="423"/>
      <c r="H100" s="423"/>
      <c r="I100" s="423"/>
      <c r="J100" s="423"/>
      <c r="K100" s="423"/>
      <c r="L100" s="423"/>
      <c r="M100" s="423"/>
      <c r="N100" s="423">
        <v>0.5</v>
      </c>
      <c r="O100" s="423"/>
      <c r="P100" s="423"/>
      <c r="Q100" s="423"/>
      <c r="R100" s="423">
        <v>0.5</v>
      </c>
      <c r="S100" s="423"/>
      <c r="T100" s="420">
        <f t="shared" si="30"/>
        <v>1</v>
      </c>
    </row>
    <row r="101" spans="1:20" ht="24" customHeight="1">
      <c r="A101" s="587"/>
      <c r="B101" s="588"/>
      <c r="C101" s="589"/>
      <c r="D101" s="46" t="str">
        <f>IF(D100&gt;0,TRUNC($C$100*D100,2),"")</f>
        <v/>
      </c>
      <c r="E101" s="46" t="str">
        <f t="shared" ref="E101:S101" si="40">IF(E100&gt;0,TRUNC($C$100*E100,2),"")</f>
        <v/>
      </c>
      <c r="F101" s="46" t="str">
        <f t="shared" si="40"/>
        <v/>
      </c>
      <c r="G101" s="46" t="str">
        <f t="shared" si="40"/>
        <v/>
      </c>
      <c r="H101" s="46" t="str">
        <f t="shared" si="40"/>
        <v/>
      </c>
      <c r="I101" s="46" t="str">
        <f t="shared" si="40"/>
        <v/>
      </c>
      <c r="J101" s="46" t="str">
        <f t="shared" si="40"/>
        <v/>
      </c>
      <c r="K101" s="46" t="str">
        <f t="shared" si="40"/>
        <v/>
      </c>
      <c r="L101" s="46" t="str">
        <f t="shared" si="40"/>
        <v/>
      </c>
      <c r="M101" s="46" t="str">
        <f t="shared" si="40"/>
        <v/>
      </c>
      <c r="N101" s="46">
        <f t="shared" si="40"/>
        <v>120.36</v>
      </c>
      <c r="O101" s="46" t="str">
        <f t="shared" si="40"/>
        <v/>
      </c>
      <c r="P101" s="46" t="str">
        <f t="shared" si="40"/>
        <v/>
      </c>
      <c r="Q101" s="46" t="str">
        <f t="shared" si="40"/>
        <v/>
      </c>
      <c r="R101" s="46">
        <f t="shared" si="40"/>
        <v>120.36</v>
      </c>
      <c r="S101" s="46" t="str">
        <f t="shared" si="40"/>
        <v/>
      </c>
      <c r="T101" s="421">
        <f t="shared" si="30"/>
        <v>240.72</v>
      </c>
    </row>
    <row r="102" spans="1:20" ht="24" customHeight="1">
      <c r="A102" s="587" t="s">
        <v>523</v>
      </c>
      <c r="B102" s="588" t="str">
        <f>_xlfn.XLOOKUP(A102,'PLANILHA ORCAMENTARIA'!$A$12:$A$72,'PLANILHA ORCAMENTARIA'!$C$12:$C$72)</f>
        <v>CONDULETE DE PVC, TIPO C, PARA ELETRODUTO DE PVC SOLDÁVEL DN 32 MM (1''), APARENTE - FORNECIMENTO E INSTALAÇÃO. AF_10/2022 (GRUPO A - CARRO 2)</v>
      </c>
      <c r="C102" s="589">
        <f>_xlfn.XLOOKUP(A102,'PLANILHA ORCAMENTARIA'!$A$12:$A$72,'PLANILHA ORCAMENTARIA'!$J$12:$J$72)</f>
        <v>240.72</v>
      </c>
      <c r="D102" s="423"/>
      <c r="E102" s="423"/>
      <c r="F102" s="423"/>
      <c r="G102" s="423"/>
      <c r="H102" s="423"/>
      <c r="I102" s="423"/>
      <c r="J102" s="423"/>
      <c r="K102" s="423"/>
      <c r="L102" s="423"/>
      <c r="M102" s="423"/>
      <c r="N102" s="423">
        <v>0.5</v>
      </c>
      <c r="O102" s="423"/>
      <c r="P102" s="423"/>
      <c r="Q102" s="423"/>
      <c r="R102" s="423">
        <v>0.5</v>
      </c>
      <c r="S102" s="423"/>
      <c r="T102" s="420">
        <f t="shared" si="30"/>
        <v>1</v>
      </c>
    </row>
    <row r="103" spans="1:20" ht="24" customHeight="1">
      <c r="A103" s="587"/>
      <c r="B103" s="588"/>
      <c r="C103" s="589"/>
      <c r="D103" s="46" t="str">
        <f>IF(D102&gt;0,TRUNC($C$102*D102,2),"")</f>
        <v/>
      </c>
      <c r="E103" s="46" t="str">
        <f t="shared" ref="E103:S103" si="41">IF(E102&gt;0,TRUNC($C$102*E102,2),"")</f>
        <v/>
      </c>
      <c r="F103" s="46" t="str">
        <f t="shared" si="41"/>
        <v/>
      </c>
      <c r="G103" s="46" t="str">
        <f t="shared" si="41"/>
        <v/>
      </c>
      <c r="H103" s="46" t="str">
        <f t="shared" si="41"/>
        <v/>
      </c>
      <c r="I103" s="46" t="str">
        <f t="shared" si="41"/>
        <v/>
      </c>
      <c r="J103" s="46" t="str">
        <f t="shared" si="41"/>
        <v/>
      </c>
      <c r="K103" s="46" t="str">
        <f t="shared" si="41"/>
        <v/>
      </c>
      <c r="L103" s="46" t="str">
        <f t="shared" si="41"/>
        <v/>
      </c>
      <c r="M103" s="46" t="str">
        <f t="shared" si="41"/>
        <v/>
      </c>
      <c r="N103" s="46">
        <f t="shared" si="41"/>
        <v>120.36</v>
      </c>
      <c r="O103" s="46" t="str">
        <f t="shared" si="41"/>
        <v/>
      </c>
      <c r="P103" s="46" t="str">
        <f t="shared" si="41"/>
        <v/>
      </c>
      <c r="Q103" s="46" t="str">
        <f t="shared" si="41"/>
        <v/>
      </c>
      <c r="R103" s="46">
        <f t="shared" si="41"/>
        <v>120.36</v>
      </c>
      <c r="S103" s="46" t="str">
        <f t="shared" si="41"/>
        <v/>
      </c>
      <c r="T103" s="421">
        <f t="shared" si="30"/>
        <v>240.72</v>
      </c>
    </row>
    <row r="104" spans="1:20" ht="24" customHeight="1">
      <c r="A104" s="587" t="s">
        <v>524</v>
      </c>
      <c r="B104" s="588" t="str">
        <f>_xlfn.XLOOKUP(A104,'PLANILHA ORCAMENTARIA'!$A$12:$A$72,'PLANILHA ORCAMENTARIA'!$C$12:$C$72)</f>
        <v>CONDULETE DE PVC, TIPO C, PARA ELETRODUTO DE PVC SOLDÁVEL DN 32 MM (1''), APARENTE - FORNECIMENTO E INSTALAÇÃO. AF_10/2022 (GRUPO A - CARRO 3)</v>
      </c>
      <c r="C104" s="589">
        <f>_xlfn.XLOOKUP(A104,'PLANILHA ORCAMENTARIA'!$A$12:$A$72,'PLANILHA ORCAMENTARIA'!$J$12:$J$72)</f>
        <v>240.72</v>
      </c>
      <c r="D104" s="423"/>
      <c r="E104" s="423"/>
      <c r="F104" s="423"/>
      <c r="G104" s="423"/>
      <c r="H104" s="423"/>
      <c r="I104" s="423"/>
      <c r="J104" s="423"/>
      <c r="K104" s="423"/>
      <c r="L104" s="423"/>
      <c r="M104" s="423"/>
      <c r="N104" s="423">
        <v>0.5</v>
      </c>
      <c r="O104" s="423"/>
      <c r="P104" s="423"/>
      <c r="Q104" s="423"/>
      <c r="R104" s="423">
        <v>0.5</v>
      </c>
      <c r="S104" s="423"/>
      <c r="T104" s="420">
        <f t="shared" si="30"/>
        <v>1</v>
      </c>
    </row>
    <row r="105" spans="1:20" ht="24" customHeight="1">
      <c r="A105" s="587"/>
      <c r="B105" s="588"/>
      <c r="C105" s="589"/>
      <c r="D105" s="46" t="str">
        <f>IF(D104&gt;0,TRUNC($C$104*D104,2),"")</f>
        <v/>
      </c>
      <c r="E105" s="46" t="str">
        <f t="shared" ref="E105:S105" si="42">IF(E104&gt;0,TRUNC($C$104*E104,2),"")</f>
        <v/>
      </c>
      <c r="F105" s="46" t="str">
        <f t="shared" si="42"/>
        <v/>
      </c>
      <c r="G105" s="46" t="str">
        <f t="shared" si="42"/>
        <v/>
      </c>
      <c r="H105" s="46" t="str">
        <f t="shared" si="42"/>
        <v/>
      </c>
      <c r="I105" s="46" t="str">
        <f t="shared" si="42"/>
        <v/>
      </c>
      <c r="J105" s="46" t="str">
        <f t="shared" si="42"/>
        <v/>
      </c>
      <c r="K105" s="46" t="str">
        <f t="shared" si="42"/>
        <v/>
      </c>
      <c r="L105" s="46" t="str">
        <f t="shared" si="42"/>
        <v/>
      </c>
      <c r="M105" s="46" t="str">
        <f t="shared" si="42"/>
        <v/>
      </c>
      <c r="N105" s="46">
        <f t="shared" si="42"/>
        <v>120.36</v>
      </c>
      <c r="O105" s="46" t="str">
        <f t="shared" si="42"/>
        <v/>
      </c>
      <c r="P105" s="46" t="str">
        <f t="shared" si="42"/>
        <v/>
      </c>
      <c r="Q105" s="46" t="str">
        <f t="shared" si="42"/>
        <v/>
      </c>
      <c r="R105" s="46">
        <f t="shared" si="42"/>
        <v>120.36</v>
      </c>
      <c r="S105" s="46" t="str">
        <f t="shared" si="42"/>
        <v/>
      </c>
      <c r="T105" s="421">
        <f t="shared" si="30"/>
        <v>240.72</v>
      </c>
    </row>
    <row r="106" spans="1:20" ht="24" customHeight="1">
      <c r="A106" s="587" t="s">
        <v>525</v>
      </c>
      <c r="B106" s="588" t="str">
        <f>_xlfn.XLOOKUP(A106,'PLANILHA ORCAMENTARIA'!$A$12:$A$72,'PLANILHA ORCAMENTARIA'!$C$12:$C$72)</f>
        <v>CONDULETE DE PVC, TIPO C, PARA ELETRODUTO DE PVC SOLDÁVEL DN 32 MM (1''), APARENTE - FORNECIMENTO E INSTALAÇÃO. AF_10/2022 (GRUPO B)</v>
      </c>
      <c r="C106" s="589">
        <f>_xlfn.XLOOKUP(A106,'PLANILHA ORCAMENTARIA'!$A$12:$A$72,'PLANILHA ORCAMENTARIA'!$J$12:$J$72)</f>
        <v>270.81</v>
      </c>
      <c r="D106" s="423"/>
      <c r="E106" s="423"/>
      <c r="F106" s="423"/>
      <c r="G106" s="423"/>
      <c r="H106" s="423"/>
      <c r="I106" s="423"/>
      <c r="J106" s="423"/>
      <c r="K106" s="423"/>
      <c r="L106" s="423"/>
      <c r="M106" s="423"/>
      <c r="N106" s="423">
        <v>0.5</v>
      </c>
      <c r="O106" s="423"/>
      <c r="P106" s="423"/>
      <c r="Q106" s="423"/>
      <c r="R106" s="423">
        <v>0.5</v>
      </c>
      <c r="S106" s="423"/>
      <c r="T106" s="420">
        <f t="shared" si="30"/>
        <v>1</v>
      </c>
    </row>
    <row r="107" spans="1:20" ht="24" customHeight="1">
      <c r="A107" s="587"/>
      <c r="B107" s="588"/>
      <c r="C107" s="589"/>
      <c r="D107" s="46" t="str">
        <f>IF(D106&gt;0,TRUNC($C$106*D106,2),"")</f>
        <v/>
      </c>
      <c r="E107" s="46" t="str">
        <f t="shared" ref="E107:S107" si="43">IF(E106&gt;0,TRUNC($C$106*E106,2),"")</f>
        <v/>
      </c>
      <c r="F107" s="46" t="str">
        <f t="shared" si="43"/>
        <v/>
      </c>
      <c r="G107" s="46" t="str">
        <f t="shared" si="43"/>
        <v/>
      </c>
      <c r="H107" s="46" t="str">
        <f t="shared" si="43"/>
        <v/>
      </c>
      <c r="I107" s="46" t="str">
        <f t="shared" si="43"/>
        <v/>
      </c>
      <c r="J107" s="46" t="str">
        <f t="shared" si="43"/>
        <v/>
      </c>
      <c r="K107" s="46" t="str">
        <f t="shared" si="43"/>
        <v/>
      </c>
      <c r="L107" s="46" t="str">
        <f t="shared" si="43"/>
        <v/>
      </c>
      <c r="M107" s="46" t="str">
        <f t="shared" si="43"/>
        <v/>
      </c>
      <c r="N107" s="46">
        <f t="shared" si="43"/>
        <v>135.4</v>
      </c>
      <c r="O107" s="46" t="str">
        <f t="shared" si="43"/>
        <v/>
      </c>
      <c r="P107" s="46" t="str">
        <f t="shared" si="43"/>
        <v/>
      </c>
      <c r="Q107" s="46" t="str">
        <f t="shared" si="43"/>
        <v/>
      </c>
      <c r="R107" s="46">
        <f t="shared" si="43"/>
        <v>135.4</v>
      </c>
      <c r="S107" s="46" t="str">
        <f t="shared" si="43"/>
        <v/>
      </c>
      <c r="T107" s="421">
        <f t="shared" si="30"/>
        <v>270.8</v>
      </c>
    </row>
    <row r="108" spans="1:20" ht="24" customHeight="1">
      <c r="A108" s="587" t="s">
        <v>526</v>
      </c>
      <c r="B108" s="588" t="str">
        <f>_xlfn.XLOOKUP(A108,'PLANILHA ORCAMENTARIA'!$A$12:$A$72,'PLANILHA ORCAMENTARIA'!$C$12:$C$72)</f>
        <v>CABO DE COBRE FLEXÍVEL ISOLADO, 2,5 MM², ANTI-CHAMA 0,6/1,0 KV, PARA CIRCUITOS TERMINAIS - FORNECIMENTO E INSTALAÇÃO. AF_03/2023 (GRUPO A - CARRO 1)</v>
      </c>
      <c r="C108" s="589">
        <f>_xlfn.XLOOKUP(A108,'PLANILHA ORCAMENTARIA'!$A$12:$A$72,'PLANILHA ORCAMENTARIA'!$J$12:$J$72)</f>
        <v>442.26</v>
      </c>
      <c r="D108" s="423"/>
      <c r="E108" s="423"/>
      <c r="F108" s="423"/>
      <c r="G108" s="423"/>
      <c r="H108" s="423"/>
      <c r="I108" s="423"/>
      <c r="J108" s="423"/>
      <c r="K108" s="423"/>
      <c r="L108" s="423"/>
      <c r="M108" s="423"/>
      <c r="N108" s="423">
        <v>0.5</v>
      </c>
      <c r="O108" s="423"/>
      <c r="P108" s="423"/>
      <c r="Q108" s="423"/>
      <c r="R108" s="423">
        <v>0.5</v>
      </c>
      <c r="S108" s="423"/>
      <c r="T108" s="420">
        <f t="shared" si="30"/>
        <v>1</v>
      </c>
    </row>
    <row r="109" spans="1:20" ht="24" customHeight="1">
      <c r="A109" s="587"/>
      <c r="B109" s="588"/>
      <c r="C109" s="589"/>
      <c r="D109" s="46" t="str">
        <f>IF(D108&gt;0,TRUNC($C$108*D108,2),"")</f>
        <v/>
      </c>
      <c r="E109" s="46" t="str">
        <f t="shared" ref="E109:S109" si="44">IF(E108&gt;0,TRUNC($C$108*E108,2),"")</f>
        <v/>
      </c>
      <c r="F109" s="46" t="str">
        <f t="shared" si="44"/>
        <v/>
      </c>
      <c r="G109" s="46" t="str">
        <f t="shared" si="44"/>
        <v/>
      </c>
      <c r="H109" s="46" t="str">
        <f t="shared" si="44"/>
        <v/>
      </c>
      <c r="I109" s="46" t="str">
        <f t="shared" si="44"/>
        <v/>
      </c>
      <c r="J109" s="46" t="str">
        <f t="shared" si="44"/>
        <v/>
      </c>
      <c r="K109" s="46" t="str">
        <f t="shared" si="44"/>
        <v/>
      </c>
      <c r="L109" s="46" t="str">
        <f t="shared" si="44"/>
        <v/>
      </c>
      <c r="M109" s="46" t="str">
        <f t="shared" si="44"/>
        <v/>
      </c>
      <c r="N109" s="46">
        <f t="shared" si="44"/>
        <v>221.13</v>
      </c>
      <c r="O109" s="46" t="str">
        <f t="shared" si="44"/>
        <v/>
      </c>
      <c r="P109" s="46" t="str">
        <f t="shared" si="44"/>
        <v/>
      </c>
      <c r="Q109" s="46" t="str">
        <f t="shared" si="44"/>
        <v/>
      </c>
      <c r="R109" s="46">
        <f t="shared" si="44"/>
        <v>221.13</v>
      </c>
      <c r="S109" s="46" t="str">
        <f t="shared" si="44"/>
        <v/>
      </c>
      <c r="T109" s="421">
        <f t="shared" si="30"/>
        <v>442.26</v>
      </c>
    </row>
    <row r="110" spans="1:20" ht="24" customHeight="1">
      <c r="A110" s="587" t="s">
        <v>527</v>
      </c>
      <c r="B110" s="588" t="str">
        <f>_xlfn.XLOOKUP(A110,'PLANILHA ORCAMENTARIA'!$A$12:$A$72,'PLANILHA ORCAMENTARIA'!$C$12:$C$72)</f>
        <v>CABO DE COBRE FLEXÍVEL ISOLADO, 2,5 MM², ANTI-CHAMA 0,6/1,0 KV, PARA CIRCUITOS TERMINAIS - FORNECIMENTO E INSTALAÇÃO. AF_03/2023 (GRUPO A - CARRO 2)</v>
      </c>
      <c r="C110" s="589">
        <f>_xlfn.XLOOKUP(A110,'PLANILHA ORCAMENTARIA'!$A$12:$A$72,'PLANILHA ORCAMENTARIA'!$J$12:$J$72)</f>
        <v>442.26</v>
      </c>
      <c r="D110" s="423"/>
      <c r="E110" s="423"/>
      <c r="F110" s="423"/>
      <c r="G110" s="423"/>
      <c r="H110" s="423"/>
      <c r="I110" s="423"/>
      <c r="J110" s="423"/>
      <c r="K110" s="423"/>
      <c r="L110" s="423"/>
      <c r="M110" s="423"/>
      <c r="N110" s="423">
        <v>0.5</v>
      </c>
      <c r="O110" s="423"/>
      <c r="P110" s="423"/>
      <c r="Q110" s="423"/>
      <c r="R110" s="423">
        <v>0.5</v>
      </c>
      <c r="S110" s="423"/>
      <c r="T110" s="420">
        <f t="shared" si="30"/>
        <v>1</v>
      </c>
    </row>
    <row r="111" spans="1:20" ht="24" customHeight="1">
      <c r="A111" s="587"/>
      <c r="B111" s="588"/>
      <c r="C111" s="589"/>
      <c r="D111" s="46" t="str">
        <f>IF(D110&gt;0,TRUNC($C$110*D110,2),"")</f>
        <v/>
      </c>
      <c r="E111" s="46" t="str">
        <f t="shared" ref="E111:S111" si="45">IF(E110&gt;0,TRUNC($C$110*E110,2),"")</f>
        <v/>
      </c>
      <c r="F111" s="46" t="str">
        <f t="shared" si="45"/>
        <v/>
      </c>
      <c r="G111" s="46" t="str">
        <f t="shared" si="45"/>
        <v/>
      </c>
      <c r="H111" s="46" t="str">
        <f t="shared" si="45"/>
        <v/>
      </c>
      <c r="I111" s="46" t="str">
        <f t="shared" si="45"/>
        <v/>
      </c>
      <c r="J111" s="46" t="str">
        <f t="shared" si="45"/>
        <v/>
      </c>
      <c r="K111" s="46" t="str">
        <f t="shared" si="45"/>
        <v/>
      </c>
      <c r="L111" s="46" t="str">
        <f t="shared" si="45"/>
        <v/>
      </c>
      <c r="M111" s="46" t="str">
        <f t="shared" si="45"/>
        <v/>
      </c>
      <c r="N111" s="46">
        <f t="shared" si="45"/>
        <v>221.13</v>
      </c>
      <c r="O111" s="46" t="str">
        <f t="shared" si="45"/>
        <v/>
      </c>
      <c r="P111" s="46" t="str">
        <f t="shared" si="45"/>
        <v/>
      </c>
      <c r="Q111" s="46" t="str">
        <f t="shared" si="45"/>
        <v/>
      </c>
      <c r="R111" s="46">
        <f t="shared" si="45"/>
        <v>221.13</v>
      </c>
      <c r="S111" s="46" t="str">
        <f t="shared" si="45"/>
        <v/>
      </c>
      <c r="T111" s="421">
        <f t="shared" si="30"/>
        <v>442.26</v>
      </c>
    </row>
    <row r="112" spans="1:20" ht="24" customHeight="1">
      <c r="A112" s="587" t="s">
        <v>528</v>
      </c>
      <c r="B112" s="588" t="str">
        <f>_xlfn.XLOOKUP(A112,'PLANILHA ORCAMENTARIA'!$A$12:$A$72,'PLANILHA ORCAMENTARIA'!$C$12:$C$72)</f>
        <v>CABO DE COBRE FLEXÍVEL ISOLADO, 2,5 MM², ANTI-CHAMA 0,6/1,0 KV, PARA CIRCUITOS TERMINAIS - FORNECIMENTO E INSTALAÇÃO. AF_03/2023 (GRUPO A - CARRO 3)</v>
      </c>
      <c r="C112" s="589">
        <f>_xlfn.XLOOKUP(A112,'PLANILHA ORCAMENTARIA'!$A$12:$A$72,'PLANILHA ORCAMENTARIA'!$J$12:$J$72)</f>
        <v>442.26</v>
      </c>
      <c r="D112" s="423"/>
      <c r="E112" s="423"/>
      <c r="F112" s="423"/>
      <c r="G112" s="423"/>
      <c r="H112" s="423"/>
      <c r="I112" s="423"/>
      <c r="J112" s="423"/>
      <c r="K112" s="423"/>
      <c r="L112" s="423"/>
      <c r="M112" s="423"/>
      <c r="N112" s="423">
        <v>0.5</v>
      </c>
      <c r="O112" s="423"/>
      <c r="P112" s="423"/>
      <c r="Q112" s="423"/>
      <c r="R112" s="423">
        <v>0.5</v>
      </c>
      <c r="S112" s="423"/>
      <c r="T112" s="420">
        <f t="shared" si="30"/>
        <v>1</v>
      </c>
    </row>
    <row r="113" spans="1:22" ht="24" customHeight="1">
      <c r="A113" s="587"/>
      <c r="B113" s="588"/>
      <c r="C113" s="589"/>
      <c r="D113" s="46" t="str">
        <f>IF(D112&gt;0,TRUNC($C$112*D112,2),"")</f>
        <v/>
      </c>
      <c r="E113" s="46" t="str">
        <f t="shared" ref="E113:S113" si="46">IF(E112&gt;0,TRUNC($C$112*E112,2),"")</f>
        <v/>
      </c>
      <c r="F113" s="46" t="str">
        <f t="shared" si="46"/>
        <v/>
      </c>
      <c r="G113" s="46" t="str">
        <f t="shared" si="46"/>
        <v/>
      </c>
      <c r="H113" s="46" t="str">
        <f t="shared" si="46"/>
        <v/>
      </c>
      <c r="I113" s="46" t="str">
        <f t="shared" si="46"/>
        <v/>
      </c>
      <c r="J113" s="46" t="str">
        <f t="shared" si="46"/>
        <v/>
      </c>
      <c r="K113" s="46" t="str">
        <f t="shared" si="46"/>
        <v/>
      </c>
      <c r="L113" s="46" t="str">
        <f t="shared" si="46"/>
        <v/>
      </c>
      <c r="M113" s="46" t="str">
        <f t="shared" si="46"/>
        <v/>
      </c>
      <c r="N113" s="46">
        <f t="shared" si="46"/>
        <v>221.13</v>
      </c>
      <c r="O113" s="46" t="str">
        <f t="shared" si="46"/>
        <v/>
      </c>
      <c r="P113" s="46" t="str">
        <f t="shared" si="46"/>
        <v/>
      </c>
      <c r="Q113" s="46" t="str">
        <f t="shared" si="46"/>
        <v/>
      </c>
      <c r="R113" s="46">
        <f t="shared" si="46"/>
        <v>221.13</v>
      </c>
      <c r="S113" s="46" t="str">
        <f t="shared" si="46"/>
        <v/>
      </c>
      <c r="T113" s="421">
        <f t="shared" si="30"/>
        <v>442.26</v>
      </c>
    </row>
    <row r="114" spans="1:22" ht="24" customHeight="1">
      <c r="A114" s="587" t="s">
        <v>588</v>
      </c>
      <c r="B114" s="588" t="str">
        <f>_xlfn.XLOOKUP(A114,'PLANILHA ORCAMENTARIA'!$A$12:$A$72,'PLANILHA ORCAMENTARIA'!$C$12:$C$72)</f>
        <v>CABO DE COBRE FLEXÍVEL ISOLADO, 2,5 MM², ANTI-CHAMA 0,6/1,0 KV, PARA CIRCUITOS TERMINAIS - FORNECIMENTO E INSTALAÇÃO. AF_03/2023 (GRUPO B)</v>
      </c>
      <c r="C114" s="589">
        <f>_xlfn.XLOOKUP(A114,'PLANILHA ORCAMENTARIA'!$A$12:$A$72,'PLANILHA ORCAMENTARIA'!$J$12:$J$72)</f>
        <v>557.91999999999996</v>
      </c>
      <c r="D114" s="423"/>
      <c r="E114" s="423"/>
      <c r="F114" s="423"/>
      <c r="G114" s="423"/>
      <c r="H114" s="423"/>
      <c r="I114" s="423"/>
      <c r="J114" s="423"/>
      <c r="K114" s="423"/>
      <c r="L114" s="423"/>
      <c r="M114" s="423"/>
      <c r="N114" s="423">
        <v>0.5</v>
      </c>
      <c r="O114" s="423"/>
      <c r="P114" s="423"/>
      <c r="Q114" s="423"/>
      <c r="R114" s="423">
        <v>0.5</v>
      </c>
      <c r="S114" s="423"/>
      <c r="T114" s="420">
        <f t="shared" si="30"/>
        <v>1</v>
      </c>
    </row>
    <row r="115" spans="1:22" ht="24" customHeight="1">
      <c r="A115" s="587"/>
      <c r="B115" s="588"/>
      <c r="C115" s="589"/>
      <c r="D115" s="46" t="str">
        <f>IF(D114&gt;0,TRUNC($C$114*D114,2),"")</f>
        <v/>
      </c>
      <c r="E115" s="46" t="str">
        <f t="shared" ref="E115:S115" si="47">IF(E114&gt;0,TRUNC($C$114*E114,2),"")</f>
        <v/>
      </c>
      <c r="F115" s="46" t="str">
        <f t="shared" si="47"/>
        <v/>
      </c>
      <c r="G115" s="46" t="str">
        <f t="shared" si="47"/>
        <v/>
      </c>
      <c r="H115" s="46" t="str">
        <f t="shared" si="47"/>
        <v/>
      </c>
      <c r="I115" s="46" t="str">
        <f t="shared" si="47"/>
        <v/>
      </c>
      <c r="J115" s="46" t="str">
        <f t="shared" si="47"/>
        <v/>
      </c>
      <c r="K115" s="46" t="str">
        <f t="shared" si="47"/>
        <v/>
      </c>
      <c r="L115" s="46" t="str">
        <f t="shared" si="47"/>
        <v/>
      </c>
      <c r="M115" s="46" t="str">
        <f t="shared" si="47"/>
        <v/>
      </c>
      <c r="N115" s="46">
        <f t="shared" si="47"/>
        <v>278.95999999999998</v>
      </c>
      <c r="O115" s="46" t="str">
        <f t="shared" si="47"/>
        <v/>
      </c>
      <c r="P115" s="46" t="str">
        <f t="shared" si="47"/>
        <v/>
      </c>
      <c r="Q115" s="46" t="str">
        <f t="shared" si="47"/>
        <v/>
      </c>
      <c r="R115" s="46">
        <f t="shared" si="47"/>
        <v>278.95999999999998</v>
      </c>
      <c r="S115" s="46" t="str">
        <f t="shared" si="47"/>
        <v/>
      </c>
      <c r="T115" s="421">
        <f t="shared" si="30"/>
        <v>557.91999999999996</v>
      </c>
    </row>
    <row r="116" spans="1:22" ht="24" customHeight="1">
      <c r="A116" s="508"/>
      <c r="B116" s="509" t="s">
        <v>69</v>
      </c>
      <c r="C116" s="504">
        <f>SUM(C12:C115)</f>
        <v>1541225.3799999997</v>
      </c>
      <c r="D116" s="578"/>
      <c r="E116" s="579"/>
      <c r="F116" s="579"/>
      <c r="G116" s="579"/>
      <c r="H116" s="579"/>
      <c r="I116" s="579"/>
      <c r="J116" s="579"/>
      <c r="K116" s="579"/>
      <c r="L116" s="579"/>
      <c r="M116" s="579"/>
      <c r="N116" s="579"/>
      <c r="O116" s="579"/>
      <c r="P116" s="579"/>
      <c r="Q116" s="579"/>
      <c r="R116" s="579"/>
      <c r="S116" s="580"/>
      <c r="T116" s="507"/>
    </row>
    <row r="117" spans="1:22">
      <c r="A117" s="581" t="s">
        <v>774</v>
      </c>
      <c r="B117" s="582"/>
      <c r="C117" s="503" t="s">
        <v>775</v>
      </c>
      <c r="D117" s="501">
        <f>TRUNC(SUM(D115,D113,D111,D109,D107,D105,D103,D101,D99,D97,D95,D93,D91,D89,D87,D85,D83,D81,D79,D77,D75,D73,D71,D69,D67,D65,D63,D61,D59,D57,D55,D53,D51,D49,D47,D45,D43,D41,D39,D33,D31,D29,D27,D25,D23,D21,D19,D17,D15,D13),2)</f>
        <v>106738.84</v>
      </c>
      <c r="E117" s="501">
        <f t="shared" ref="E117:S117" si="48">TRUNC(SUM(E115,E113,E111,E109,E107,E105,E103,E101,E99,E97,E95,E93,E91,E89,E87,E85,E83,E81,E79,E77,E75,E73,E71,E69,E67,E65,E63,E61,E59,E57,E55,E53,E51,E49,E47,E45,E43,E41,E39,E33,E31,E29,E27,E25,E23,E21,E19,E17,E15,E13),2)</f>
        <v>106432.7</v>
      </c>
      <c r="F117" s="501">
        <f t="shared" si="48"/>
        <v>106432.7</v>
      </c>
      <c r="G117" s="501">
        <f t="shared" si="48"/>
        <v>106432.7</v>
      </c>
      <c r="H117" s="501">
        <f t="shared" si="48"/>
        <v>106432.7</v>
      </c>
      <c r="I117" s="501">
        <f t="shared" si="48"/>
        <v>106432.7</v>
      </c>
      <c r="J117" s="501">
        <f t="shared" si="48"/>
        <v>106432.7</v>
      </c>
      <c r="K117" s="501">
        <f t="shared" si="48"/>
        <v>180373.61</v>
      </c>
      <c r="L117" s="501">
        <f>TRUNC(SUM(L115,L113,L111,L109,L107,L105,L103,L101,L99,L97,L95,L93,L91,L89,L87,L85,L83,L81,L79,L77,L75,L73,L71,L69,L67,L65,L63,L61,L59,L57,L55,L53,L51,L49,L47,L45,L43,L41,L37,L35,L39,L33,L31,L29,L27,L25,L23,L21,L19,L17,L15,L13),2)</f>
        <v>34886.29</v>
      </c>
      <c r="M117" s="501">
        <f t="shared" si="48"/>
        <v>56821.17</v>
      </c>
      <c r="N117" s="501">
        <f t="shared" si="48"/>
        <v>54990.26</v>
      </c>
      <c r="O117" s="501">
        <f t="shared" si="48"/>
        <v>147976.69</v>
      </c>
      <c r="P117" s="501">
        <f>TRUNC(SUM(P115,P113,P111,P109,P107,P105,P103,P101,P99,P97,P95,P93,P91,P89,P87,P85,P83,P81,P79,P77,P75,P73,P71,P69,P67,P65,P63,P61,P59,P57,P55,P53,P51,P49,P47,P45,P43,P41,P39,P37,P35,P33,P31,P29,P27,P25,P23,P21,P19,P17,P15,P13),2)</f>
        <v>37169.64</v>
      </c>
      <c r="Q117" s="501">
        <f t="shared" si="48"/>
        <v>60133.31</v>
      </c>
      <c r="R117" s="501">
        <f t="shared" si="48"/>
        <v>59876.44</v>
      </c>
      <c r="S117" s="501">
        <f t="shared" si="48"/>
        <v>163662.76</v>
      </c>
      <c r="T117" s="575">
        <f>C116</f>
        <v>1541225.3799999997</v>
      </c>
      <c r="V117" s="422"/>
    </row>
    <row r="118" spans="1:22">
      <c r="A118" s="583"/>
      <c r="B118" s="584"/>
      <c r="C118" s="503" t="s">
        <v>124</v>
      </c>
      <c r="D118" s="502">
        <f t="shared" ref="D118:S118" si="49">D117/$C$116</f>
        <v>6.9255828112563284E-2</v>
      </c>
      <c r="E118" s="502">
        <f t="shared" si="49"/>
        <v>6.9057193958225641E-2</v>
      </c>
      <c r="F118" s="502">
        <f t="shared" si="49"/>
        <v>6.9057193958225641E-2</v>
      </c>
      <c r="G118" s="502">
        <f t="shared" si="49"/>
        <v>6.9057193958225641E-2</v>
      </c>
      <c r="H118" s="502">
        <f t="shared" si="49"/>
        <v>6.9057193958225641E-2</v>
      </c>
      <c r="I118" s="502">
        <f t="shared" si="49"/>
        <v>6.9057193958225641E-2</v>
      </c>
      <c r="J118" s="502">
        <f t="shared" si="49"/>
        <v>6.9057193958225641E-2</v>
      </c>
      <c r="K118" s="502">
        <f t="shared" si="49"/>
        <v>0.11703259778916957</v>
      </c>
      <c r="L118" s="502">
        <f t="shared" si="49"/>
        <v>2.2635424028638829E-2</v>
      </c>
      <c r="M118" s="502">
        <f t="shared" si="49"/>
        <v>3.6867528096377451E-2</v>
      </c>
      <c r="N118" s="502">
        <f t="shared" si="49"/>
        <v>3.5679570758171665E-2</v>
      </c>
      <c r="O118" s="502">
        <f t="shared" si="49"/>
        <v>9.6012362578664537E-2</v>
      </c>
      <c r="P118" s="502">
        <f t="shared" si="49"/>
        <v>2.4116939989659403E-2</v>
      </c>
      <c r="Q118" s="502">
        <f t="shared" si="49"/>
        <v>3.9016558369938087E-2</v>
      </c>
      <c r="R118" s="502">
        <f t="shared" si="49"/>
        <v>3.8849892285059577E-2</v>
      </c>
      <c r="S118" s="502">
        <f t="shared" si="49"/>
        <v>0.10619002394056089</v>
      </c>
      <c r="T118" s="576"/>
      <c r="V118" s="422"/>
    </row>
    <row r="119" spans="1:22">
      <c r="A119" s="581" t="s">
        <v>773</v>
      </c>
      <c r="B119" s="582"/>
      <c r="C119" s="503" t="s">
        <v>775</v>
      </c>
      <c r="D119" s="500">
        <f>D117</f>
        <v>106738.84</v>
      </c>
      <c r="E119" s="500">
        <f>E117+D119</f>
        <v>213171.53999999998</v>
      </c>
      <c r="F119" s="500">
        <f t="shared" ref="F119:R119" si="50">F117+E119</f>
        <v>319604.24</v>
      </c>
      <c r="G119" s="500">
        <f t="shared" si="50"/>
        <v>426036.94</v>
      </c>
      <c r="H119" s="500">
        <f t="shared" si="50"/>
        <v>532469.64</v>
      </c>
      <c r="I119" s="500">
        <f t="shared" si="50"/>
        <v>638902.34</v>
      </c>
      <c r="J119" s="500">
        <f t="shared" si="50"/>
        <v>745335.03999999992</v>
      </c>
      <c r="K119" s="500">
        <f t="shared" si="50"/>
        <v>925708.64999999991</v>
      </c>
      <c r="L119" s="500">
        <f t="shared" si="50"/>
        <v>960594.94</v>
      </c>
      <c r="M119" s="500">
        <f t="shared" si="50"/>
        <v>1017416.11</v>
      </c>
      <c r="N119" s="500">
        <f t="shared" si="50"/>
        <v>1072406.3699999999</v>
      </c>
      <c r="O119" s="500">
        <f t="shared" si="50"/>
        <v>1220383.0599999998</v>
      </c>
      <c r="P119" s="500">
        <f t="shared" si="50"/>
        <v>1257552.6999999997</v>
      </c>
      <c r="Q119" s="500">
        <f t="shared" si="50"/>
        <v>1317686.0099999998</v>
      </c>
      <c r="R119" s="500">
        <f t="shared" si="50"/>
        <v>1377562.4499999997</v>
      </c>
      <c r="S119" s="500">
        <f>S117+R119+0.26</f>
        <v>1541225.4699999997</v>
      </c>
      <c r="T119" s="576"/>
    </row>
    <row r="120" spans="1:22" ht="14.5" thickBot="1">
      <c r="A120" s="585"/>
      <c r="B120" s="586"/>
      <c r="C120" s="505" t="s">
        <v>124</v>
      </c>
      <c r="D120" s="506">
        <f t="shared" ref="D120:S120" si="51">D119/$C$116</f>
        <v>6.9255828112563284E-2</v>
      </c>
      <c r="E120" s="506">
        <f t="shared" si="51"/>
        <v>0.13831302207078891</v>
      </c>
      <c r="F120" s="506">
        <f t="shared" si="51"/>
        <v>0.20737021602901456</v>
      </c>
      <c r="G120" s="506">
        <f t="shared" si="51"/>
        <v>0.27642740998724019</v>
      </c>
      <c r="H120" s="506">
        <f t="shared" si="51"/>
        <v>0.34548460394546587</v>
      </c>
      <c r="I120" s="506">
        <f t="shared" si="51"/>
        <v>0.4145417979036915</v>
      </c>
      <c r="J120" s="506">
        <f t="shared" si="51"/>
        <v>0.48359899186191707</v>
      </c>
      <c r="K120" s="506">
        <f t="shared" si="51"/>
        <v>0.60063158965108665</v>
      </c>
      <c r="L120" s="506">
        <f t="shared" si="51"/>
        <v>0.62326701367972548</v>
      </c>
      <c r="M120" s="506">
        <f t="shared" si="51"/>
        <v>0.66013454177610298</v>
      </c>
      <c r="N120" s="506">
        <f t="shared" si="51"/>
        <v>0.69581411253427461</v>
      </c>
      <c r="O120" s="506">
        <f t="shared" si="51"/>
        <v>0.79182647511293913</v>
      </c>
      <c r="P120" s="506">
        <f t="shared" si="51"/>
        <v>0.81594341510259838</v>
      </c>
      <c r="Q120" s="506">
        <f t="shared" si="51"/>
        <v>0.85495997347253661</v>
      </c>
      <c r="R120" s="506">
        <f t="shared" si="51"/>
        <v>0.89380986575759613</v>
      </c>
      <c r="S120" s="506">
        <f t="shared" si="51"/>
        <v>1.0000000583950934</v>
      </c>
      <c r="T120" s="577"/>
    </row>
    <row r="121" spans="1:22">
      <c r="C121" s="422"/>
      <c r="T121" s="422"/>
    </row>
    <row r="122" spans="1:22" hidden="1">
      <c r="A122" s="424"/>
      <c r="B122" s="424"/>
      <c r="C122" s="425">
        <f>C116-C12</f>
        <v>1349134.9899999998</v>
      </c>
      <c r="D122" s="425">
        <f>SUM(D15,D17,D19,D21,D23,D25,D27,D29,D31,D33,D39,D41,D43,D45,D47,D49,D51,D53,D55,D57,D59,D61,D63,D65,D67,D69,D71,D73,D75,D77,D79,D81,D83,D85,D87,D89,D91,D93,D95,D97,D99,D101,D103,D105,D107,D109,D111,D113,D115)</f>
        <v>106738.84</v>
      </c>
      <c r="E122" s="425">
        <f t="shared" ref="E122:S122" si="52">SUM(E15,E17,E19,E21,E23,E25,E27,E29,E31,E33,E39,E41,E43,E45,E47,E49,E51,E53,E55,E57,E59,E61,E63,E65,E67,E69,E71,E73,E75,E77,E79,E81,E83,E85,E87,E89,E91,E93,E95,E97,E99,E101,E103,E105,E107,E109,E111,E113,E115)</f>
        <v>106432.7</v>
      </c>
      <c r="F122" s="425">
        <f t="shared" si="52"/>
        <v>106432.7</v>
      </c>
      <c r="G122" s="425">
        <f t="shared" si="52"/>
        <v>106432.7</v>
      </c>
      <c r="H122" s="425">
        <f t="shared" si="52"/>
        <v>106432.7</v>
      </c>
      <c r="I122" s="425">
        <f t="shared" si="52"/>
        <v>106432.7</v>
      </c>
      <c r="J122" s="425">
        <f t="shared" si="52"/>
        <v>106432.7</v>
      </c>
      <c r="K122" s="425">
        <f t="shared" si="52"/>
        <v>136741.16</v>
      </c>
      <c r="L122" s="425">
        <f t="shared" si="52"/>
        <v>25764.42</v>
      </c>
      <c r="M122" s="425">
        <f t="shared" si="52"/>
        <v>43076.11</v>
      </c>
      <c r="N122" s="425">
        <f t="shared" si="52"/>
        <v>41688.100000000006</v>
      </c>
      <c r="O122" s="425">
        <f t="shared" si="52"/>
        <v>112181.06999999999</v>
      </c>
      <c r="P122" s="425">
        <f t="shared" si="52"/>
        <v>27495.43</v>
      </c>
      <c r="Q122" s="425">
        <f t="shared" si="52"/>
        <v>45587.040000000001</v>
      </c>
      <c r="R122" s="425">
        <f t="shared" si="52"/>
        <v>45392.310000000012</v>
      </c>
      <c r="S122" s="425">
        <f t="shared" si="52"/>
        <v>124072.67</v>
      </c>
      <c r="T122" s="424"/>
    </row>
    <row r="123" spans="1:22" hidden="1">
      <c r="A123" s="424"/>
      <c r="B123" s="424"/>
      <c r="C123" s="424"/>
      <c r="D123" s="426">
        <f>D122/$C$122</f>
        <v>7.9116501159013017E-2</v>
      </c>
      <c r="E123" s="426">
        <f t="shared" ref="E123:S123" si="53">E122/$C$122</f>
        <v>7.8889585392785649E-2</v>
      </c>
      <c r="F123" s="426">
        <f t="shared" si="53"/>
        <v>7.8889585392785649E-2</v>
      </c>
      <c r="G123" s="426">
        <f t="shared" si="53"/>
        <v>7.8889585392785649E-2</v>
      </c>
      <c r="H123" s="426">
        <f t="shared" si="53"/>
        <v>7.8889585392785649E-2</v>
      </c>
      <c r="I123" s="426">
        <f t="shared" si="53"/>
        <v>7.8889585392785649E-2</v>
      </c>
      <c r="J123" s="426">
        <f t="shared" si="53"/>
        <v>7.8889585392785649E-2</v>
      </c>
      <c r="K123" s="426">
        <f t="shared" si="53"/>
        <v>0.1013546909786989</v>
      </c>
      <c r="L123" s="426">
        <f t="shared" si="53"/>
        <v>1.9096991917762065E-2</v>
      </c>
      <c r="M123" s="426">
        <f t="shared" si="53"/>
        <v>3.192868787725979E-2</v>
      </c>
      <c r="N123" s="426">
        <f t="shared" si="53"/>
        <v>3.089987311054768E-2</v>
      </c>
      <c r="O123" s="426">
        <f t="shared" si="53"/>
        <v>8.3150367332775213E-2</v>
      </c>
      <c r="P123" s="426">
        <f t="shared" si="53"/>
        <v>2.0380043660419782E-2</v>
      </c>
      <c r="Q123" s="426">
        <f t="shared" si="53"/>
        <v>3.3789828547846061E-2</v>
      </c>
      <c r="R123" s="426">
        <f t="shared" si="53"/>
        <v>3.364549161978226E-2</v>
      </c>
      <c r="S123" s="426">
        <f t="shared" si="53"/>
        <v>9.1964607633517839E-2</v>
      </c>
      <c r="T123" s="427">
        <f>SUM(D123:S123)</f>
        <v>0.99866459619433656</v>
      </c>
    </row>
    <row r="124" spans="1:22" hidden="1">
      <c r="C124" s="422"/>
    </row>
    <row r="125" spans="1:22">
      <c r="K125" s="428"/>
    </row>
  </sheetData>
  <mergeCells count="160">
    <mergeCell ref="C112:C113"/>
    <mergeCell ref="C114:C115"/>
    <mergeCell ref="C102:C103"/>
    <mergeCell ref="C104:C105"/>
    <mergeCell ref="C106:C107"/>
    <mergeCell ref="C108:C109"/>
    <mergeCell ref="C110:C111"/>
    <mergeCell ref="C92:C93"/>
    <mergeCell ref="C94:C95"/>
    <mergeCell ref="C96:C97"/>
    <mergeCell ref="C98:C99"/>
    <mergeCell ref="C100:C101"/>
    <mergeCell ref="C82:C83"/>
    <mergeCell ref="C84:C85"/>
    <mergeCell ref="C86:C87"/>
    <mergeCell ref="C88:C89"/>
    <mergeCell ref="C90:C91"/>
    <mergeCell ref="C72:C73"/>
    <mergeCell ref="C74:C75"/>
    <mergeCell ref="C76:C77"/>
    <mergeCell ref="C78:C79"/>
    <mergeCell ref="C80:C81"/>
    <mergeCell ref="C62:C63"/>
    <mergeCell ref="C64:C65"/>
    <mergeCell ref="C66:C67"/>
    <mergeCell ref="C68:C69"/>
    <mergeCell ref="C70:C71"/>
    <mergeCell ref="C52:C53"/>
    <mergeCell ref="C54:C55"/>
    <mergeCell ref="C56:C57"/>
    <mergeCell ref="C58:C59"/>
    <mergeCell ref="C60:C61"/>
    <mergeCell ref="C42:C43"/>
    <mergeCell ref="C44:C45"/>
    <mergeCell ref="C46:C47"/>
    <mergeCell ref="C48:C49"/>
    <mergeCell ref="C50:C51"/>
    <mergeCell ref="C14:C15"/>
    <mergeCell ref="C16:C17"/>
    <mergeCell ref="C18:C19"/>
    <mergeCell ref="C20:C21"/>
    <mergeCell ref="C22:C23"/>
    <mergeCell ref="C24:C25"/>
    <mergeCell ref="C26:C27"/>
    <mergeCell ref="C28:C29"/>
    <mergeCell ref="C30:C31"/>
    <mergeCell ref="C32:C33"/>
    <mergeCell ref="C38:C39"/>
    <mergeCell ref="C40:C41"/>
    <mergeCell ref="C34:C35"/>
    <mergeCell ref="C36:C37"/>
    <mergeCell ref="A114:A115"/>
    <mergeCell ref="B114:B115"/>
    <mergeCell ref="A108:A109"/>
    <mergeCell ref="B108:B109"/>
    <mergeCell ref="A110:A111"/>
    <mergeCell ref="B110:B111"/>
    <mergeCell ref="A112:A113"/>
    <mergeCell ref="B112:B113"/>
    <mergeCell ref="A102:A103"/>
    <mergeCell ref="B102:B103"/>
    <mergeCell ref="A104:A105"/>
    <mergeCell ref="B104:B105"/>
    <mergeCell ref="A106:A107"/>
    <mergeCell ref="B106:B107"/>
    <mergeCell ref="A96:A97"/>
    <mergeCell ref="B96:B97"/>
    <mergeCell ref="A98:A99"/>
    <mergeCell ref="B98:B99"/>
    <mergeCell ref="A100:A101"/>
    <mergeCell ref="B100:B101"/>
    <mergeCell ref="A90:A91"/>
    <mergeCell ref="B90:B91"/>
    <mergeCell ref="A92:A93"/>
    <mergeCell ref="B92:B93"/>
    <mergeCell ref="A94:A95"/>
    <mergeCell ref="B94:B95"/>
    <mergeCell ref="A84:A85"/>
    <mergeCell ref="B84:B85"/>
    <mergeCell ref="A86:A87"/>
    <mergeCell ref="B86:B87"/>
    <mergeCell ref="A88:A89"/>
    <mergeCell ref="B88:B89"/>
    <mergeCell ref="A78:A79"/>
    <mergeCell ref="B78:B79"/>
    <mergeCell ref="A80:A81"/>
    <mergeCell ref="B80:B81"/>
    <mergeCell ref="A82:A83"/>
    <mergeCell ref="B82:B83"/>
    <mergeCell ref="A72:A73"/>
    <mergeCell ref="B72:B73"/>
    <mergeCell ref="A74:A75"/>
    <mergeCell ref="B74:B75"/>
    <mergeCell ref="A76:A77"/>
    <mergeCell ref="B76:B77"/>
    <mergeCell ref="A66:A67"/>
    <mergeCell ref="B66:B67"/>
    <mergeCell ref="A68:A69"/>
    <mergeCell ref="B68:B69"/>
    <mergeCell ref="A70:A71"/>
    <mergeCell ref="B70:B71"/>
    <mergeCell ref="A60:A61"/>
    <mergeCell ref="B60:B61"/>
    <mergeCell ref="A62:A63"/>
    <mergeCell ref="B62:B63"/>
    <mergeCell ref="A64:A65"/>
    <mergeCell ref="B64:B65"/>
    <mergeCell ref="A54:A55"/>
    <mergeCell ref="B54:B55"/>
    <mergeCell ref="A56:A57"/>
    <mergeCell ref="B56:B57"/>
    <mergeCell ref="A58:A59"/>
    <mergeCell ref="B58:B59"/>
    <mergeCell ref="A50:A51"/>
    <mergeCell ref="B50:B51"/>
    <mergeCell ref="A52:A53"/>
    <mergeCell ref="B52:B53"/>
    <mergeCell ref="A42:A43"/>
    <mergeCell ref="B42:B43"/>
    <mergeCell ref="A44:A45"/>
    <mergeCell ref="B44:B45"/>
    <mergeCell ref="A46:A47"/>
    <mergeCell ref="B46:B47"/>
    <mergeCell ref="B40:B41"/>
    <mergeCell ref="A24:A25"/>
    <mergeCell ref="A26:A27"/>
    <mergeCell ref="A28:A29"/>
    <mergeCell ref="A30:A31"/>
    <mergeCell ref="A32:A33"/>
    <mergeCell ref="B30:B31"/>
    <mergeCell ref="A48:A49"/>
    <mergeCell ref="B48:B49"/>
    <mergeCell ref="A34:A35"/>
    <mergeCell ref="A36:A37"/>
    <mergeCell ref="B34:B35"/>
    <mergeCell ref="B36:B37"/>
    <mergeCell ref="T117:T120"/>
    <mergeCell ref="D116:S116"/>
    <mergeCell ref="A117:B118"/>
    <mergeCell ref="A119:B120"/>
    <mergeCell ref="A12:A13"/>
    <mergeCell ref="B12:B13"/>
    <mergeCell ref="C12:C13"/>
    <mergeCell ref="B14:B15"/>
    <mergeCell ref="B16:B17"/>
    <mergeCell ref="B18:B19"/>
    <mergeCell ref="B20:B21"/>
    <mergeCell ref="A14:A15"/>
    <mergeCell ref="A16:A17"/>
    <mergeCell ref="A18:A19"/>
    <mergeCell ref="A20:A21"/>
    <mergeCell ref="A22:A23"/>
    <mergeCell ref="B22:B23"/>
    <mergeCell ref="B24:B25"/>
    <mergeCell ref="B26:B27"/>
    <mergeCell ref="B28:B29"/>
    <mergeCell ref="B32:B33"/>
    <mergeCell ref="A38:A39"/>
    <mergeCell ref="B38:B39"/>
    <mergeCell ref="A40:A41"/>
  </mergeCells>
  <phoneticPr fontId="11" type="noConversion"/>
  <conditionalFormatting sqref="D13:S13 D15:S15 D17:S17 D19:S19 D21:S21 D23:S23 D25:S25 D27:S27 D29:S29 D31:S31 D39:S39 D41:S41 D43:S43 D45:S45 D47:S47 D49:S49 D51:S51 D53:S53 D55:S55 D57:S57 D59:S59 D61:S61 D63:S63 D65:S65 D67:S67 D69:S69 D75:S75 D77:S77 D79:S79 D81:S81 D83:S83 D85:S85 D87:S87 D89:S89 D91:S91 D93:S93 D95:S95 D97:S97 D99:S99 D101:S101 D103:S103 D105:S105 D107:S107 D109:S109 D111:S111 D113:S113 D115:S115 D73:S73 D71:S71 D116 D33:S33 Q34:R34 D34:K37 M35:O35 M36:N37 M34:N34 Q35:S35">
    <cfRule type="cellIs" dxfId="15" priority="10" operator="notEqual">
      <formula>""</formula>
    </cfRule>
  </conditionalFormatting>
  <conditionalFormatting sqref="F5:F9">
    <cfRule type="cellIs" dxfId="14" priority="9" operator="equal">
      <formula>0</formula>
    </cfRule>
  </conditionalFormatting>
  <conditionalFormatting sqref="G5:S9">
    <cfRule type="cellIs" dxfId="13" priority="8" operator="equal">
      <formula>0</formula>
    </cfRule>
  </conditionalFormatting>
  <conditionalFormatting sqref="I4:S4">
    <cfRule type="cellIs" dxfId="12" priority="7" operator="equal">
      <formula>0</formula>
    </cfRule>
  </conditionalFormatting>
  <conditionalFormatting sqref="Q36:R36 O37 Q37:S37">
    <cfRule type="cellIs" dxfId="11" priority="6" operator="notEqual">
      <formula>""</formula>
    </cfRule>
  </conditionalFormatting>
  <conditionalFormatting sqref="P37">
    <cfRule type="cellIs" dxfId="10" priority="1" operator="notEqual">
      <formula>""</formula>
    </cfRule>
  </conditionalFormatting>
  <conditionalFormatting sqref="L37">
    <cfRule type="cellIs" dxfId="9" priority="3" operator="notEqual">
      <formula>""</formula>
    </cfRule>
  </conditionalFormatting>
  <conditionalFormatting sqref="L35">
    <cfRule type="cellIs" dxfId="8" priority="4" operator="notEqual">
      <formula>""</formula>
    </cfRule>
  </conditionalFormatting>
  <conditionalFormatting sqref="P35">
    <cfRule type="cellIs" dxfId="7" priority="2" operator="notEqual">
      <formula>""</formula>
    </cfRule>
  </conditionalFormatting>
  <printOptions horizontalCentered="1"/>
  <pageMargins left="0.51181102362204722" right="0.51181102362204722" top="0.51181102362204722" bottom="0.70866141732283472" header="0" footer="0.19685039370078741"/>
  <pageSetup paperSize="8" scale="70" orientation="landscape" r:id="rId1"/>
  <headerFooter>
    <oddFooter>&amp;L&amp;9&amp;A&amp;R&amp;9Página &amp;P de &amp;N</oddFooter>
  </headerFooter>
  <rowBreaks count="2" manualBreakCount="2">
    <brk id="43" max="16383" man="1"/>
    <brk id="75" max="19" man="1"/>
  </rowBreaks>
  <ignoredErrors>
    <ignoredError sqref="S11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31</vt:i4>
      </vt:variant>
    </vt:vector>
  </HeadingPairs>
  <TitlesOfParts>
    <vt:vector size="43" baseType="lpstr">
      <vt:lpstr>RESUMO</vt:lpstr>
      <vt:lpstr>PLANILHA ORCAMENTARIA</vt:lpstr>
      <vt:lpstr>COMP_GERAL</vt:lpstr>
      <vt:lpstr>COMP_AUX</vt:lpstr>
      <vt:lpstr>ABC_SERV</vt:lpstr>
      <vt:lpstr>INSUMOS</vt:lpstr>
      <vt:lpstr>COT_INSU</vt:lpstr>
      <vt:lpstr>QUANT</vt:lpstr>
      <vt:lpstr>CRONOGRAMA</vt:lpstr>
      <vt:lpstr>EVENTOGRAMA</vt:lpstr>
      <vt:lpstr>BDI</vt:lpstr>
      <vt:lpstr>ENCARGOS SOCIAIS</vt:lpstr>
      <vt:lpstr>ABC_SERV!Area_de_impressao</vt:lpstr>
      <vt:lpstr>BDI!Area_de_impressao</vt:lpstr>
      <vt:lpstr>COMP_AUX!Area_de_impressao</vt:lpstr>
      <vt:lpstr>COMP_GERAL!Area_de_impressao</vt:lpstr>
      <vt:lpstr>COT_INSU!Area_de_impressao</vt:lpstr>
      <vt:lpstr>CRONOGRAMA!Area_de_impressao</vt:lpstr>
      <vt:lpstr>'ENCARGOS SOCIAIS'!Area_de_impressao</vt:lpstr>
      <vt:lpstr>EVENTOGRAMA!Area_de_impressao</vt:lpstr>
      <vt:lpstr>INSUMOS!Area_de_impressao</vt:lpstr>
      <vt:lpstr>'PLANILHA ORCAMENTARIA'!Area_de_impressao</vt:lpstr>
      <vt:lpstr>QUANT!Area_de_impressao</vt:lpstr>
      <vt:lpstr>RESUMO!Area_de_impressao</vt:lpstr>
      <vt:lpstr>COMP_AUX!JR_PAGE_ANCHOR_0_1</vt:lpstr>
      <vt:lpstr>QUANT!JR_PAGE_ANCHOR_0_1</vt:lpstr>
      <vt:lpstr>JR_PAGE_ANCHOR_0_1</vt:lpstr>
      <vt:lpstr>JR_PAGE_ANCHOR_1_1</vt:lpstr>
      <vt:lpstr>JR_PAGE_ANCHOR_6_1</vt:lpstr>
      <vt:lpstr>JR_PAGE_ANCHOR_7_1</vt:lpstr>
      <vt:lpstr>ABC_SERV!Titulos_de_impressao</vt:lpstr>
      <vt:lpstr>BDI!Titulos_de_impressao</vt:lpstr>
      <vt:lpstr>COMP_AUX!Titulos_de_impressao</vt:lpstr>
      <vt:lpstr>COMP_GERAL!Titulos_de_impressao</vt:lpstr>
      <vt:lpstr>COT_INSU!Titulos_de_impressao</vt:lpstr>
      <vt:lpstr>CRONOGRAMA!Titulos_de_impressao</vt:lpstr>
      <vt:lpstr>'ENCARGOS SOCIAIS'!Titulos_de_impressao</vt:lpstr>
      <vt:lpstr>EVENTOGRAMA!Titulos_de_impressao</vt:lpstr>
      <vt:lpstr>INSUMOS!Titulos_de_impressao</vt:lpstr>
      <vt:lpstr>'PLANILHA ORCAMENTARIA'!Titulos_de_impressao</vt:lpstr>
      <vt:lpstr>QUANT!Titulos_de_impressao</vt:lpstr>
      <vt:lpstr>QUANT!VALOR_TOTAL</vt:lpstr>
      <vt:lpstr>VALOR_TOTAL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2024-10-26T13:53:09Z</dcterms:created>
  <dcterms:modified xsi:type="dcterms:W3CDTF">2025-04-24T18:05:04Z</dcterms:modified>
</cp:coreProperties>
</file>