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8680" yWindow="510" windowWidth="29040" windowHeight="13740" tabRatio="917" firstSheet="1" activeTab="8"/>
  </bookViews>
  <sheets>
    <sheet name="Prop Lance" sheetId="157" r:id="rId1"/>
    <sheet name="Capa Planilha de Custos" sheetId="75" r:id="rId2"/>
    <sheet name="Valor Global" sheetId="154" r:id="rId3"/>
    <sheet name="Capa Composição Mão de Obra" sheetId="83" r:id="rId4"/>
    <sheet name="Valor Mão de Obra" sheetId="161" r:id="rId5"/>
    <sheet name="Capa Composição Farda e EPI" sheetId="84" r:id="rId6"/>
    <sheet name="Pesquisa Fardamento e EPI" sheetId="165" r:id="rId7"/>
    <sheet name="Capa Composição Equip. &amp; Ferr." sheetId="108" r:id="rId8"/>
    <sheet name="Equip. e Ferramentas - Preço" sheetId="109" r:id="rId9"/>
    <sheet name="Previsão refil equipamentos" sheetId="145" r:id="rId10"/>
    <sheet name="Capa Custos Serviços Eventuais" sheetId="152" r:id="rId11"/>
    <sheet name="Estimativa Custos Eventuais" sheetId="160" r:id="rId12"/>
    <sheet name="Estimativa Qtde Eventos" sheetId="159" r:id="rId13"/>
  </sheets>
  <definedNames>
    <definedName name="_xlnm._FilterDatabase" localSheetId="8" hidden="1">'Equip. e Ferramentas - Preço'!$E$9:$F$44</definedName>
    <definedName name="_xlnm.Print_Area" localSheetId="8">'Equip. e Ferramentas - Preço'!$A$1:$O$223</definedName>
    <definedName name="_xlnm.Print_Area" localSheetId="11">'Estimativa Custos Eventuais'!#REF!</definedName>
    <definedName name="_xlnm.Print_Area" localSheetId="0">'Prop Lance'!$A$1:$I$35</definedName>
    <definedName name="_xlnm.Print_Area" localSheetId="4">'Valor Mão de Obra'!$A$2:$AD$160</definedName>
    <definedName name="_xlnm.Print_Titles" localSheetId="8">'Equip. e Ferramentas - Preço'!$7:$9</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161"/>
  <c r="D137"/>
  <c r="H41"/>
  <c r="K63"/>
  <c r="G63"/>
  <c r="C92"/>
  <c r="J130" l="1"/>
  <c r="D130"/>
  <c r="S32"/>
  <c r="M46"/>
  <c r="C96"/>
  <c r="F105"/>
  <c r="E146"/>
  <c r="D138"/>
  <c r="E45"/>
  <c r="AC41"/>
  <c r="Z41"/>
  <c r="W41"/>
  <c r="T41"/>
  <c r="O41"/>
  <c r="E92"/>
  <c r="D136"/>
  <c r="C136"/>
  <c r="E116"/>
  <c r="C107"/>
  <c r="I48"/>
  <c r="AD47"/>
  <c r="AA47"/>
  <c r="X47"/>
  <c r="U47"/>
  <c r="R47"/>
  <c r="L47"/>
  <c r="AD46"/>
  <c r="AA46"/>
  <c r="X46"/>
  <c r="U46"/>
  <c r="F46"/>
  <c r="C68"/>
  <c r="C56"/>
  <c r="S78"/>
  <c r="T78"/>
  <c r="U78"/>
  <c r="V78"/>
  <c r="W78"/>
  <c r="X78"/>
  <c r="Y78"/>
  <c r="Z78"/>
  <c r="AA78"/>
  <c r="AB78"/>
  <c r="AC78"/>
  <c r="AD78"/>
  <c r="N78"/>
  <c r="O78"/>
  <c r="P78"/>
  <c r="Q78"/>
  <c r="R78"/>
  <c r="F78"/>
  <c r="G78"/>
  <c r="H78"/>
  <c r="I78"/>
  <c r="J78"/>
  <c r="K78"/>
  <c r="L78"/>
  <c r="AC130" l="1"/>
  <c r="Z130"/>
  <c r="W130"/>
  <c r="T130"/>
  <c r="P130"/>
  <c r="L35" i="165"/>
  <c r="M37" s="1"/>
  <c r="L11"/>
  <c r="M13" s="1"/>
  <c r="K176"/>
  <c r="K173"/>
  <c r="K178"/>
  <c r="K60"/>
  <c r="K59"/>
  <c r="K58"/>
  <c r="K57"/>
  <c r="K56"/>
  <c r="K54"/>
  <c r="K53"/>
  <c r="K52"/>
  <c r="K51"/>
  <c r="K50"/>
  <c r="K49"/>
  <c r="K48"/>
  <c r="K47"/>
  <c r="K46"/>
  <c r="K45"/>
  <c r="K44"/>
  <c r="K43"/>
  <c r="K42"/>
  <c r="K41"/>
  <c r="K40"/>
  <c r="K39"/>
  <c r="K38"/>
  <c r="K37"/>
  <c r="K36"/>
  <c r="K35"/>
  <c r="K33"/>
  <c r="K32"/>
  <c r="K31"/>
  <c r="K30"/>
  <c r="K29"/>
  <c r="K28"/>
  <c r="K27"/>
  <c r="K26"/>
  <c r="K25"/>
  <c r="K24"/>
  <c r="K23"/>
  <c r="K22"/>
  <c r="K21"/>
  <c r="K20"/>
  <c r="K19"/>
  <c r="K18"/>
  <c r="K17"/>
  <c r="K15"/>
  <c r="K14"/>
  <c r="K13"/>
  <c r="K12"/>
  <c r="K11"/>
  <c r="L39" i="161"/>
  <c r="L72" s="1"/>
  <c r="E67" i="154"/>
  <c r="E65"/>
  <c r="E64"/>
  <c r="E60"/>
  <c r="E59"/>
  <c r="E57"/>
  <c r="E53"/>
  <c r="E51"/>
  <c r="E50"/>
  <c r="E43"/>
  <c r="E42"/>
  <c r="E41"/>
  <c r="E39"/>
  <c r="E38"/>
  <c r="E37"/>
  <c r="E33"/>
  <c r="E32"/>
  <c r="E30"/>
  <c r="E31" s="1"/>
  <c r="E26"/>
  <c r="E25"/>
  <c r="E24"/>
  <c r="E23"/>
  <c r="E22"/>
  <c r="E20"/>
  <c r="E19"/>
  <c r="E18"/>
  <c r="G25" i="159"/>
  <c r="G24"/>
  <c r="G23"/>
  <c r="G22"/>
  <c r="G26" s="1"/>
  <c r="F116" i="161"/>
  <c r="F121" s="1"/>
  <c r="G116"/>
  <c r="G121" s="1"/>
  <c r="H116"/>
  <c r="H121" s="1"/>
  <c r="I116"/>
  <c r="I121" s="1"/>
  <c r="J116"/>
  <c r="J121" s="1"/>
  <c r="K116"/>
  <c r="K121" s="1"/>
  <c r="L116"/>
  <c r="L121" s="1"/>
  <c r="M116"/>
  <c r="M121" s="1"/>
  <c r="N116"/>
  <c r="N121" s="1"/>
  <c r="O116"/>
  <c r="O121" s="1"/>
  <c r="P116"/>
  <c r="P121" s="1"/>
  <c r="Q116"/>
  <c r="Q121" s="1"/>
  <c r="R116"/>
  <c r="R121" s="1"/>
  <c r="S116"/>
  <c r="S121" s="1"/>
  <c r="T116"/>
  <c r="T121" s="1"/>
  <c r="U116"/>
  <c r="U121" s="1"/>
  <c r="V116"/>
  <c r="V121" s="1"/>
  <c r="W116"/>
  <c r="W121" s="1"/>
  <c r="X116"/>
  <c r="X121" s="1"/>
  <c r="Y116"/>
  <c r="Y121" s="1"/>
  <c r="Z116"/>
  <c r="Z121" s="1"/>
  <c r="AA116"/>
  <c r="AA121" s="1"/>
  <c r="AB116"/>
  <c r="AB121" s="1"/>
  <c r="AC116"/>
  <c r="AC121" s="1"/>
  <c r="AD116"/>
  <c r="AD121" s="1"/>
  <c r="E121"/>
  <c r="T77"/>
  <c r="U77"/>
  <c r="V77"/>
  <c r="W77"/>
  <c r="X77"/>
  <c r="Y77"/>
  <c r="Z77"/>
  <c r="AA77"/>
  <c r="AB77"/>
  <c r="AC77"/>
  <c r="AD77"/>
  <c r="S77"/>
  <c r="O77"/>
  <c r="P77"/>
  <c r="Q77"/>
  <c r="R77"/>
  <c r="N77"/>
  <c r="G77"/>
  <c r="H77"/>
  <c r="I77"/>
  <c r="J77"/>
  <c r="K77"/>
  <c r="L77"/>
  <c r="F77"/>
  <c r="T76"/>
  <c r="U76"/>
  <c r="V76"/>
  <c r="W76"/>
  <c r="X76"/>
  <c r="Y76"/>
  <c r="Z76"/>
  <c r="AA76"/>
  <c r="AB76"/>
  <c r="AC76"/>
  <c r="AD76"/>
  <c r="S76"/>
  <c r="O76"/>
  <c r="P76"/>
  <c r="Q76"/>
  <c r="R76"/>
  <c r="N76"/>
  <c r="G76"/>
  <c r="H76"/>
  <c r="I76"/>
  <c r="J76"/>
  <c r="K76"/>
  <c r="L76"/>
  <c r="F76"/>
  <c r="T75"/>
  <c r="U75"/>
  <c r="V75"/>
  <c r="W75"/>
  <c r="X75"/>
  <c r="Y75"/>
  <c r="Z75"/>
  <c r="AA75"/>
  <c r="AB75"/>
  <c r="AC75"/>
  <c r="AD75"/>
  <c r="S75"/>
  <c r="O75"/>
  <c r="P75"/>
  <c r="Q75"/>
  <c r="R75"/>
  <c r="N75"/>
  <c r="G75"/>
  <c r="H75"/>
  <c r="I75"/>
  <c r="J75"/>
  <c r="K75"/>
  <c r="L75"/>
  <c r="F75"/>
  <c r="T74"/>
  <c r="U74"/>
  <c r="V74"/>
  <c r="W74"/>
  <c r="X74"/>
  <c r="Y74"/>
  <c r="Z74"/>
  <c r="AA74"/>
  <c r="AB74"/>
  <c r="AC74"/>
  <c r="AD74"/>
  <c r="S74"/>
  <c r="O74"/>
  <c r="P74"/>
  <c r="Q74"/>
  <c r="R74"/>
  <c r="N74"/>
  <c r="G74"/>
  <c r="H74"/>
  <c r="I74"/>
  <c r="J74"/>
  <c r="K74"/>
  <c r="L74"/>
  <c r="F74"/>
  <c r="O73"/>
  <c r="P73"/>
  <c r="Q73"/>
  <c r="M73"/>
  <c r="R73" s="1"/>
  <c r="E73"/>
  <c r="U73" s="1"/>
  <c r="Q32"/>
  <c r="Q39" s="1"/>
  <c r="J32"/>
  <c r="P32" s="1"/>
  <c r="P39"/>
  <c r="P72" s="1"/>
  <c r="F39"/>
  <c r="F72" s="1"/>
  <c r="G39"/>
  <c r="G49" s="1"/>
  <c r="I39"/>
  <c r="K39"/>
  <c r="K49" s="1"/>
  <c r="K104" s="1"/>
  <c r="E39"/>
  <c r="E72" s="1"/>
  <c r="F34"/>
  <c r="AD32"/>
  <c r="AD39" s="1"/>
  <c r="AB32"/>
  <c r="AB39" s="1"/>
  <c r="AB49" s="1"/>
  <c r="AA32"/>
  <c r="AA39" s="1"/>
  <c r="X32"/>
  <c r="X39" s="1"/>
  <c r="V32"/>
  <c r="V39" s="1"/>
  <c r="V49" s="1"/>
  <c r="U32"/>
  <c r="U39" s="1"/>
  <c r="S39"/>
  <c r="S49" s="1"/>
  <c r="R32"/>
  <c r="R39" s="1"/>
  <c r="M32"/>
  <c r="M39" s="1"/>
  <c r="M49" s="1"/>
  <c r="N32"/>
  <c r="N39" s="1"/>
  <c r="H32"/>
  <c r="L25"/>
  <c r="L24"/>
  <c r="L23"/>
  <c r="G16"/>
  <c r="E79" l="1"/>
  <c r="E85" s="1"/>
  <c r="L49"/>
  <c r="L104" s="1"/>
  <c r="P79"/>
  <c r="P85" s="1"/>
  <c r="G55"/>
  <c r="S55"/>
  <c r="F49"/>
  <c r="M11" i="165"/>
  <c r="N11" s="1"/>
  <c r="G72" i="161"/>
  <c r="M12" i="165"/>
  <c r="M35"/>
  <c r="M36"/>
  <c r="M106" i="161"/>
  <c r="M146"/>
  <c r="M104"/>
  <c r="M105"/>
  <c r="M103"/>
  <c r="M102"/>
  <c r="M54"/>
  <c r="M55"/>
  <c r="U49"/>
  <c r="N72"/>
  <c r="N49"/>
  <c r="F55"/>
  <c r="F106"/>
  <c r="U79"/>
  <c r="U85" s="1"/>
  <c r="V146"/>
  <c r="V103"/>
  <c r="V105"/>
  <c r="V106"/>
  <c r="V102"/>
  <c r="V104"/>
  <c r="V55"/>
  <c r="AB146"/>
  <c r="AB106"/>
  <c r="AB105"/>
  <c r="AB103"/>
  <c r="AB104"/>
  <c r="AB102"/>
  <c r="V54"/>
  <c r="R72"/>
  <c r="R79" s="1"/>
  <c r="R85" s="1"/>
  <c r="R49"/>
  <c r="T32"/>
  <c r="T39" s="1"/>
  <c r="AC32"/>
  <c r="AC39" s="1"/>
  <c r="O32"/>
  <c r="O39" s="1"/>
  <c r="H39"/>
  <c r="W32"/>
  <c r="W39" s="1"/>
  <c r="S146"/>
  <c r="S106"/>
  <c r="S105"/>
  <c r="S104"/>
  <c r="S102"/>
  <c r="S103"/>
  <c r="S54"/>
  <c r="Z32"/>
  <c r="Z39" s="1"/>
  <c r="I49"/>
  <c r="I72"/>
  <c r="Q49"/>
  <c r="Q72"/>
  <c r="Q79" s="1"/>
  <c r="Q85" s="1"/>
  <c r="H73"/>
  <c r="AC73"/>
  <c r="G146"/>
  <c r="G106"/>
  <c r="G105"/>
  <c r="G102"/>
  <c r="P49"/>
  <c r="P55" s="1"/>
  <c r="K72"/>
  <c r="F73"/>
  <c r="F79" s="1"/>
  <c r="F85" s="1"/>
  <c r="G73"/>
  <c r="AA73"/>
  <c r="V73"/>
  <c r="L103"/>
  <c r="G104"/>
  <c r="Y32"/>
  <c r="Y39" s="1"/>
  <c r="Y49" s="1"/>
  <c r="J39"/>
  <c r="E49"/>
  <c r="K54"/>
  <c r="AB54"/>
  <c r="L54"/>
  <c r="M72"/>
  <c r="M79" s="1"/>
  <c r="M85" s="1"/>
  <c r="K73"/>
  <c r="L73"/>
  <c r="L79" s="1"/>
  <c r="L85" s="1"/>
  <c r="S73"/>
  <c r="S79" s="1"/>
  <c r="S85" s="1"/>
  <c r="Z73"/>
  <c r="L102"/>
  <c r="T73"/>
  <c r="X73"/>
  <c r="AB73"/>
  <c r="I73"/>
  <c r="J73"/>
  <c r="AD73"/>
  <c r="Y73"/>
  <c r="L105"/>
  <c r="L146"/>
  <c r="L106"/>
  <c r="L55"/>
  <c r="G103"/>
  <c r="W73"/>
  <c r="K146"/>
  <c r="K106"/>
  <c r="K105"/>
  <c r="K103"/>
  <c r="K102"/>
  <c r="G54"/>
  <c r="AB55"/>
  <c r="K55"/>
  <c r="N73"/>
  <c r="Q23" i="145"/>
  <c r="Q22"/>
  <c r="Q13"/>
  <c r="Q16"/>
  <c r="Q19"/>
  <c r="Q15"/>
  <c r="P20"/>
  <c r="M20"/>
  <c r="N18"/>
  <c r="M18"/>
  <c r="Q18" s="1"/>
  <c r="M17"/>
  <c r="Q17" s="1"/>
  <c r="L11"/>
  <c r="Q11" s="1"/>
  <c r="L12"/>
  <c r="Q12" s="1"/>
  <c r="X49" i="161" l="1"/>
  <c r="X54" s="1"/>
  <c r="F103"/>
  <c r="AB56"/>
  <c r="AB83" s="1"/>
  <c r="K56"/>
  <c r="K67" s="1"/>
  <c r="F54"/>
  <c r="F56" s="1"/>
  <c r="S56"/>
  <c r="S63" s="1"/>
  <c r="X55"/>
  <c r="X56" s="1"/>
  <c r="X83" s="1"/>
  <c r="K66"/>
  <c r="V56"/>
  <c r="V83" s="1"/>
  <c r="F104"/>
  <c r="S64"/>
  <c r="G56"/>
  <c r="G60" s="1"/>
  <c r="AD49"/>
  <c r="AD106" s="1"/>
  <c r="F146"/>
  <c r="M56"/>
  <c r="M62" s="1"/>
  <c r="P54"/>
  <c r="P56" s="1"/>
  <c r="P66" s="1"/>
  <c r="AA49"/>
  <c r="AA54" s="1"/>
  <c r="F102"/>
  <c r="AB67"/>
  <c r="G79"/>
  <c r="G85" s="1"/>
  <c r="AB64"/>
  <c r="R146"/>
  <c r="R103"/>
  <c r="R106"/>
  <c r="R105"/>
  <c r="R102"/>
  <c r="R55"/>
  <c r="R104"/>
  <c r="R54"/>
  <c r="R56" s="1"/>
  <c r="R83" s="1"/>
  <c r="E105"/>
  <c r="E54"/>
  <c r="E102"/>
  <c r="E106"/>
  <c r="E104"/>
  <c r="E55"/>
  <c r="E103"/>
  <c r="I106"/>
  <c r="I146"/>
  <c r="I104"/>
  <c r="I102"/>
  <c r="I103"/>
  <c r="I55"/>
  <c r="I105"/>
  <c r="I54"/>
  <c r="I56" s="1"/>
  <c r="I83" s="1"/>
  <c r="U106"/>
  <c r="U146"/>
  <c r="U103"/>
  <c r="U105"/>
  <c r="U102"/>
  <c r="U104"/>
  <c r="U55"/>
  <c r="U54"/>
  <c r="U56" s="1"/>
  <c r="U83" s="1"/>
  <c r="T79"/>
  <c r="T85" s="1"/>
  <c r="AD79"/>
  <c r="AD85" s="1"/>
  <c r="AB79"/>
  <c r="AB85" s="1"/>
  <c r="Y106"/>
  <c r="Y146"/>
  <c r="Y104"/>
  <c r="Y102"/>
  <c r="Y105"/>
  <c r="Y103"/>
  <c r="Y54"/>
  <c r="Y55"/>
  <c r="AA79"/>
  <c r="AA85" s="1"/>
  <c r="K79"/>
  <c r="K85" s="1"/>
  <c r="AC49"/>
  <c r="N146"/>
  <c r="N104"/>
  <c r="N103"/>
  <c r="N102"/>
  <c r="N54"/>
  <c r="N105"/>
  <c r="N106"/>
  <c r="N55"/>
  <c r="W79"/>
  <c r="W85" s="1"/>
  <c r="X79"/>
  <c r="X85" s="1"/>
  <c r="Z79"/>
  <c r="Z85" s="1"/>
  <c r="K61"/>
  <c r="P146"/>
  <c r="P106"/>
  <c r="P103"/>
  <c r="P104"/>
  <c r="P102"/>
  <c r="P105"/>
  <c r="I79"/>
  <c r="W49"/>
  <c r="T49"/>
  <c r="AB61"/>
  <c r="N79"/>
  <c r="N85" s="1"/>
  <c r="X146"/>
  <c r="X106"/>
  <c r="X104"/>
  <c r="X105"/>
  <c r="X103"/>
  <c r="X102"/>
  <c r="M60"/>
  <c r="H72"/>
  <c r="H79" s="1"/>
  <c r="H85" s="1"/>
  <c r="H49"/>
  <c r="Y79"/>
  <c r="Y85" s="1"/>
  <c r="I85"/>
  <c r="L56"/>
  <c r="K62"/>
  <c r="J72"/>
  <c r="J79" s="1"/>
  <c r="J85" s="1"/>
  <c r="J49"/>
  <c r="V79"/>
  <c r="V85" s="1"/>
  <c r="AC79"/>
  <c r="AC85" s="1"/>
  <c r="Q106"/>
  <c r="Q146"/>
  <c r="Q105"/>
  <c r="Q104"/>
  <c r="Q103"/>
  <c r="Q102"/>
  <c r="Q55"/>
  <c r="Q54"/>
  <c r="Q56" s="1"/>
  <c r="Q83" s="1"/>
  <c r="Q62"/>
  <c r="Z49"/>
  <c r="O72"/>
  <c r="O79" s="1"/>
  <c r="O85" s="1"/>
  <c r="O49"/>
  <c r="AB62"/>
  <c r="Q20" i="145"/>
  <c r="F197" i="109"/>
  <c r="F192"/>
  <c r="F191"/>
  <c r="F186"/>
  <c r="F185"/>
  <c r="F178"/>
  <c r="F176"/>
  <c r="F175"/>
  <c r="F168"/>
  <c r="F167"/>
  <c r="F166"/>
  <c r="F162"/>
  <c r="G160" s="1"/>
  <c r="H164" s="1"/>
  <c r="F143"/>
  <c r="G140" s="1"/>
  <c r="H140" s="1"/>
  <c r="F136"/>
  <c r="F130"/>
  <c r="G130" s="1"/>
  <c r="H131" s="1"/>
  <c r="F122"/>
  <c r="F121"/>
  <c r="F115"/>
  <c r="F116"/>
  <c r="F117"/>
  <c r="F118"/>
  <c r="F119"/>
  <c r="I194"/>
  <c r="I184"/>
  <c r="I174"/>
  <c r="I164"/>
  <c r="I134"/>
  <c r="G155"/>
  <c r="I158" s="1"/>
  <c r="G180"/>
  <c r="H182" s="1"/>
  <c r="G170"/>
  <c r="H171" s="1"/>
  <c r="G150"/>
  <c r="H153" s="1"/>
  <c r="I124"/>
  <c r="M67" i="161" l="1"/>
  <c r="S66"/>
  <c r="S60"/>
  <c r="K64"/>
  <c r="AB60"/>
  <c r="K60"/>
  <c r="K83"/>
  <c r="AB63"/>
  <c r="AB66"/>
  <c r="AD103"/>
  <c r="AD146"/>
  <c r="M66"/>
  <c r="F61"/>
  <c r="F67"/>
  <c r="V60"/>
  <c r="V67"/>
  <c r="S62"/>
  <c r="S67"/>
  <c r="S83"/>
  <c r="AD102"/>
  <c r="S61"/>
  <c r="V61"/>
  <c r="AD54"/>
  <c r="AA55"/>
  <c r="AA56" s="1"/>
  <c r="G61"/>
  <c r="AD104"/>
  <c r="AA102"/>
  <c r="G64"/>
  <c r="AD55"/>
  <c r="V66"/>
  <c r="V63"/>
  <c r="V62"/>
  <c r="V64"/>
  <c r="G66"/>
  <c r="AD105"/>
  <c r="G62"/>
  <c r="G83"/>
  <c r="G67"/>
  <c r="F64"/>
  <c r="P64"/>
  <c r="X61"/>
  <c r="F66"/>
  <c r="AA103"/>
  <c r="P60"/>
  <c r="Q66"/>
  <c r="AA104"/>
  <c r="P67"/>
  <c r="AA105"/>
  <c r="M83"/>
  <c r="M61"/>
  <c r="M63"/>
  <c r="M64"/>
  <c r="P61"/>
  <c r="AA106"/>
  <c r="AA146"/>
  <c r="N56"/>
  <c r="N62" s="1"/>
  <c r="X64"/>
  <c r="Y56"/>
  <c r="Y83" s="1"/>
  <c r="E56"/>
  <c r="F83"/>
  <c r="F60"/>
  <c r="F63"/>
  <c r="F62"/>
  <c r="Q67"/>
  <c r="T146"/>
  <c r="T106"/>
  <c r="T104"/>
  <c r="T105"/>
  <c r="T103"/>
  <c r="T102"/>
  <c r="T55"/>
  <c r="T54"/>
  <c r="W146"/>
  <c r="W106"/>
  <c r="W105"/>
  <c r="W104"/>
  <c r="W102"/>
  <c r="W55"/>
  <c r="W103"/>
  <c r="W54"/>
  <c r="Z146"/>
  <c r="Z103"/>
  <c r="Z106"/>
  <c r="Z54"/>
  <c r="Z105"/>
  <c r="Z104"/>
  <c r="Z102"/>
  <c r="Z55"/>
  <c r="Q61"/>
  <c r="X66"/>
  <c r="X67"/>
  <c r="Q64"/>
  <c r="X62"/>
  <c r="U62"/>
  <c r="U63"/>
  <c r="I62"/>
  <c r="I67"/>
  <c r="R64"/>
  <c r="Q60"/>
  <c r="P63"/>
  <c r="P83"/>
  <c r="P62"/>
  <c r="X63"/>
  <c r="X60"/>
  <c r="N63"/>
  <c r="U64"/>
  <c r="I66"/>
  <c r="I64"/>
  <c r="I63"/>
  <c r="R66"/>
  <c r="R62"/>
  <c r="AC106"/>
  <c r="AC146"/>
  <c r="AC105"/>
  <c r="AC103"/>
  <c r="AC104"/>
  <c r="AC102"/>
  <c r="AC55"/>
  <c r="AC54"/>
  <c r="U67"/>
  <c r="U60"/>
  <c r="U66"/>
  <c r="I60"/>
  <c r="R63"/>
  <c r="R67"/>
  <c r="O146"/>
  <c r="O106"/>
  <c r="O105"/>
  <c r="O102"/>
  <c r="O103"/>
  <c r="O104"/>
  <c r="O54"/>
  <c r="O55"/>
  <c r="J146"/>
  <c r="J104"/>
  <c r="J103"/>
  <c r="J106"/>
  <c r="J105"/>
  <c r="J102"/>
  <c r="J55"/>
  <c r="J54"/>
  <c r="U61"/>
  <c r="I61"/>
  <c r="R61"/>
  <c r="H105"/>
  <c r="H146"/>
  <c r="H106"/>
  <c r="H104"/>
  <c r="H54"/>
  <c r="H103"/>
  <c r="H102"/>
  <c r="H55"/>
  <c r="Q63"/>
  <c r="L66"/>
  <c r="L83"/>
  <c r="L63"/>
  <c r="L60"/>
  <c r="L67"/>
  <c r="L61"/>
  <c r="L62"/>
  <c r="L64"/>
  <c r="R60"/>
  <c r="G120" i="109"/>
  <c r="H121" s="1"/>
  <c r="G165"/>
  <c r="H168" s="1"/>
  <c r="G190"/>
  <c r="H193" s="1"/>
  <c r="G175"/>
  <c r="I178" s="1"/>
  <c r="I183"/>
  <c r="I182"/>
  <c r="I181"/>
  <c r="I180"/>
  <c r="I173"/>
  <c r="I172"/>
  <c r="I171"/>
  <c r="I170"/>
  <c r="I163"/>
  <c r="I162"/>
  <c r="I161"/>
  <c r="I160"/>
  <c r="I157"/>
  <c r="I154"/>
  <c r="I153"/>
  <c r="I152"/>
  <c r="I151"/>
  <c r="I150"/>
  <c r="I144"/>
  <c r="I143"/>
  <c r="I142"/>
  <c r="I141"/>
  <c r="I140"/>
  <c r="I133"/>
  <c r="I132"/>
  <c r="I131"/>
  <c r="I130"/>
  <c r="H133"/>
  <c r="H151"/>
  <c r="H144"/>
  <c r="H141"/>
  <c r="H150"/>
  <c r="H181"/>
  <c r="H174"/>
  <c r="H134"/>
  <c r="H152"/>
  <c r="H180"/>
  <c r="H163"/>
  <c r="H162"/>
  <c r="H173"/>
  <c r="H184"/>
  <c r="H132"/>
  <c r="H143"/>
  <c r="H154"/>
  <c r="H160"/>
  <c r="H158"/>
  <c r="H130"/>
  <c r="H161"/>
  <c r="H172"/>
  <c r="H183"/>
  <c r="H142"/>
  <c r="H170"/>
  <c r="G195"/>
  <c r="H196" s="1"/>
  <c r="G185"/>
  <c r="I179"/>
  <c r="H167"/>
  <c r="H165"/>
  <c r="I166"/>
  <c r="H157"/>
  <c r="H155"/>
  <c r="I156"/>
  <c r="I155"/>
  <c r="H156"/>
  <c r="I159"/>
  <c r="H159"/>
  <c r="G145"/>
  <c r="G135"/>
  <c r="G125"/>
  <c r="I125" s="1"/>
  <c r="E65" i="161" l="1"/>
  <c r="E62"/>
  <c r="AD56"/>
  <c r="AD64" s="1"/>
  <c r="T56"/>
  <c r="T83" s="1"/>
  <c r="AA83"/>
  <c r="AA64"/>
  <c r="AA66"/>
  <c r="AA61"/>
  <c r="AA67"/>
  <c r="AA62"/>
  <c r="AA60"/>
  <c r="AA63"/>
  <c r="Y66"/>
  <c r="E63"/>
  <c r="H56"/>
  <c r="H83" s="1"/>
  <c r="E64"/>
  <c r="E61"/>
  <c r="Y62"/>
  <c r="Y63"/>
  <c r="H120" i="109"/>
  <c r="E83" i="161"/>
  <c r="E60"/>
  <c r="I120" i="109"/>
  <c r="H123"/>
  <c r="J120" s="1"/>
  <c r="I121"/>
  <c r="E67" i="161"/>
  <c r="E66"/>
  <c r="Y64"/>
  <c r="I169" i="109"/>
  <c r="I123"/>
  <c r="Y67" i="161"/>
  <c r="H122" i="109"/>
  <c r="I168"/>
  <c r="H177"/>
  <c r="I122"/>
  <c r="N83" i="161"/>
  <c r="N61"/>
  <c r="N66"/>
  <c r="N64"/>
  <c r="H124" i="109"/>
  <c r="H169"/>
  <c r="H194"/>
  <c r="I167"/>
  <c r="Y61" i="161"/>
  <c r="Y60"/>
  <c r="I177" i="109"/>
  <c r="H191"/>
  <c r="H166"/>
  <c r="I165"/>
  <c r="H178"/>
  <c r="N67" i="161"/>
  <c r="N60"/>
  <c r="O56"/>
  <c r="J56"/>
  <c r="AC56"/>
  <c r="Z56"/>
  <c r="W56"/>
  <c r="I191" i="109"/>
  <c r="H179"/>
  <c r="I192"/>
  <c r="I176"/>
  <c r="H176"/>
  <c r="H175"/>
  <c r="I193"/>
  <c r="I175"/>
  <c r="H192"/>
  <c r="I190"/>
  <c r="H190"/>
  <c r="L190" s="1"/>
  <c r="K180"/>
  <c r="L180"/>
  <c r="J180"/>
  <c r="L170"/>
  <c r="L160"/>
  <c r="L150"/>
  <c r="K150"/>
  <c r="L140"/>
  <c r="J140"/>
  <c r="K140"/>
  <c r="J130"/>
  <c r="L130"/>
  <c r="K120"/>
  <c r="L120"/>
  <c r="J150"/>
  <c r="K130"/>
  <c r="K175"/>
  <c r="K190"/>
  <c r="J190"/>
  <c r="K160"/>
  <c r="L165"/>
  <c r="K170"/>
  <c r="J170"/>
  <c r="J155"/>
  <c r="L175"/>
  <c r="J160"/>
  <c r="I196"/>
  <c r="H195"/>
  <c r="I197"/>
  <c r="I198"/>
  <c r="H199"/>
  <c r="I199"/>
  <c r="H197"/>
  <c r="H198"/>
  <c r="I195"/>
  <c r="H188"/>
  <c r="I188"/>
  <c r="H186"/>
  <c r="H189"/>
  <c r="I185"/>
  <c r="I189"/>
  <c r="I186"/>
  <c r="H187"/>
  <c r="I187"/>
  <c r="H185"/>
  <c r="J175"/>
  <c r="K165"/>
  <c r="J165"/>
  <c r="K155"/>
  <c r="L155"/>
  <c r="H149"/>
  <c r="I149"/>
  <c r="H147"/>
  <c r="H146"/>
  <c r="H145"/>
  <c r="I147"/>
  <c r="H148"/>
  <c r="I146"/>
  <c r="I148"/>
  <c r="I145"/>
  <c r="H139"/>
  <c r="I139"/>
  <c r="H136"/>
  <c r="H137"/>
  <c r="H138"/>
  <c r="I136"/>
  <c r="I137"/>
  <c r="I138"/>
  <c r="H135"/>
  <c r="I135"/>
  <c r="I129"/>
  <c r="I126"/>
  <c r="H125"/>
  <c r="H128"/>
  <c r="I128"/>
  <c r="I127"/>
  <c r="H129"/>
  <c r="H127"/>
  <c r="H126"/>
  <c r="F100"/>
  <c r="AD66" i="161" l="1"/>
  <c r="AD60"/>
  <c r="AD63"/>
  <c r="AD83"/>
  <c r="T66"/>
  <c r="T60"/>
  <c r="T64"/>
  <c r="T63"/>
  <c r="AD67"/>
  <c r="T67"/>
  <c r="AD62"/>
  <c r="T62"/>
  <c r="AD61"/>
  <c r="T61"/>
  <c r="H61"/>
  <c r="H63"/>
  <c r="H60"/>
  <c r="H66"/>
  <c r="H67"/>
  <c r="H64"/>
  <c r="E68"/>
  <c r="E84" s="1"/>
  <c r="E86" s="1"/>
  <c r="H62"/>
  <c r="M190" i="109"/>
  <c r="N190" s="1"/>
  <c r="O190" s="1"/>
  <c r="M155"/>
  <c r="AC83" i="161"/>
  <c r="AC64"/>
  <c r="AC67"/>
  <c r="AC63"/>
  <c r="AC61"/>
  <c r="AC60"/>
  <c r="AC66"/>
  <c r="AC62"/>
  <c r="W83"/>
  <c r="W63"/>
  <c r="W64"/>
  <c r="W60"/>
  <c r="W61"/>
  <c r="W67"/>
  <c r="W62"/>
  <c r="W66"/>
  <c r="J83"/>
  <c r="J66"/>
  <c r="J62"/>
  <c r="J64"/>
  <c r="J63"/>
  <c r="J61"/>
  <c r="J67"/>
  <c r="J60"/>
  <c r="Z83"/>
  <c r="Z67"/>
  <c r="Z66"/>
  <c r="Z62"/>
  <c r="Z63"/>
  <c r="Z61"/>
  <c r="Z64"/>
  <c r="Z60"/>
  <c r="O83"/>
  <c r="O66"/>
  <c r="O61"/>
  <c r="O64"/>
  <c r="O67"/>
  <c r="O63"/>
  <c r="O62"/>
  <c r="O60"/>
  <c r="M130" i="109"/>
  <c r="N130" s="1"/>
  <c r="O130" s="1"/>
  <c r="N155"/>
  <c r="O155" s="1"/>
  <c r="M140"/>
  <c r="N140" s="1"/>
  <c r="O140" s="1"/>
  <c r="M160"/>
  <c r="N160" s="1"/>
  <c r="O160" s="1"/>
  <c r="M120"/>
  <c r="N120" s="1"/>
  <c r="O120" s="1"/>
  <c r="M170"/>
  <c r="N170" s="1"/>
  <c r="O170" s="1"/>
  <c r="M150"/>
  <c r="N150" s="1"/>
  <c r="O150" s="1"/>
  <c r="M180"/>
  <c r="N180" s="1"/>
  <c r="O180" s="1"/>
  <c r="M165"/>
  <c r="N165" s="1"/>
  <c r="O165" s="1"/>
  <c r="M175"/>
  <c r="N175" s="1"/>
  <c r="O175" s="1"/>
  <c r="J195"/>
  <c r="L195"/>
  <c r="K195"/>
  <c r="K185"/>
  <c r="L185"/>
  <c r="J185"/>
  <c r="L145"/>
  <c r="K145"/>
  <c r="J145"/>
  <c r="J135"/>
  <c r="K135"/>
  <c r="L135"/>
  <c r="K125"/>
  <c r="J125"/>
  <c r="L125"/>
  <c r="F91"/>
  <c r="F90"/>
  <c r="F88"/>
  <c r="F86"/>
  <c r="F87"/>
  <c r="F80"/>
  <c r="F82"/>
  <c r="F83"/>
  <c r="F77"/>
  <c r="F76"/>
  <c r="F78"/>
  <c r="F75"/>
  <c r="F73"/>
  <c r="F71"/>
  <c r="F65"/>
  <c r="F59"/>
  <c r="F57"/>
  <c r="F56"/>
  <c r="F55"/>
  <c r="F52"/>
  <c r="F46"/>
  <c r="F40"/>
  <c r="F30"/>
  <c r="F37"/>
  <c r="F36"/>
  <c r="F23"/>
  <c r="F20"/>
  <c r="F24"/>
  <c r="F21"/>
  <c r="F18"/>
  <c r="F17"/>
  <c r="F16"/>
  <c r="F15"/>
  <c r="F12"/>
  <c r="F11"/>
  <c r="F10"/>
  <c r="F64"/>
  <c r="F63"/>
  <c r="F60"/>
  <c r="E147" i="161" l="1"/>
  <c r="M195" i="109"/>
  <c r="N195" s="1"/>
  <c r="O195" s="1"/>
  <c r="M135"/>
  <c r="N135" s="1"/>
  <c r="O135" s="1"/>
  <c r="M125"/>
  <c r="N125" s="1"/>
  <c r="O125" s="1"/>
  <c r="M145"/>
  <c r="N145" s="1"/>
  <c r="O145" s="1"/>
  <c r="M185"/>
  <c r="N185" s="1"/>
  <c r="O185" s="1"/>
  <c r="D22" i="145"/>
  <c r="R22" s="1"/>
  <c r="D23"/>
  <c r="R23" s="1"/>
  <c r="D24"/>
  <c r="D25"/>
  <c r="D14"/>
  <c r="D15"/>
  <c r="R15" s="1"/>
  <c r="D16"/>
  <c r="R16" s="1"/>
  <c r="D17"/>
  <c r="R17" s="1"/>
  <c r="D18"/>
  <c r="R18" s="1"/>
  <c r="D19"/>
  <c r="R19" s="1"/>
  <c r="D20"/>
  <c r="R20" s="1"/>
  <c r="D21"/>
  <c r="D13"/>
  <c r="R13" s="1"/>
  <c r="D12"/>
  <c r="R12" s="1"/>
  <c r="D11"/>
  <c r="R11" s="1"/>
  <c r="R26" l="1"/>
  <c r="R27" s="1"/>
  <c r="O125" i="165" l="1"/>
  <c r="P125"/>
  <c r="M124"/>
  <c r="L125"/>
  <c r="M127" s="1"/>
  <c r="K126"/>
  <c r="K127"/>
  <c r="K125"/>
  <c r="O86"/>
  <c r="P86"/>
  <c r="L86"/>
  <c r="M88" s="1"/>
  <c r="K87"/>
  <c r="K88"/>
  <c r="K86"/>
  <c r="O47"/>
  <c r="P47"/>
  <c r="L47"/>
  <c r="M48" s="1"/>
  <c r="M126" l="1"/>
  <c r="M125"/>
  <c r="N125" s="1"/>
  <c r="Q125" s="1"/>
  <c r="R125" s="1"/>
  <c r="S125" s="1"/>
  <c r="M87"/>
  <c r="M86"/>
  <c r="N86" s="1"/>
  <c r="Q86" s="1"/>
  <c r="R86" s="1"/>
  <c r="S86" s="1"/>
  <c r="M47"/>
  <c r="N47" s="1"/>
  <c r="Q47" s="1"/>
  <c r="R47" s="1"/>
  <c r="S47" s="1"/>
  <c r="M49"/>
  <c r="J175" l="1"/>
  <c r="K175" s="1"/>
  <c r="J174"/>
  <c r="K171"/>
  <c r="K172"/>
  <c r="K170"/>
  <c r="K168"/>
  <c r="K169"/>
  <c r="K167"/>
  <c r="P170"/>
  <c r="O170"/>
  <c r="L170"/>
  <c r="P167"/>
  <c r="O167"/>
  <c r="L167"/>
  <c r="G113"/>
  <c r="G161"/>
  <c r="L173" l="1"/>
  <c r="K174"/>
  <c r="P173"/>
  <c r="O173"/>
  <c r="M169"/>
  <c r="M167"/>
  <c r="M168"/>
  <c r="J177"/>
  <c r="K177" s="1"/>
  <c r="G116"/>
  <c r="G77"/>
  <c r="N167" l="1"/>
  <c r="Q167" s="1"/>
  <c r="R167" s="1"/>
  <c r="S167" s="1"/>
  <c r="G146"/>
  <c r="G110" l="1"/>
  <c r="G71"/>
  <c r="G107"/>
  <c r="G68"/>
  <c r="J34" l="1"/>
  <c r="K34" s="1"/>
  <c r="J16"/>
  <c r="J131"/>
  <c r="P131" s="1"/>
  <c r="K132"/>
  <c r="K133"/>
  <c r="K165"/>
  <c r="K166"/>
  <c r="K164"/>
  <c r="K162"/>
  <c r="K163"/>
  <c r="K161"/>
  <c r="K16" l="1"/>
  <c r="O131"/>
  <c r="K131"/>
  <c r="L131"/>
  <c r="M133" s="1"/>
  <c r="O176"/>
  <c r="P176"/>
  <c r="L176"/>
  <c r="O164"/>
  <c r="P164"/>
  <c r="L164"/>
  <c r="P161"/>
  <c r="O161"/>
  <c r="O134"/>
  <c r="K128"/>
  <c r="K124"/>
  <c r="K122"/>
  <c r="K121"/>
  <c r="K116"/>
  <c r="K112"/>
  <c r="K110"/>
  <c r="K109"/>
  <c r="K108"/>
  <c r="P107"/>
  <c r="O107"/>
  <c r="L107"/>
  <c r="M109" s="1"/>
  <c r="K107"/>
  <c r="K106"/>
  <c r="K105"/>
  <c r="K104"/>
  <c r="P104"/>
  <c r="K103"/>
  <c r="K102"/>
  <c r="K101"/>
  <c r="K100"/>
  <c r="K99"/>
  <c r="K97"/>
  <c r="K96"/>
  <c r="K95"/>
  <c r="K94"/>
  <c r="K93"/>
  <c r="K90"/>
  <c r="K84"/>
  <c r="K81"/>
  <c r="K77"/>
  <c r="K75"/>
  <c r="K72"/>
  <c r="K70"/>
  <c r="K69"/>
  <c r="P68"/>
  <c r="O68"/>
  <c r="L68"/>
  <c r="M70" s="1"/>
  <c r="K68"/>
  <c r="K67"/>
  <c r="K64"/>
  <c r="K61"/>
  <c r="L59"/>
  <c r="L56"/>
  <c r="J55"/>
  <c r="K55" s="1"/>
  <c r="L41"/>
  <c r="O35"/>
  <c r="O32"/>
  <c r="L17"/>
  <c r="O11"/>
  <c r="M18" l="1"/>
  <c r="M17"/>
  <c r="M174"/>
  <c r="M172"/>
  <c r="M170"/>
  <c r="M175"/>
  <c r="M173"/>
  <c r="M171"/>
  <c r="M131"/>
  <c r="O77"/>
  <c r="O89"/>
  <c r="L122"/>
  <c r="M122" s="1"/>
  <c r="P116"/>
  <c r="M132"/>
  <c r="O140"/>
  <c r="L119"/>
  <c r="M119" s="1"/>
  <c r="L113"/>
  <c r="M113" s="1"/>
  <c r="K89"/>
  <c r="L146"/>
  <c r="M146" s="1"/>
  <c r="M68"/>
  <c r="O74"/>
  <c r="L137"/>
  <c r="M139" s="1"/>
  <c r="K139"/>
  <c r="K150"/>
  <c r="P158"/>
  <c r="K158"/>
  <c r="K74"/>
  <c r="K78"/>
  <c r="O98"/>
  <c r="K140"/>
  <c r="K151"/>
  <c r="L158"/>
  <c r="M160" s="1"/>
  <c r="P152"/>
  <c r="K152"/>
  <c r="K159"/>
  <c r="P32"/>
  <c r="O95"/>
  <c r="K113"/>
  <c r="P119"/>
  <c r="L128"/>
  <c r="M128" s="1"/>
  <c r="K141"/>
  <c r="P146"/>
  <c r="K146"/>
  <c r="K153"/>
  <c r="K160"/>
  <c r="L143"/>
  <c r="M145" s="1"/>
  <c r="K145"/>
  <c r="P17"/>
  <c r="K134"/>
  <c r="P38"/>
  <c r="P50"/>
  <c r="L71"/>
  <c r="M72" s="1"/>
  <c r="K135"/>
  <c r="K142"/>
  <c r="K154"/>
  <c r="K138"/>
  <c r="K157"/>
  <c r="P35"/>
  <c r="P41"/>
  <c r="L20"/>
  <c r="M21" s="1"/>
  <c r="K136"/>
  <c r="P143"/>
  <c r="K143"/>
  <c r="K155"/>
  <c r="P149"/>
  <c r="K149"/>
  <c r="K147"/>
  <c r="L83"/>
  <c r="M83" s="1"/>
  <c r="L110"/>
  <c r="M110" s="1"/>
  <c r="K137"/>
  <c r="K144"/>
  <c r="K148"/>
  <c r="K156"/>
  <c r="M177"/>
  <c r="M178"/>
  <c r="M176"/>
  <c r="M166"/>
  <c r="M165"/>
  <c r="M164"/>
  <c r="L161"/>
  <c r="P14"/>
  <c r="L26"/>
  <c r="M26" s="1"/>
  <c r="M59"/>
  <c r="K71"/>
  <c r="K83"/>
  <c r="K98"/>
  <c r="P101"/>
  <c r="L116"/>
  <c r="M116" s="1"/>
  <c r="O137"/>
  <c r="L152"/>
  <c r="M152" s="1"/>
  <c r="L23"/>
  <c r="M24" s="1"/>
  <c r="O38"/>
  <c r="O71"/>
  <c r="L80"/>
  <c r="M80" s="1"/>
  <c r="O83"/>
  <c r="P98"/>
  <c r="O26"/>
  <c r="L32"/>
  <c r="M33" s="1"/>
  <c r="L50"/>
  <c r="M52" s="1"/>
  <c r="M60"/>
  <c r="K80"/>
  <c r="P95"/>
  <c r="O143"/>
  <c r="L149"/>
  <c r="M150" s="1"/>
  <c r="P23"/>
  <c r="P26"/>
  <c r="M41"/>
  <c r="M56"/>
  <c r="L65"/>
  <c r="L77"/>
  <c r="M78" s="1"/>
  <c r="O80"/>
  <c r="P92"/>
  <c r="P113"/>
  <c r="K118"/>
  <c r="P128"/>
  <c r="L134"/>
  <c r="M134" s="1"/>
  <c r="M69"/>
  <c r="L74"/>
  <c r="M75" s="1"/>
  <c r="L89"/>
  <c r="M89" s="1"/>
  <c r="O104"/>
  <c r="P110"/>
  <c r="K115"/>
  <c r="K119"/>
  <c r="P122"/>
  <c r="K130"/>
  <c r="L140"/>
  <c r="M140" s="1"/>
  <c r="P155"/>
  <c r="L14"/>
  <c r="M58"/>
  <c r="L62"/>
  <c r="M64" s="1"/>
  <c r="O101"/>
  <c r="L155"/>
  <c r="M155" s="1"/>
  <c r="P134"/>
  <c r="P137"/>
  <c r="P140"/>
  <c r="O146"/>
  <c r="O149"/>
  <c r="O152"/>
  <c r="O155"/>
  <c r="O158"/>
  <c r="M19"/>
  <c r="O44"/>
  <c r="P53"/>
  <c r="P29"/>
  <c r="O29"/>
  <c r="L29"/>
  <c r="O17"/>
  <c r="M42"/>
  <c r="O41"/>
  <c r="P11"/>
  <c r="O20"/>
  <c r="M43"/>
  <c r="M61"/>
  <c r="P20"/>
  <c r="L44"/>
  <c r="M44" s="1"/>
  <c r="O50"/>
  <c r="O14"/>
  <c r="O23"/>
  <c r="P44"/>
  <c r="M57"/>
  <c r="P56"/>
  <c r="O56"/>
  <c r="O59"/>
  <c r="O62"/>
  <c r="O65"/>
  <c r="P59"/>
  <c r="P62"/>
  <c r="P65"/>
  <c r="K92"/>
  <c r="K111"/>
  <c r="K114"/>
  <c r="K117"/>
  <c r="K120"/>
  <c r="K123"/>
  <c r="K129"/>
  <c r="L53"/>
  <c r="M55" s="1"/>
  <c r="L92"/>
  <c r="M92" s="1"/>
  <c r="M114"/>
  <c r="M117"/>
  <c r="L38"/>
  <c r="M40" s="1"/>
  <c r="K62"/>
  <c r="K65"/>
  <c r="L95"/>
  <c r="L98"/>
  <c r="L101"/>
  <c r="L104"/>
  <c r="M107"/>
  <c r="M108"/>
  <c r="O110"/>
  <c r="O113"/>
  <c r="O116"/>
  <c r="O119"/>
  <c r="O122"/>
  <c r="O128"/>
  <c r="O53"/>
  <c r="K63"/>
  <c r="K66"/>
  <c r="P71"/>
  <c r="K73"/>
  <c r="P74"/>
  <c r="K76"/>
  <c r="P77"/>
  <c r="K79"/>
  <c r="P80"/>
  <c r="K82"/>
  <c r="P83"/>
  <c r="K85"/>
  <c r="P89"/>
  <c r="K91"/>
  <c r="O92"/>
  <c r="M15" l="1"/>
  <c r="M14"/>
  <c r="M16"/>
  <c r="N131"/>
  <c r="Q131" s="1"/>
  <c r="R131" s="1"/>
  <c r="S131" s="1"/>
  <c r="M73"/>
  <c r="N68"/>
  <c r="Q68" s="1"/>
  <c r="R68" s="1"/>
  <c r="S68" s="1"/>
  <c r="N170"/>
  <c r="Q170" s="1"/>
  <c r="R170" s="1"/>
  <c r="S170" s="1"/>
  <c r="N173"/>
  <c r="Q173" s="1"/>
  <c r="R173" s="1"/>
  <c r="S173" s="1"/>
  <c r="M115"/>
  <c r="M111"/>
  <c r="M123"/>
  <c r="N122" s="1"/>
  <c r="Q122" s="1"/>
  <c r="R122" s="1"/>
  <c r="S122" s="1"/>
  <c r="M51"/>
  <c r="M71"/>
  <c r="M147"/>
  <c r="M148"/>
  <c r="M129"/>
  <c r="M112"/>
  <c r="M85"/>
  <c r="M81"/>
  <c r="M74"/>
  <c r="N56"/>
  <c r="M118"/>
  <c r="N116" s="1"/>
  <c r="Q116" s="1"/>
  <c r="R116" s="1"/>
  <c r="S116" s="1"/>
  <c r="M138"/>
  <c r="M120"/>
  <c r="N176"/>
  <c r="Q176" s="1"/>
  <c r="R176" s="1"/>
  <c r="S176" s="1"/>
  <c r="M121"/>
  <c r="M84"/>
  <c r="M130"/>
  <c r="N164"/>
  <c r="Q164" s="1"/>
  <c r="R164" s="1"/>
  <c r="S164" s="1"/>
  <c r="M77"/>
  <c r="M137"/>
  <c r="N41"/>
  <c r="Q41" s="1"/>
  <c r="R41" s="1"/>
  <c r="S41" s="1"/>
  <c r="N113"/>
  <c r="Q113" s="1"/>
  <c r="R113" s="1"/>
  <c r="S113" s="1"/>
  <c r="N59"/>
  <c r="Q59" s="1"/>
  <c r="R59" s="1"/>
  <c r="S59" s="1"/>
  <c r="M144"/>
  <c r="M143"/>
  <c r="M50"/>
  <c r="M32"/>
  <c r="M34"/>
  <c r="M27"/>
  <c r="M28"/>
  <c r="M23"/>
  <c r="M25"/>
  <c r="M22"/>
  <c r="M20"/>
  <c r="M53"/>
  <c r="M142"/>
  <c r="M153"/>
  <c r="M63"/>
  <c r="M149"/>
  <c r="M157"/>
  <c r="M135"/>
  <c r="M151"/>
  <c r="M62"/>
  <c r="M158"/>
  <c r="M136"/>
  <c r="M141"/>
  <c r="M159"/>
  <c r="N17"/>
  <c r="Q17" s="1"/>
  <c r="R17" s="1"/>
  <c r="S17" s="1"/>
  <c r="M156"/>
  <c r="M154"/>
  <c r="N107"/>
  <c r="Q107" s="1"/>
  <c r="R107" s="1"/>
  <c r="S107" s="1"/>
  <c r="M161"/>
  <c r="M163"/>
  <c r="M162"/>
  <c r="M54"/>
  <c r="M91"/>
  <c r="M90"/>
  <c r="M76"/>
  <c r="N74" s="1"/>
  <c r="Q74" s="1"/>
  <c r="R74" s="1"/>
  <c r="S74" s="1"/>
  <c r="M65"/>
  <c r="M79"/>
  <c r="M67"/>
  <c r="M82"/>
  <c r="M66"/>
  <c r="M30"/>
  <c r="M31"/>
  <c r="M29"/>
  <c r="M93"/>
  <c r="M94"/>
  <c r="M46"/>
  <c r="M45"/>
  <c r="M105"/>
  <c r="M104"/>
  <c r="M106"/>
  <c r="M39"/>
  <c r="M38"/>
  <c r="M102"/>
  <c r="M101"/>
  <c r="M103"/>
  <c r="M99"/>
  <c r="M98"/>
  <c r="M100"/>
  <c r="Q56"/>
  <c r="R56" s="1"/>
  <c r="S56" s="1"/>
  <c r="M96"/>
  <c r="M95"/>
  <c r="M97"/>
  <c r="N53" l="1"/>
  <c r="Q53" s="1"/>
  <c r="R53" s="1"/>
  <c r="S53" s="1"/>
  <c r="N71"/>
  <c r="Q71" s="1"/>
  <c r="R71" s="1"/>
  <c r="S71" s="1"/>
  <c r="N77"/>
  <c r="Q77" s="1"/>
  <c r="R77" s="1"/>
  <c r="S77" s="1"/>
  <c r="N80"/>
  <c r="Q80" s="1"/>
  <c r="R80" s="1"/>
  <c r="S80" s="1"/>
  <c r="N50"/>
  <c r="Q50" s="1"/>
  <c r="R50" s="1"/>
  <c r="S50" s="1"/>
  <c r="N146"/>
  <c r="Q146" s="1"/>
  <c r="R146" s="1"/>
  <c r="S146" s="1"/>
  <c r="N110"/>
  <c r="Q110" s="1"/>
  <c r="R110" s="1"/>
  <c r="S110" s="1"/>
  <c r="N20"/>
  <c r="Q20" s="1"/>
  <c r="R20" s="1"/>
  <c r="S20" s="1"/>
  <c r="N35"/>
  <c r="Q35" s="1"/>
  <c r="R35" s="1"/>
  <c r="S35" s="1"/>
  <c r="N137"/>
  <c r="Q137" s="1"/>
  <c r="R137" s="1"/>
  <c r="S137" s="1"/>
  <c r="N83"/>
  <c r="Q83" s="1"/>
  <c r="R83" s="1"/>
  <c r="S83" s="1"/>
  <c r="N14"/>
  <c r="Q14" s="1"/>
  <c r="R14" s="1"/>
  <c r="S14" s="1"/>
  <c r="N143"/>
  <c r="Q143" s="1"/>
  <c r="R143" s="1"/>
  <c r="S143" s="1"/>
  <c r="N140"/>
  <c r="Q140" s="1"/>
  <c r="R140" s="1"/>
  <c r="S140" s="1"/>
  <c r="N23"/>
  <c r="Q23" s="1"/>
  <c r="R23" s="1"/>
  <c r="S23" s="1"/>
  <c r="N128"/>
  <c r="Q128" s="1"/>
  <c r="R128" s="1"/>
  <c r="S128" s="1"/>
  <c r="N32"/>
  <c r="Q32" s="1"/>
  <c r="R32" s="1"/>
  <c r="S32" s="1"/>
  <c r="N158"/>
  <c r="Q158" s="1"/>
  <c r="R158" s="1"/>
  <c r="S158" s="1"/>
  <c r="N152"/>
  <c r="Q152" s="1"/>
  <c r="R152" s="1"/>
  <c r="S152" s="1"/>
  <c r="N119"/>
  <c r="Q119" s="1"/>
  <c r="R119" s="1"/>
  <c r="S119" s="1"/>
  <c r="N62"/>
  <c r="Q62" s="1"/>
  <c r="R62" s="1"/>
  <c r="S62" s="1"/>
  <c r="N26"/>
  <c r="Q26" s="1"/>
  <c r="R26" s="1"/>
  <c r="S26" s="1"/>
  <c r="N134"/>
  <c r="Q134" s="1"/>
  <c r="R134" s="1"/>
  <c r="S134" s="1"/>
  <c r="T131" s="1"/>
  <c r="N155"/>
  <c r="Q155" s="1"/>
  <c r="R155" s="1"/>
  <c r="S155" s="1"/>
  <c r="N92"/>
  <c r="Q92" s="1"/>
  <c r="R92" s="1"/>
  <c r="S92" s="1"/>
  <c r="N44"/>
  <c r="Q44" s="1"/>
  <c r="R44" s="1"/>
  <c r="S44" s="1"/>
  <c r="N161"/>
  <c r="Q161" s="1"/>
  <c r="R161" s="1"/>
  <c r="S161" s="1"/>
  <c r="N101"/>
  <c r="Q101" s="1"/>
  <c r="R101" s="1"/>
  <c r="S101" s="1"/>
  <c r="N89"/>
  <c r="Q89" s="1"/>
  <c r="R89" s="1"/>
  <c r="S89" s="1"/>
  <c r="N95"/>
  <c r="Q95" s="1"/>
  <c r="R95" s="1"/>
  <c r="S95" s="1"/>
  <c r="Q11"/>
  <c r="R11" s="1"/>
  <c r="S11" s="1"/>
  <c r="N65"/>
  <c r="Q65" s="1"/>
  <c r="R65" s="1"/>
  <c r="S65" s="1"/>
  <c r="N38"/>
  <c r="Q38" s="1"/>
  <c r="R38" s="1"/>
  <c r="S38" s="1"/>
  <c r="N149"/>
  <c r="Q149" s="1"/>
  <c r="R149" s="1"/>
  <c r="S149" s="1"/>
  <c r="N104"/>
  <c r="Q104" s="1"/>
  <c r="R104" s="1"/>
  <c r="S104" s="1"/>
  <c r="N29"/>
  <c r="Q29" s="1"/>
  <c r="R29" s="1"/>
  <c r="S29" s="1"/>
  <c r="N98"/>
  <c r="Q98" s="1"/>
  <c r="R98" s="1"/>
  <c r="S98" s="1"/>
  <c r="U11" l="1"/>
  <c r="T11"/>
  <c r="T53"/>
  <c r="T92"/>
  <c r="U131"/>
  <c r="T29"/>
  <c r="U29"/>
  <c r="P126" i="161" l="1"/>
  <c r="J126"/>
  <c r="I126"/>
  <c r="S126"/>
  <c r="Y126"/>
  <c r="K126"/>
  <c r="Q126"/>
  <c r="U53" i="165"/>
  <c r="U126" i="161"/>
  <c r="R126"/>
  <c r="U180" i="165"/>
  <c r="L126" i="161"/>
  <c r="E126"/>
  <c r="E129" s="1"/>
  <c r="AA126"/>
  <c r="AD126"/>
  <c r="X126"/>
  <c r="E61" i="154"/>
  <c r="Y35" i="161"/>
  <c r="Y20"/>
  <c r="D11" i="159"/>
  <c r="D13"/>
  <c r="D15"/>
  <c r="H23"/>
  <c r="H24"/>
  <c r="H25"/>
  <c r="J17"/>
  <c r="K17"/>
  <c r="F12" i="160" s="1"/>
  <c r="L17" i="159"/>
  <c r="G12" i="160" s="1"/>
  <c r="M17" i="159"/>
  <c r="F13" i="160" s="1"/>
  <c r="N17" i="159"/>
  <c r="G13" i="160" s="1"/>
  <c r="I17" i="159"/>
  <c r="F11" i="160" s="1"/>
  <c r="N34" i="161"/>
  <c r="AD25"/>
  <c r="AD24"/>
  <c r="X25"/>
  <c r="X24"/>
  <c r="R25"/>
  <c r="R24"/>
  <c r="AD23"/>
  <c r="AA23"/>
  <c r="X23"/>
  <c r="U23"/>
  <c r="R23"/>
  <c r="S34"/>
  <c r="Y34"/>
  <c r="AB34"/>
  <c r="I34"/>
  <c r="H34"/>
  <c r="E66" i="154"/>
  <c r="E40"/>
  <c r="E34"/>
  <c r="C93" i="161"/>
  <c r="G17"/>
  <c r="H17"/>
  <c r="I17"/>
  <c r="J17"/>
  <c r="F17"/>
  <c r="H16"/>
  <c r="I16"/>
  <c r="J16"/>
  <c r="G34"/>
  <c r="J34"/>
  <c r="K34"/>
  <c r="L34"/>
  <c r="M34"/>
  <c r="O34"/>
  <c r="P34"/>
  <c r="Q34"/>
  <c r="R34"/>
  <c r="T34"/>
  <c r="U34"/>
  <c r="V34"/>
  <c r="W34"/>
  <c r="X34"/>
  <c r="Z34"/>
  <c r="AA34"/>
  <c r="AC34"/>
  <c r="AD34"/>
  <c r="C95"/>
  <c r="G10" i="109"/>
  <c r="I11" s="1"/>
  <c r="G15"/>
  <c r="H15" s="1"/>
  <c r="G20"/>
  <c r="H21" s="1"/>
  <c r="G25"/>
  <c r="H29" s="1"/>
  <c r="I29"/>
  <c r="G30"/>
  <c r="I30" s="1"/>
  <c r="I34"/>
  <c r="G35"/>
  <c r="I39"/>
  <c r="G40"/>
  <c r="H43" s="1"/>
  <c r="I43"/>
  <c r="I44"/>
  <c r="G45"/>
  <c r="H45" s="1"/>
  <c r="I48"/>
  <c r="I49"/>
  <c r="G50"/>
  <c r="H52" s="1"/>
  <c r="G55"/>
  <c r="I58" s="1"/>
  <c r="G60"/>
  <c r="H63" s="1"/>
  <c r="G65"/>
  <c r="I67" s="1"/>
  <c r="I69"/>
  <c r="G70"/>
  <c r="H73" s="1"/>
  <c r="I74"/>
  <c r="G75"/>
  <c r="H76" s="1"/>
  <c r="G80"/>
  <c r="I80" s="1"/>
  <c r="G85"/>
  <c r="H87" s="1"/>
  <c r="G90"/>
  <c r="H91" s="1"/>
  <c r="G95"/>
  <c r="H95" s="1"/>
  <c r="G100"/>
  <c r="H101" s="1"/>
  <c r="I104"/>
  <c r="G105"/>
  <c r="H105" s="1"/>
  <c r="I108"/>
  <c r="I109"/>
  <c r="G110"/>
  <c r="I114" s="1"/>
  <c r="G115"/>
  <c r="I116" s="1"/>
  <c r="G200"/>
  <c r="E68" i="154"/>
  <c r="E58"/>
  <c r="E54"/>
  <c r="G13"/>
  <c r="G11"/>
  <c r="G9"/>
  <c r="I93" i="109"/>
  <c r="I94"/>
  <c r="I22"/>
  <c r="I204"/>
  <c r="H50"/>
  <c r="I19"/>
  <c r="I89"/>
  <c r="I36"/>
  <c r="G16" i="159" l="1"/>
  <c r="H16" s="1"/>
  <c r="G15"/>
  <c r="H15" s="1"/>
  <c r="G14"/>
  <c r="H14" s="1"/>
  <c r="G13"/>
  <c r="H13" s="1"/>
  <c r="I111" i="109"/>
  <c r="G12" i="159"/>
  <c r="H12" s="1"/>
  <c r="G11"/>
  <c r="H11" s="1"/>
  <c r="M126" i="161"/>
  <c r="H126"/>
  <c r="AC126"/>
  <c r="AB126"/>
  <c r="G126"/>
  <c r="F126"/>
  <c r="F129" s="1"/>
  <c r="Z126"/>
  <c r="W126"/>
  <c r="V126"/>
  <c r="T126"/>
  <c r="O126"/>
  <c r="N126"/>
  <c r="N26" i="159"/>
  <c r="G11" i="160"/>
  <c r="C94" i="161"/>
  <c r="G93"/>
  <c r="AB93"/>
  <c r="S93"/>
  <c r="K93"/>
  <c r="F93"/>
  <c r="L93"/>
  <c r="V93"/>
  <c r="M93"/>
  <c r="E93"/>
  <c r="N93"/>
  <c r="Q93"/>
  <c r="I93"/>
  <c r="U93"/>
  <c r="P93"/>
  <c r="R93"/>
  <c r="AA93"/>
  <c r="Y93"/>
  <c r="X93"/>
  <c r="AD93"/>
  <c r="O93"/>
  <c r="AC93"/>
  <c r="J93"/>
  <c r="H93"/>
  <c r="W93"/>
  <c r="Z93"/>
  <c r="T93"/>
  <c r="F101"/>
  <c r="J101"/>
  <c r="N101"/>
  <c r="S101"/>
  <c r="W101"/>
  <c r="AA101"/>
  <c r="E101"/>
  <c r="U101"/>
  <c r="P101"/>
  <c r="K101"/>
  <c r="V101"/>
  <c r="AB101"/>
  <c r="G101"/>
  <c r="L101"/>
  <c r="Q101"/>
  <c r="X101"/>
  <c r="AC101"/>
  <c r="H101"/>
  <c r="M101"/>
  <c r="T101"/>
  <c r="Y101"/>
  <c r="AD101"/>
  <c r="I101"/>
  <c r="O101"/>
  <c r="Z101"/>
  <c r="R101"/>
  <c r="F92"/>
  <c r="J92"/>
  <c r="N92"/>
  <c r="R92"/>
  <c r="V92"/>
  <c r="Z92"/>
  <c r="AD92"/>
  <c r="G92"/>
  <c r="W92"/>
  <c r="AB92"/>
  <c r="Q92"/>
  <c r="H92"/>
  <c r="M92"/>
  <c r="S92"/>
  <c r="X92"/>
  <c r="AC92"/>
  <c r="I92"/>
  <c r="O92"/>
  <c r="T92"/>
  <c r="Y92"/>
  <c r="K92"/>
  <c r="P92"/>
  <c r="U92"/>
  <c r="AA92"/>
  <c r="L92"/>
  <c r="D24"/>
  <c r="G95"/>
  <c r="K95"/>
  <c r="O95"/>
  <c r="T95"/>
  <c r="X95"/>
  <c r="AB95"/>
  <c r="P95"/>
  <c r="AA95"/>
  <c r="J95"/>
  <c r="V95"/>
  <c r="F95"/>
  <c r="L95"/>
  <c r="Q95"/>
  <c r="W95"/>
  <c r="AC95"/>
  <c r="H95"/>
  <c r="M95"/>
  <c r="S95"/>
  <c r="Y95"/>
  <c r="AD95"/>
  <c r="I95"/>
  <c r="N95"/>
  <c r="U95"/>
  <c r="Z95"/>
  <c r="E95"/>
  <c r="R95"/>
  <c r="C91"/>
  <c r="H90"/>
  <c r="L90"/>
  <c r="P90"/>
  <c r="U90"/>
  <c r="Y90"/>
  <c r="AC90"/>
  <c r="J90"/>
  <c r="V90"/>
  <c r="AA90"/>
  <c r="F90"/>
  <c r="K90"/>
  <c r="Q90"/>
  <c r="W90"/>
  <c r="AB90"/>
  <c r="G90"/>
  <c r="M90"/>
  <c r="S90"/>
  <c r="X90"/>
  <c r="AD90"/>
  <c r="I90"/>
  <c r="N90"/>
  <c r="T90"/>
  <c r="Z90"/>
  <c r="E90"/>
  <c r="O90"/>
  <c r="R90"/>
  <c r="D25"/>
  <c r="D23"/>
  <c r="I107" i="109"/>
  <c r="I18"/>
  <c r="I17"/>
  <c r="I46"/>
  <c r="I47"/>
  <c r="H70"/>
  <c r="H48"/>
  <c r="I45"/>
  <c r="H71"/>
  <c r="L70" s="1"/>
  <c r="I102"/>
  <c r="I71"/>
  <c r="H38"/>
  <c r="H39"/>
  <c r="H35"/>
  <c r="H37"/>
  <c r="H36"/>
  <c r="H93"/>
  <c r="H72"/>
  <c r="H49"/>
  <c r="I20"/>
  <c r="I24"/>
  <c r="H86"/>
  <c r="H89"/>
  <c r="I87"/>
  <c r="I88"/>
  <c r="I85"/>
  <c r="I86"/>
  <c r="H100"/>
  <c r="H119"/>
  <c r="I33"/>
  <c r="H117"/>
  <c r="H118"/>
  <c r="I110"/>
  <c r="H111"/>
  <c r="H103"/>
  <c r="H102"/>
  <c r="I103"/>
  <c r="I91"/>
  <c r="I90"/>
  <c r="H85"/>
  <c r="I81"/>
  <c r="H83"/>
  <c r="H80"/>
  <c r="H82"/>
  <c r="I83"/>
  <c r="I84"/>
  <c r="H84"/>
  <c r="H81"/>
  <c r="I82"/>
  <c r="I75"/>
  <c r="H79"/>
  <c r="H78"/>
  <c r="I70"/>
  <c r="I72"/>
  <c r="I73"/>
  <c r="H74"/>
  <c r="I68"/>
  <c r="H65"/>
  <c r="H68"/>
  <c r="I65"/>
  <c r="H66"/>
  <c r="I59"/>
  <c r="H47"/>
  <c r="H46"/>
  <c r="H44"/>
  <c r="I31"/>
  <c r="H32"/>
  <c r="H30"/>
  <c r="H27"/>
  <c r="I25"/>
  <c r="I27"/>
  <c r="H23"/>
  <c r="I21"/>
  <c r="H20"/>
  <c r="H17"/>
  <c r="H18"/>
  <c r="H19"/>
  <c r="I12"/>
  <c r="I10"/>
  <c r="H13"/>
  <c r="H11"/>
  <c r="H60"/>
  <c r="I60"/>
  <c r="H64"/>
  <c r="H61"/>
  <c r="I62"/>
  <c r="I61"/>
  <c r="I64"/>
  <c r="H62"/>
  <c r="I76"/>
  <c r="H204"/>
  <c r="I201"/>
  <c r="H203"/>
  <c r="I203"/>
  <c r="I200"/>
  <c r="H202"/>
  <c r="H200"/>
  <c r="H201"/>
  <c r="I202"/>
  <c r="H96"/>
  <c r="I95"/>
  <c r="H98"/>
  <c r="I97"/>
  <c r="H97"/>
  <c r="I98"/>
  <c r="I96"/>
  <c r="I57"/>
  <c r="I55"/>
  <c r="H55"/>
  <c r="H56"/>
  <c r="H58"/>
  <c r="H59"/>
  <c r="H57"/>
  <c r="I56"/>
  <c r="H53"/>
  <c r="I53"/>
  <c r="I50"/>
  <c r="I37"/>
  <c r="I35"/>
  <c r="I28"/>
  <c r="H75"/>
  <c r="I13"/>
  <c r="I92"/>
  <c r="H69"/>
  <c r="H115"/>
  <c r="I77"/>
  <c r="I14"/>
  <c r="I78"/>
  <c r="H77"/>
  <c r="H28"/>
  <c r="H107"/>
  <c r="H24"/>
  <c r="H112"/>
  <c r="I79"/>
  <c r="I63"/>
  <c r="I112"/>
  <c r="I119"/>
  <c r="H14"/>
  <c r="H10"/>
  <c r="H88"/>
  <c r="H90"/>
  <c r="H12"/>
  <c r="I115"/>
  <c r="H92"/>
  <c r="H94"/>
  <c r="H67"/>
  <c r="I23"/>
  <c r="I66"/>
  <c r="H22"/>
  <c r="H110"/>
  <c r="I38"/>
  <c r="H114"/>
  <c r="I113"/>
  <c r="H51"/>
  <c r="H113"/>
  <c r="I51"/>
  <c r="H34"/>
  <c r="H99"/>
  <c r="I26"/>
  <c r="H16"/>
  <c r="H33"/>
  <c r="I16"/>
  <c r="I99"/>
  <c r="H31"/>
  <c r="H109"/>
  <c r="H25"/>
  <c r="H54"/>
  <c r="I41"/>
  <c r="H116"/>
  <c r="H108"/>
  <c r="I54"/>
  <c r="H42"/>
  <c r="I118"/>
  <c r="H26"/>
  <c r="H41"/>
  <c r="I100"/>
  <c r="H104"/>
  <c r="I32"/>
  <c r="I105"/>
  <c r="I15"/>
  <c r="I52"/>
  <c r="I42"/>
  <c r="H106"/>
  <c r="I106"/>
  <c r="I40"/>
  <c r="H40"/>
  <c r="I101"/>
  <c r="I117"/>
  <c r="E44" i="154"/>
  <c r="E45" s="1"/>
  <c r="E21"/>
  <c r="E27"/>
  <c r="E52"/>
  <c r="E55" s="1"/>
  <c r="E62"/>
  <c r="E69"/>
  <c r="E35"/>
  <c r="C108" i="161"/>
  <c r="C110"/>
  <c r="Q129"/>
  <c r="K129"/>
  <c r="AD129"/>
  <c r="AA129"/>
  <c r="X129"/>
  <c r="U129"/>
  <c r="R129"/>
  <c r="R150" s="1"/>
  <c r="L129"/>
  <c r="H22" i="159"/>
  <c r="H26" s="1"/>
  <c r="F108" i="161" l="1"/>
  <c r="C111"/>
  <c r="J10" i="109"/>
  <c r="F110" i="161"/>
  <c r="J110"/>
  <c r="N110"/>
  <c r="R110"/>
  <c r="V110"/>
  <c r="Z110"/>
  <c r="AD110"/>
  <c r="G110"/>
  <c r="K110"/>
  <c r="O110"/>
  <c r="S110"/>
  <c r="W110"/>
  <c r="AA110"/>
  <c r="H110"/>
  <c r="L110"/>
  <c r="P110"/>
  <c r="T110"/>
  <c r="X110"/>
  <c r="AB110"/>
  <c r="I110"/>
  <c r="M110"/>
  <c r="Q110"/>
  <c r="U110"/>
  <c r="Y110"/>
  <c r="AC110"/>
  <c r="E110"/>
  <c r="I91"/>
  <c r="M91"/>
  <c r="Q91"/>
  <c r="U91"/>
  <c r="Y91"/>
  <c r="AC91"/>
  <c r="N91"/>
  <c r="S91"/>
  <c r="H91"/>
  <c r="X91"/>
  <c r="J91"/>
  <c r="O91"/>
  <c r="T91"/>
  <c r="Z91"/>
  <c r="F91"/>
  <c r="K91"/>
  <c r="P91"/>
  <c r="V91"/>
  <c r="V96" s="1"/>
  <c r="V148" s="1"/>
  <c r="AA91"/>
  <c r="AA96" s="1"/>
  <c r="AA148" s="1"/>
  <c r="E91"/>
  <c r="G91"/>
  <c r="L91"/>
  <c r="R91"/>
  <c r="W91"/>
  <c r="AB91"/>
  <c r="AD91"/>
  <c r="I108"/>
  <c r="M108"/>
  <c r="Q108"/>
  <c r="V108"/>
  <c r="Z108"/>
  <c r="AD108"/>
  <c r="J108"/>
  <c r="N108"/>
  <c r="S108"/>
  <c r="W108"/>
  <c r="W111" s="1"/>
  <c r="W120" s="1"/>
  <c r="W122" s="1"/>
  <c r="W149" s="1"/>
  <c r="AA108"/>
  <c r="AA111" s="1"/>
  <c r="AA120" s="1"/>
  <c r="AA122" s="1"/>
  <c r="AA149" s="1"/>
  <c r="G108"/>
  <c r="K108"/>
  <c r="O108"/>
  <c r="T108"/>
  <c r="X108"/>
  <c r="AB108"/>
  <c r="H108"/>
  <c r="L108"/>
  <c r="L111" s="1"/>
  <c r="L120" s="1"/>
  <c r="L122" s="1"/>
  <c r="L149" s="1"/>
  <c r="P108"/>
  <c r="U108"/>
  <c r="Y108"/>
  <c r="Y111" s="1"/>
  <c r="Y120" s="1"/>
  <c r="Y122" s="1"/>
  <c r="Y149" s="1"/>
  <c r="AC108"/>
  <c r="AC111" s="1"/>
  <c r="AC120" s="1"/>
  <c r="AC122" s="1"/>
  <c r="AC149" s="1"/>
  <c r="E108"/>
  <c r="R108"/>
  <c r="G94"/>
  <c r="K94"/>
  <c r="O94"/>
  <c r="T94"/>
  <c r="X94"/>
  <c r="X96" s="1"/>
  <c r="X148" s="1"/>
  <c r="AB94"/>
  <c r="E94"/>
  <c r="H94"/>
  <c r="S94"/>
  <c r="AD94"/>
  <c r="M94"/>
  <c r="Y94"/>
  <c r="I94"/>
  <c r="N94"/>
  <c r="U94"/>
  <c r="Z94"/>
  <c r="J94"/>
  <c r="P94"/>
  <c r="V94"/>
  <c r="AA94"/>
  <c r="F94"/>
  <c r="L94"/>
  <c r="Q94"/>
  <c r="W94"/>
  <c r="AC94"/>
  <c r="R94"/>
  <c r="F150"/>
  <c r="K150"/>
  <c r="Q150"/>
  <c r="E150"/>
  <c r="AD150"/>
  <c r="L150"/>
  <c r="U150"/>
  <c r="X150"/>
  <c r="AA150"/>
  <c r="E72" i="154"/>
  <c r="E71"/>
  <c r="K70" i="109"/>
  <c r="K45"/>
  <c r="J70"/>
  <c r="M70" s="1"/>
  <c r="N70" s="1"/>
  <c r="O70" s="1"/>
  <c r="J45"/>
  <c r="L15"/>
  <c r="L45"/>
  <c r="J100"/>
  <c r="K85"/>
  <c r="L115"/>
  <c r="L100"/>
  <c r="J20"/>
  <c r="K65"/>
  <c r="L50"/>
  <c r="J110"/>
  <c r="K110"/>
  <c r="K90"/>
  <c r="L90"/>
  <c r="J90"/>
  <c r="L85"/>
  <c r="J85"/>
  <c r="J80"/>
  <c r="K80"/>
  <c r="L80"/>
  <c r="L55"/>
  <c r="K20"/>
  <c r="L20"/>
  <c r="J15"/>
  <c r="J60"/>
  <c r="K60"/>
  <c r="L60"/>
  <c r="L75"/>
  <c r="L200"/>
  <c r="J65"/>
  <c r="L65"/>
  <c r="J55"/>
  <c r="K10"/>
  <c r="L10"/>
  <c r="K200"/>
  <c r="J40"/>
  <c r="K50"/>
  <c r="J200"/>
  <c r="K55"/>
  <c r="J25"/>
  <c r="K95"/>
  <c r="J75"/>
  <c r="K75"/>
  <c r="K100"/>
  <c r="J50"/>
  <c r="L95"/>
  <c r="K105"/>
  <c r="K15"/>
  <c r="L30"/>
  <c r="J105"/>
  <c r="L40"/>
  <c r="L105"/>
  <c r="K30"/>
  <c r="K40"/>
  <c r="L25"/>
  <c r="L110"/>
  <c r="K35"/>
  <c r="J30"/>
  <c r="K25"/>
  <c r="J35"/>
  <c r="J95"/>
  <c r="J115"/>
  <c r="M115" s="1"/>
  <c r="K115"/>
  <c r="L35"/>
  <c r="E28" i="154"/>
  <c r="E74" s="1"/>
  <c r="E78" s="1"/>
  <c r="V65" i="161"/>
  <c r="V68" s="1"/>
  <c r="V84" s="1"/>
  <c r="V86" s="1"/>
  <c r="G28" i="159"/>
  <c r="F14" i="160"/>
  <c r="F15" s="1"/>
  <c r="H28" i="159"/>
  <c r="N28" s="1"/>
  <c r="G14" i="160"/>
  <c r="G15" s="1"/>
  <c r="F111" i="161" l="1"/>
  <c r="F120" s="1"/>
  <c r="F122" s="1"/>
  <c r="F149" s="1"/>
  <c r="V147"/>
  <c r="K111"/>
  <c r="K120" s="1"/>
  <c r="K122" s="1"/>
  <c r="K149" s="1"/>
  <c r="T96"/>
  <c r="T148" s="1"/>
  <c r="R111"/>
  <c r="R120" s="1"/>
  <c r="R122" s="1"/>
  <c r="R149" s="1"/>
  <c r="AD111"/>
  <c r="AD120" s="1"/>
  <c r="AD122" s="1"/>
  <c r="AD149" s="1"/>
  <c r="AB111"/>
  <c r="AB120" s="1"/>
  <c r="AB122" s="1"/>
  <c r="AB149" s="1"/>
  <c r="I96"/>
  <c r="I148" s="1"/>
  <c r="H111"/>
  <c r="H120" s="1"/>
  <c r="H122" s="1"/>
  <c r="H149" s="1"/>
  <c r="P111"/>
  <c r="P120" s="1"/>
  <c r="P122" s="1"/>
  <c r="P149" s="1"/>
  <c r="N111"/>
  <c r="N120" s="1"/>
  <c r="N122" s="1"/>
  <c r="N149" s="1"/>
  <c r="O111"/>
  <c r="O120" s="1"/>
  <c r="O122" s="1"/>
  <c r="O149" s="1"/>
  <c r="G111"/>
  <c r="G120" s="1"/>
  <c r="G122" s="1"/>
  <c r="G149" s="1"/>
  <c r="AB96"/>
  <c r="AB148" s="1"/>
  <c r="S111"/>
  <c r="S120" s="1"/>
  <c r="S122" s="1"/>
  <c r="S149" s="1"/>
  <c r="O96"/>
  <c r="O148" s="1"/>
  <c r="M111"/>
  <c r="M120" s="1"/>
  <c r="M122" s="1"/>
  <c r="M149" s="1"/>
  <c r="M96"/>
  <c r="M148" s="1"/>
  <c r="G96"/>
  <c r="G148" s="1"/>
  <c r="H96"/>
  <c r="H148" s="1"/>
  <c r="Q111"/>
  <c r="Q120" s="1"/>
  <c r="Q122" s="1"/>
  <c r="Q149" s="1"/>
  <c r="I111"/>
  <c r="I120" s="1"/>
  <c r="I122" s="1"/>
  <c r="I149" s="1"/>
  <c r="E96"/>
  <c r="S96"/>
  <c r="S148" s="1"/>
  <c r="W96"/>
  <c r="W148" s="1"/>
  <c r="Z96"/>
  <c r="Z148" s="1"/>
  <c r="R96"/>
  <c r="R148" s="1"/>
  <c r="J96"/>
  <c r="J148" s="1"/>
  <c r="J111"/>
  <c r="J120" s="1"/>
  <c r="J122" s="1"/>
  <c r="J149" s="1"/>
  <c r="L96"/>
  <c r="L148" s="1"/>
  <c r="AD96"/>
  <c r="AD148" s="1"/>
  <c r="X111"/>
  <c r="X120" s="1"/>
  <c r="X122" s="1"/>
  <c r="X149" s="1"/>
  <c r="Z111"/>
  <c r="Z120" s="1"/>
  <c r="Z122" s="1"/>
  <c r="Z149" s="1"/>
  <c r="N96"/>
  <c r="N148" s="1"/>
  <c r="T111"/>
  <c r="T120" s="1"/>
  <c r="T122" s="1"/>
  <c r="T149" s="1"/>
  <c r="V111"/>
  <c r="V120" s="1"/>
  <c r="V122" s="1"/>
  <c r="V149" s="1"/>
  <c r="AC96"/>
  <c r="AC148" s="1"/>
  <c r="U111"/>
  <c r="U120" s="1"/>
  <c r="U122" s="1"/>
  <c r="U149" s="1"/>
  <c r="P96"/>
  <c r="P148" s="1"/>
  <c r="Y96"/>
  <c r="Y148" s="1"/>
  <c r="M45" i="109"/>
  <c r="N45" s="1"/>
  <c r="O45" s="1"/>
  <c r="K96" i="161"/>
  <c r="K148" s="1"/>
  <c r="U96"/>
  <c r="U148" s="1"/>
  <c r="E111"/>
  <c r="E120" s="1"/>
  <c r="E122" s="1"/>
  <c r="E149" s="1"/>
  <c r="F96"/>
  <c r="F148" s="1"/>
  <c r="Q96"/>
  <c r="Q148" s="1"/>
  <c r="M20" i="109"/>
  <c r="N20" s="1"/>
  <c r="O20" s="1"/>
  <c r="M15"/>
  <c r="N15" s="1"/>
  <c r="O15" s="1"/>
  <c r="M85"/>
  <c r="N85" s="1"/>
  <c r="O85" s="1"/>
  <c r="M100"/>
  <c r="N100" s="1"/>
  <c r="O100" s="1"/>
  <c r="M90"/>
  <c r="N90" s="1"/>
  <c r="O90" s="1"/>
  <c r="M50"/>
  <c r="N50" s="1"/>
  <c r="O50" s="1"/>
  <c r="M60"/>
  <c r="N60" s="1"/>
  <c r="O60" s="1"/>
  <c r="M55"/>
  <c r="N55" s="1"/>
  <c r="O55" s="1"/>
  <c r="M65"/>
  <c r="N65" s="1"/>
  <c r="O65" s="1"/>
  <c r="M110"/>
  <c r="N110" s="1"/>
  <c r="O110" s="1"/>
  <c r="M10"/>
  <c r="N10" s="1"/>
  <c r="O10" s="1"/>
  <c r="M200"/>
  <c r="N200" s="1"/>
  <c r="O200" s="1"/>
  <c r="N115"/>
  <c r="O115" s="1"/>
  <c r="M80"/>
  <c r="N80" s="1"/>
  <c r="O80" s="1"/>
  <c r="M40"/>
  <c r="N40" s="1"/>
  <c r="O40" s="1"/>
  <c r="T65" i="161"/>
  <c r="T68" s="1"/>
  <c r="T84" s="1"/>
  <c r="T86" s="1"/>
  <c r="N65"/>
  <c r="N68" s="1"/>
  <c r="N84" s="1"/>
  <c r="N86" s="1"/>
  <c r="M95" i="109"/>
  <c r="N95" s="1"/>
  <c r="O95" s="1"/>
  <c r="M75"/>
  <c r="N75" s="1"/>
  <c r="O75" s="1"/>
  <c r="M25"/>
  <c r="N25" s="1"/>
  <c r="O25" s="1"/>
  <c r="G65" i="161"/>
  <c r="G68" s="1"/>
  <c r="G84" s="1"/>
  <c r="G86" s="1"/>
  <c r="M105" i="109"/>
  <c r="N105" s="1"/>
  <c r="O105" s="1"/>
  <c r="M30"/>
  <c r="N30" s="1"/>
  <c r="O30" s="1"/>
  <c r="W65" i="161"/>
  <c r="W68" s="1"/>
  <c r="W84" s="1"/>
  <c r="W86" s="1"/>
  <c r="M35" i="109"/>
  <c r="N35" s="1"/>
  <c r="O35" s="1"/>
  <c r="Z65" i="161"/>
  <c r="Z68" s="1"/>
  <c r="Z84" s="1"/>
  <c r="Z86" s="1"/>
  <c r="I65"/>
  <c r="I68" s="1"/>
  <c r="I84" s="1"/>
  <c r="I86" s="1"/>
  <c r="Y129"/>
  <c r="S129"/>
  <c r="G147" l="1"/>
  <c r="N147"/>
  <c r="I147"/>
  <c r="Z147"/>
  <c r="W147"/>
  <c r="T147"/>
  <c r="E148"/>
  <c r="E151" s="1"/>
  <c r="O206" i="109"/>
  <c r="O207" s="1"/>
  <c r="O208" s="1"/>
  <c r="O209" s="1"/>
  <c r="O210" s="1"/>
  <c r="O211" s="1"/>
  <c r="G128" i="161" s="1"/>
  <c r="E133"/>
  <c r="E134" s="1"/>
  <c r="S150"/>
  <c r="Y150"/>
  <c r="L65"/>
  <c r="L68" s="1"/>
  <c r="L84" s="1"/>
  <c r="L86" s="1"/>
  <c r="M65"/>
  <c r="M68" s="1"/>
  <c r="M84" s="1"/>
  <c r="M86" s="1"/>
  <c r="Y65"/>
  <c r="Y68" s="1"/>
  <c r="Y84" s="1"/>
  <c r="Y86" s="1"/>
  <c r="AB65"/>
  <c r="AB68" s="1"/>
  <c r="AB84" s="1"/>
  <c r="AB86" s="1"/>
  <c r="R65"/>
  <c r="R68" s="1"/>
  <c r="R84" s="1"/>
  <c r="R86" s="1"/>
  <c r="F65"/>
  <c r="F68" s="1"/>
  <c r="F84" s="1"/>
  <c r="F86" s="1"/>
  <c r="K65"/>
  <c r="K68" s="1"/>
  <c r="K84" s="1"/>
  <c r="K86" s="1"/>
  <c r="AC65"/>
  <c r="AC68" s="1"/>
  <c r="AC84" s="1"/>
  <c r="AC86" s="1"/>
  <c r="S65"/>
  <c r="S68" s="1"/>
  <c r="S84" s="1"/>
  <c r="S86" s="1"/>
  <c r="E153" l="1"/>
  <c r="S147"/>
  <c r="F133"/>
  <c r="F134" s="1"/>
  <c r="AB147"/>
  <c r="Y147"/>
  <c r="Y151" s="1"/>
  <c r="M147"/>
  <c r="AC147"/>
  <c r="L147"/>
  <c r="L151" s="1"/>
  <c r="L133"/>
  <c r="L134" s="1"/>
  <c r="S133"/>
  <c r="S134" s="1"/>
  <c r="K147"/>
  <c r="K151" s="1"/>
  <c r="K133"/>
  <c r="K134" s="1"/>
  <c r="Y133"/>
  <c r="Y134" s="1"/>
  <c r="S151"/>
  <c r="F147"/>
  <c r="F151" s="1"/>
  <c r="R147"/>
  <c r="R151" s="1"/>
  <c r="R133"/>
  <c r="R134" s="1"/>
  <c r="H65"/>
  <c r="H68" s="1"/>
  <c r="H84" s="1"/>
  <c r="H86" s="1"/>
  <c r="X65"/>
  <c r="X68" s="1"/>
  <c r="X84" s="1"/>
  <c r="X86" s="1"/>
  <c r="U65"/>
  <c r="U68" s="1"/>
  <c r="U84" s="1"/>
  <c r="U86" s="1"/>
  <c r="AA65"/>
  <c r="AA68" s="1"/>
  <c r="AA84" s="1"/>
  <c r="AA86" s="1"/>
  <c r="P65"/>
  <c r="P68" s="1"/>
  <c r="P84" s="1"/>
  <c r="P86" s="1"/>
  <c r="Q65"/>
  <c r="Q68" s="1"/>
  <c r="Q84" s="1"/>
  <c r="Q86" s="1"/>
  <c r="AD65"/>
  <c r="AD68" s="1"/>
  <c r="AD84" s="1"/>
  <c r="AD86" s="1"/>
  <c r="O65"/>
  <c r="O68" s="1"/>
  <c r="O84" s="1"/>
  <c r="O86" s="1"/>
  <c r="F153" l="1"/>
  <c r="F138" s="1"/>
  <c r="P147"/>
  <c r="L153"/>
  <c r="E140"/>
  <c r="E138"/>
  <c r="O147"/>
  <c r="H147"/>
  <c r="E158"/>
  <c r="E160" s="1"/>
  <c r="E137"/>
  <c r="Y153"/>
  <c r="S153"/>
  <c r="Q147"/>
  <c r="Q151" s="1"/>
  <c r="Q133"/>
  <c r="Q134" s="1"/>
  <c r="X147"/>
  <c r="X151" s="1"/>
  <c r="X133"/>
  <c r="AA147"/>
  <c r="AA151" s="1"/>
  <c r="AA133"/>
  <c r="AA134" s="1"/>
  <c r="K153"/>
  <c r="AD147"/>
  <c r="AD151" s="1"/>
  <c r="AD133"/>
  <c r="U147"/>
  <c r="U151" s="1"/>
  <c r="U133"/>
  <c r="U134" s="1"/>
  <c r="R153"/>
  <c r="J65"/>
  <c r="J68" s="1"/>
  <c r="J84" s="1"/>
  <c r="J86" s="1"/>
  <c r="AD134" l="1"/>
  <c r="AD153" s="1"/>
  <c r="AD140" s="1"/>
  <c r="AA153"/>
  <c r="G26" i="154"/>
  <c r="E159" i="161"/>
  <c r="J147"/>
  <c r="X134"/>
  <c r="X153" s="1"/>
  <c r="X140" s="1"/>
  <c r="K140"/>
  <c r="K138"/>
  <c r="E141"/>
  <c r="E152" s="1"/>
  <c r="R158"/>
  <c r="G43" i="154" s="1"/>
  <c r="R140" i="161"/>
  <c r="L158"/>
  <c r="L159" s="1"/>
  <c r="L140"/>
  <c r="S158"/>
  <c r="S160" s="1"/>
  <c r="S140"/>
  <c r="Y158"/>
  <c r="Y140"/>
  <c r="F158"/>
  <c r="G18" i="154" s="1"/>
  <c r="F140" i="161"/>
  <c r="F137"/>
  <c r="K158"/>
  <c r="G24" i="154" s="1"/>
  <c r="U153" i="161"/>
  <c r="L160"/>
  <c r="G25" i="154"/>
  <c r="Q153" i="161"/>
  <c r="AA138" l="1"/>
  <c r="AA140"/>
  <c r="R159"/>
  <c r="R160"/>
  <c r="AD137"/>
  <c r="K159"/>
  <c r="K160"/>
  <c r="G32" i="154"/>
  <c r="H32" s="1"/>
  <c r="S159" i="161"/>
  <c r="X158"/>
  <c r="X159" s="1"/>
  <c r="Q158"/>
  <c r="Q160" s="1"/>
  <c r="Q140"/>
  <c r="F160"/>
  <c r="F159"/>
  <c r="AD158"/>
  <c r="AD160" s="1"/>
  <c r="U158"/>
  <c r="U160" s="1"/>
  <c r="U140"/>
  <c r="Y159"/>
  <c r="Y160"/>
  <c r="G59" i="154"/>
  <c r="AA158" i="161"/>
  <c r="G60" i="154" s="1"/>
  <c r="G53"/>
  <c r="I53" s="1"/>
  <c r="I54" s="1"/>
  <c r="Y137" i="161"/>
  <c r="Y138"/>
  <c r="I32" i="154" l="1"/>
  <c r="AA160" i="161"/>
  <c r="X160"/>
  <c r="AA159"/>
  <c r="G42" i="154"/>
  <c r="Q159" i="161"/>
  <c r="G33" i="154"/>
  <c r="G34" s="1"/>
  <c r="U159" i="161"/>
  <c r="G67" i="154"/>
  <c r="AD159" i="161"/>
  <c r="H59" i="154"/>
  <c r="I59"/>
  <c r="H53"/>
  <c r="H54" s="1"/>
  <c r="H60"/>
  <c r="I60"/>
  <c r="S138" i="161"/>
  <c r="S137"/>
  <c r="U138"/>
  <c r="U137"/>
  <c r="AD138"/>
  <c r="AD141" s="1"/>
  <c r="AD152" s="1"/>
  <c r="L138"/>
  <c r="L137"/>
  <c r="K137"/>
  <c r="X138"/>
  <c r="X137"/>
  <c r="X141" s="1"/>
  <c r="R137"/>
  <c r="R138"/>
  <c r="Y141"/>
  <c r="Y152" s="1"/>
  <c r="I128"/>
  <c r="I129" s="1"/>
  <c r="J128"/>
  <c r="J129" s="1"/>
  <c r="AB128"/>
  <c r="AB129" s="1"/>
  <c r="G129"/>
  <c r="T128"/>
  <c r="T129" s="1"/>
  <c r="M128"/>
  <c r="M129" s="1"/>
  <c r="V128"/>
  <c r="V129" s="1"/>
  <c r="N128"/>
  <c r="N129" s="1"/>
  <c r="W128"/>
  <c r="W129" s="1"/>
  <c r="O128"/>
  <c r="O129" s="1"/>
  <c r="AC128"/>
  <c r="AC129" s="1"/>
  <c r="Z128"/>
  <c r="Z129" s="1"/>
  <c r="P128"/>
  <c r="P129" s="1"/>
  <c r="H128"/>
  <c r="H129" s="1"/>
  <c r="H43" i="154"/>
  <c r="E12" i="160"/>
  <c r="H61" i="154" l="1"/>
  <c r="I61"/>
  <c r="L141" i="161"/>
  <c r="L152" s="1"/>
  <c r="I12" i="160"/>
  <c r="H12"/>
  <c r="P150" i="161"/>
  <c r="P151" s="1"/>
  <c r="P133"/>
  <c r="P134" s="1"/>
  <c r="J150"/>
  <c r="J151" s="1"/>
  <c r="J133"/>
  <c r="J134" s="1"/>
  <c r="I150"/>
  <c r="I151" s="1"/>
  <c r="I133"/>
  <c r="I134" s="1"/>
  <c r="W150"/>
  <c r="W151" s="1"/>
  <c r="W133"/>
  <c r="W134" s="1"/>
  <c r="V150"/>
  <c r="V151" s="1"/>
  <c r="V133"/>
  <c r="V134" s="1"/>
  <c r="T150"/>
  <c r="T151" s="1"/>
  <c r="T133"/>
  <c r="T134" s="1"/>
  <c r="N150"/>
  <c r="N151" s="1"/>
  <c r="N133"/>
  <c r="N134" s="1"/>
  <c r="M150"/>
  <c r="M151" s="1"/>
  <c r="M133"/>
  <c r="M134" s="1"/>
  <c r="G150"/>
  <c r="G151" s="1"/>
  <c r="G133"/>
  <c r="G134" s="1"/>
  <c r="H133"/>
  <c r="H134" s="1"/>
  <c r="H150"/>
  <c r="H151" s="1"/>
  <c r="AB150"/>
  <c r="AB151" s="1"/>
  <c r="AB133"/>
  <c r="Z150"/>
  <c r="Z151" s="1"/>
  <c r="Z133"/>
  <c r="Z134" s="1"/>
  <c r="AC150"/>
  <c r="AC151" s="1"/>
  <c r="AC133"/>
  <c r="AC134" s="1"/>
  <c r="O150"/>
  <c r="O151" s="1"/>
  <c r="O133"/>
  <c r="O134" s="1"/>
  <c r="R141"/>
  <c r="R152" s="1"/>
  <c r="H33" i="154"/>
  <c r="H34" s="1"/>
  <c r="I33"/>
  <c r="I34" s="1"/>
  <c r="H26"/>
  <c r="I26"/>
  <c r="U141" i="161"/>
  <c r="U152" s="1"/>
  <c r="K141"/>
  <c r="K152" s="1"/>
  <c r="X152"/>
  <c r="S141"/>
  <c r="S152" s="1"/>
  <c r="AA137"/>
  <c r="Q138"/>
  <c r="Q137"/>
  <c r="F141"/>
  <c r="F152" s="1"/>
  <c r="I67" i="154"/>
  <c r="I68" s="1"/>
  <c r="I43"/>
  <c r="AC153" i="161" l="1"/>
  <c r="AC140" s="1"/>
  <c r="O153"/>
  <c r="AB134"/>
  <c r="AB153" s="1"/>
  <c r="H153"/>
  <c r="H137" s="1"/>
  <c r="I153"/>
  <c r="I140" s="1"/>
  <c r="J153"/>
  <c r="J140" s="1"/>
  <c r="P153"/>
  <c r="N153"/>
  <c r="T153"/>
  <c r="V153"/>
  <c r="Z153"/>
  <c r="W153"/>
  <c r="G153"/>
  <c r="M153"/>
  <c r="AA141"/>
  <c r="AA152" s="1"/>
  <c r="H18" i="154"/>
  <c r="I18"/>
  <c r="H24"/>
  <c r="I24"/>
  <c r="H25"/>
  <c r="I25"/>
  <c r="Q141" i="161"/>
  <c r="Q152" s="1"/>
  <c r="I42" i="154"/>
  <c r="G68"/>
  <c r="H67"/>
  <c r="H68" s="1"/>
  <c r="G54"/>
  <c r="M138" i="161" l="1"/>
  <c r="M140"/>
  <c r="AB138"/>
  <c r="AB140"/>
  <c r="O158"/>
  <c r="G39" i="154" s="1"/>
  <c r="O140" i="161"/>
  <c r="G140"/>
  <c r="G138"/>
  <c r="G137"/>
  <c r="AB158"/>
  <c r="AB160" s="1"/>
  <c r="T158"/>
  <c r="G30" i="154" s="1"/>
  <c r="T140" i="161"/>
  <c r="N158"/>
  <c r="G38" i="154" s="1"/>
  <c r="N140" i="161"/>
  <c r="P158"/>
  <c r="P160" s="1"/>
  <c r="P140"/>
  <c r="W158"/>
  <c r="G51" i="154" s="1"/>
  <c r="W140" i="161"/>
  <c r="Z158"/>
  <c r="Z160" s="1"/>
  <c r="Z140"/>
  <c r="V158"/>
  <c r="G50" i="154" s="1"/>
  <c r="V140" i="161"/>
  <c r="V137"/>
  <c r="M158"/>
  <c r="G37" i="154" s="1"/>
  <c r="M137" i="161"/>
  <c r="AC158"/>
  <c r="AC160" s="1"/>
  <c r="H158"/>
  <c r="H159" s="1"/>
  <c r="H140"/>
  <c r="I158"/>
  <c r="I159" s="1"/>
  <c r="E14" i="160"/>
  <c r="G158" i="161"/>
  <c r="G160" s="1"/>
  <c r="E11" i="160"/>
  <c r="E13"/>
  <c r="I137" i="161"/>
  <c r="I138"/>
  <c r="J158"/>
  <c r="G23" i="154" s="1"/>
  <c r="P138" i="161"/>
  <c r="P137"/>
  <c r="H138"/>
  <c r="AC138"/>
  <c r="AC137"/>
  <c r="AB137"/>
  <c r="N138"/>
  <c r="N137"/>
  <c r="Z138"/>
  <c r="Z137"/>
  <c r="V138"/>
  <c r="T138"/>
  <c r="T137"/>
  <c r="O138"/>
  <c r="O137"/>
  <c r="W138"/>
  <c r="W137"/>
  <c r="J137"/>
  <c r="J138"/>
  <c r="H42" i="154"/>
  <c r="G61"/>
  <c r="O160" i="161" l="1"/>
  <c r="G57" i="154"/>
  <c r="I57" s="1"/>
  <c r="I58" s="1"/>
  <c r="I62" s="1"/>
  <c r="G64"/>
  <c r="I64" s="1"/>
  <c r="V160" i="161"/>
  <c r="O159"/>
  <c r="H160"/>
  <c r="W159"/>
  <c r="W160"/>
  <c r="AB141"/>
  <c r="AB152" s="1"/>
  <c r="G20" i="154"/>
  <c r="M141" i="161"/>
  <c r="M152" s="1"/>
  <c r="N159"/>
  <c r="N160"/>
  <c r="M159"/>
  <c r="AC159"/>
  <c r="T159"/>
  <c r="G41" i="154"/>
  <c r="I41" s="1"/>
  <c r="I44" s="1"/>
  <c r="AB159" i="161"/>
  <c r="P159"/>
  <c r="G65" i="154"/>
  <c r="M160" i="161"/>
  <c r="T160"/>
  <c r="Z159"/>
  <c r="V159"/>
  <c r="I160"/>
  <c r="J159"/>
  <c r="G22" i="154"/>
  <c r="H22" s="1"/>
  <c r="I141" i="161"/>
  <c r="I152" s="1"/>
  <c r="J160"/>
  <c r="G159"/>
  <c r="G19" i="154"/>
  <c r="H19" s="1"/>
  <c r="I14" i="160"/>
  <c r="H14"/>
  <c r="H13"/>
  <c r="I13"/>
  <c r="H11"/>
  <c r="I11"/>
  <c r="P141" i="161"/>
  <c r="P152" s="1"/>
  <c r="G141"/>
  <c r="G152" s="1"/>
  <c r="H141"/>
  <c r="H152" s="1"/>
  <c r="T141"/>
  <c r="T152" s="1"/>
  <c r="H51" i="154"/>
  <c r="I51"/>
  <c r="I50"/>
  <c r="H50"/>
  <c r="I23"/>
  <c r="H23"/>
  <c r="I38"/>
  <c r="O141" i="161"/>
  <c r="O152" s="1"/>
  <c r="Z141"/>
  <c r="Z152" s="1"/>
  <c r="V141"/>
  <c r="V152" s="1"/>
  <c r="J141"/>
  <c r="J152" s="1"/>
  <c r="N141"/>
  <c r="N152" s="1"/>
  <c r="AC141"/>
  <c r="AC152" s="1"/>
  <c r="W141"/>
  <c r="W152" s="1"/>
  <c r="H38" i="154"/>
  <c r="G40"/>
  <c r="H57" l="1"/>
  <c r="H58" s="1"/>
  <c r="H62" s="1"/>
  <c r="H41"/>
  <c r="H44" s="1"/>
  <c r="G44"/>
  <c r="I19" i="160"/>
  <c r="I23" i="157" s="1"/>
  <c r="H23" s="1"/>
  <c r="G27" i="154"/>
  <c r="G21"/>
  <c r="I22"/>
  <c r="I27" s="1"/>
  <c r="I72" s="1"/>
  <c r="I19"/>
  <c r="I15" i="160"/>
  <c r="I76" i="154" s="1"/>
  <c r="H19" i="160"/>
  <c r="E19" s="1"/>
  <c r="H17"/>
  <c r="E17" s="1"/>
  <c r="H15"/>
  <c r="H76" i="154" s="1"/>
  <c r="H52"/>
  <c r="H55" s="1"/>
  <c r="I17" i="160"/>
  <c r="I22" i="157" s="1"/>
  <c r="H22" s="1"/>
  <c r="I52" i="154"/>
  <c r="I55" s="1"/>
  <c r="H27"/>
  <c r="H30"/>
  <c r="H31" s="1"/>
  <c r="H35" s="1"/>
  <c r="G31"/>
  <c r="G35" s="1"/>
  <c r="I30"/>
  <c r="I31" s="1"/>
  <c r="I35" s="1"/>
  <c r="H20"/>
  <c r="H21" s="1"/>
  <c r="I20"/>
  <c r="H64"/>
  <c r="G58"/>
  <c r="G62" s="1"/>
  <c r="I37"/>
  <c r="H37"/>
  <c r="G52"/>
  <c r="I39"/>
  <c r="H39"/>
  <c r="I65"/>
  <c r="I66" s="1"/>
  <c r="H65"/>
  <c r="G66"/>
  <c r="I21" l="1"/>
  <c r="I28" s="1"/>
  <c r="G72"/>
  <c r="H21" i="157" s="1"/>
  <c r="I21" s="1"/>
  <c r="H72" i="154"/>
  <c r="H28"/>
  <c r="G76"/>
  <c r="G28"/>
  <c r="G71"/>
  <c r="H66"/>
  <c r="H69" s="1"/>
  <c r="I69"/>
  <c r="G69"/>
  <c r="G55"/>
  <c r="G45"/>
  <c r="H40"/>
  <c r="I40"/>
  <c r="G74" l="1"/>
  <c r="G78" s="1"/>
  <c r="H20" i="157"/>
  <c r="I20" s="1"/>
  <c r="I27" s="1"/>
  <c r="I45" i="154"/>
  <c r="I71"/>
  <c r="I74" s="1"/>
  <c r="I78" s="1"/>
  <c r="H45"/>
  <c r="H71"/>
  <c r="H74" s="1"/>
  <c r="H78" s="1"/>
  <c r="I25" i="157" l="1"/>
  <c r="I26"/>
</calcChain>
</file>

<file path=xl/sharedStrings.xml><?xml version="1.0" encoding="utf-8"?>
<sst xmlns="http://schemas.openxmlformats.org/spreadsheetml/2006/main" count="1762" uniqueCount="741">
  <si>
    <t>JUSTIÇA FEDERAL NA PARAÍBA</t>
  </si>
  <si>
    <t>IDENTIFICAÇÃO DA PROPONENTE</t>
  </si>
  <si>
    <t>Razão Social:</t>
  </si>
  <si>
    <t>CNPJ/MF:</t>
  </si>
  <si>
    <t>Endereço:</t>
  </si>
  <si>
    <t>Telefone:</t>
  </si>
  <si>
    <t>e-mail:</t>
  </si>
  <si>
    <t>DADOS DO REPRESENTANTE</t>
  </si>
  <si>
    <t>Responsável Legal:</t>
  </si>
  <si>
    <t>Reg. Geral nº.</t>
  </si>
  <si>
    <t>Grupo</t>
  </si>
  <si>
    <t>Item</t>
  </si>
  <si>
    <t>Descrição</t>
  </si>
  <si>
    <t>Quant.</t>
  </si>
  <si>
    <t>João Pessoa</t>
  </si>
  <si>
    <t>Guarabira</t>
  </si>
  <si>
    <t>Campina Grande</t>
  </si>
  <si>
    <t>Monteiro</t>
  </si>
  <si>
    <t>Patos</t>
  </si>
  <si>
    <t>Sousa</t>
  </si>
  <si>
    <t>TOTAL DOS CUSTOS MENSAL</t>
  </si>
  <si>
    <t>TOTAL DOS CUSTOS ANUAL</t>
  </si>
  <si>
    <t>TOTAL DO CONTRATO PARA 36 MESES</t>
  </si>
  <si>
    <t>___________________________________________________________________</t>
  </si>
  <si>
    <t>SECRETARIA ADMINISTRATIVA</t>
  </si>
  <si>
    <t>NÚCLEO DE ADMINISTRAÇÃO</t>
  </si>
  <si>
    <t>Nº DO PROCESSO:</t>
  </si>
  <si>
    <t>OBJETO:</t>
  </si>
  <si>
    <t>NOME DA PLANILHA:</t>
  </si>
  <si>
    <t>PLANILHA DE CUSTOS E FORMAÇÃO DE PREÇOS</t>
  </si>
  <si>
    <t>MODALIDADE DE LICITAÇÃO:</t>
  </si>
  <si>
    <t>PREGÃO ELETRÔNICO</t>
  </si>
  <si>
    <t>REGIME DE CONTRATAÇÃO:</t>
  </si>
  <si>
    <t>PREÇO GLOBAL</t>
  </si>
  <si>
    <t>PRAZO DO CONTRATO (MESES):</t>
  </si>
  <si>
    <t>CONVENÇÃO COLETIVA UTILIZADA:</t>
  </si>
  <si>
    <r>
      <t xml:space="preserve">CONVENÇÕES COLETIVAS DE TRABALHO 2025/2025:
</t>
    </r>
    <r>
      <rPr>
        <b/>
        <sz val="10"/>
        <color indexed="8"/>
        <rFont val="Tahoma"/>
        <family val="2"/>
      </rPr>
      <t xml:space="preserve">PB000113/2025 - </t>
    </r>
    <r>
      <rPr>
        <sz val="10"/>
        <color indexed="8"/>
        <rFont val="Tahoma"/>
        <family val="2"/>
      </rPr>
      <t xml:space="preserve">SINDICATO DAS EMPRESAS DE ASSEIO E CONSERVAÇÃO DO ESTADO DA PARAÍBA SEAC-PB;
</t>
    </r>
    <r>
      <rPr>
        <b/>
        <sz val="10"/>
        <color indexed="8"/>
        <rFont val="Tahoma"/>
        <family val="2"/>
      </rPr>
      <t>PB000092/2025</t>
    </r>
    <r>
      <rPr>
        <sz val="10"/>
        <color indexed="8"/>
        <rFont val="Tahoma"/>
        <family val="2"/>
      </rPr>
      <t xml:space="preserve"> - SINDICATO DOS TRABALHADORES NAS EMPEMPRESAS PRESTADORAS DE SERVIÇOS EM CAMPINA GRANDE-PB</t>
    </r>
  </si>
  <si>
    <t>OBSERVAÇÃO:</t>
  </si>
  <si>
    <t>ORÇAMENTO ESTIMATIVO GLOBAL IDEAL</t>
  </si>
  <si>
    <t>PRAZO INICIAL (MESES):</t>
  </si>
  <si>
    <t>GRUPO</t>
  </si>
  <si>
    <t>ITEM</t>
  </si>
  <si>
    <t>LOCAL</t>
  </si>
  <si>
    <t>DESCRIÇÃO DO OBJETO</t>
  </si>
  <si>
    <t>CUSTOS FIXOS</t>
  </si>
  <si>
    <t>DESCRIÇÃO - CATSER</t>
  </si>
  <si>
    <t>QTDE</t>
  </si>
  <si>
    <t>FUNÇÃO</t>
  </si>
  <si>
    <t>VALOR MENSAL</t>
  </si>
  <si>
    <t>VALOR ANUAL</t>
  </si>
  <si>
    <t>VALOR CONTRATO</t>
  </si>
  <si>
    <t>JOÃO PESSOA</t>
  </si>
  <si>
    <r>
      <t xml:space="preserve">Contratação de  empresa especializada na prestação de limpeza, asseio e conservação predial, com disponibilização de mão-de-obra (mensalista)
</t>
    </r>
    <r>
      <rPr>
        <b/>
        <sz val="10"/>
        <color theme="1"/>
        <rFont val="Tahoma"/>
        <family val="2"/>
      </rPr>
      <t>CATSER - 24023</t>
    </r>
  </si>
  <si>
    <t>ASG</t>
  </si>
  <si>
    <t>SUBTOTAL DE LIMPEZA</t>
  </si>
  <si>
    <r>
      <t xml:space="preserve">Contratação de  empresa especializada na prestação de serviços continuados de apoio administrativo com disponibilização de mão-de-obra (mensalista)
</t>
    </r>
    <r>
      <rPr>
        <b/>
        <sz val="10"/>
        <color indexed="8"/>
        <rFont val="Tahoma"/>
        <family val="2"/>
      </rPr>
      <t>CATSER - 5380</t>
    </r>
  </si>
  <si>
    <t>JARDINEIRO</t>
  </si>
  <si>
    <t>COPEIRA</t>
  </si>
  <si>
    <t>SUBTOTAL DE APOIO ADM</t>
  </si>
  <si>
    <t>SUBTOTAL 1 JOÃO PESSOA</t>
  </si>
  <si>
    <t>GUARABIRA</t>
  </si>
  <si>
    <t>ASG COM INSALUBRIDADE 20%</t>
  </si>
  <si>
    <t>SUBTOTAL 2 GUARABIRA</t>
  </si>
  <si>
    <t>CAMPINA GRANDE</t>
  </si>
  <si>
    <t>SUBTORAL DE LIMPEZA</t>
  </si>
  <si>
    <t>TOTAL 3 CAMPINA GRANDE</t>
  </si>
  <si>
    <t>MONTEIRO</t>
  </si>
  <si>
    <t>SERVENTE-COPEIRA</t>
  </si>
  <si>
    <t>TOTAL 4 MONTEIRO</t>
  </si>
  <si>
    <t>PATOS</t>
  </si>
  <si>
    <t>TOTAL 5 PATOS</t>
  </si>
  <si>
    <t>SOUSA</t>
  </si>
  <si>
    <t>TOTAL 6 SOUSA</t>
  </si>
  <si>
    <t>TOTAL DE LIMPEZA - CATSER 24023</t>
  </si>
  <si>
    <t>TOTAL DE APOIO ADM - CARTSER 5380</t>
  </si>
  <si>
    <t>TOTAL DE CUSTOS FIXOS (SUBTOTAIS DE 1 A 6)</t>
  </si>
  <si>
    <t>TOTAL DE CUSTOS EVENTUAIS</t>
  </si>
  <si>
    <t>TOTAL GERAL DE CUSTOS</t>
  </si>
  <si>
    <t>PRAZO DE DURAÇÃO DO CONTRATO (MESES)</t>
  </si>
  <si>
    <t>UNID</t>
  </si>
  <si>
    <t>CATSER</t>
  </si>
  <si>
    <t>COMPOSIÇÃO DOS VALORES DE MÃO DE OBRA</t>
  </si>
  <si>
    <t>PLANILHA DE CUSTOS E FORMAÇÃO DE PREÇOS - IN 05/2017 - SEGES/MP</t>
  </si>
  <si>
    <t>(DE ACORDO COM A LEI 13.467/2017)</t>
  </si>
  <si>
    <t>Licitação nº __/____ - Pregão Eletrônico nº. __/____ - JFPB</t>
  </si>
  <si>
    <t>Discriminação dos Serviços (dados referentes à contratação):</t>
  </si>
  <si>
    <t>Valor do transporte</t>
  </si>
  <si>
    <t>A</t>
  </si>
  <si>
    <t>Data de apresentação da proposta (dia/mês/ano) - Revisão</t>
  </si>
  <si>
    <t>B</t>
  </si>
  <si>
    <t>Município/UF</t>
  </si>
  <si>
    <t>C</t>
  </si>
  <si>
    <t>Ano Acordo, Convenção ou Sentença Normativa em Dissídio Coletivo</t>
  </si>
  <si>
    <t>PB000113/2025</t>
  </si>
  <si>
    <t>PB000092/2025</t>
  </si>
  <si>
    <t>Decreto PMJP nº 10.918/2025</t>
  </si>
  <si>
    <t>D</t>
  </si>
  <si>
    <t>Nº de meses de execução contratual</t>
  </si>
  <si>
    <t>Portaria STTP-CG nº 33/2024</t>
  </si>
  <si>
    <t>João Pessoa/PB</t>
  </si>
  <si>
    <t>Campina Grande/PB</t>
  </si>
  <si>
    <t>Guarabira/PB</t>
  </si>
  <si>
    <t>Monteiro/PB</t>
  </si>
  <si>
    <t>Patos/PB</t>
  </si>
  <si>
    <t>Sousa/PB</t>
  </si>
  <si>
    <t>Tipo de serviço</t>
  </si>
  <si>
    <t>Supervisor Geral</t>
  </si>
  <si>
    <t>Jardineiro</t>
  </si>
  <si>
    <t>Copeira</t>
  </si>
  <si>
    <t>Recepcionista</t>
  </si>
  <si>
    <t>Copeira
26h</t>
  </si>
  <si>
    <t>Servente-Copeira</t>
  </si>
  <si>
    <t>Servente-Coperia</t>
  </si>
  <si>
    <t>Unidade</t>
  </si>
  <si>
    <t>Posto</t>
  </si>
  <si>
    <t>Quantidade</t>
  </si>
  <si>
    <t>Total de Postos</t>
  </si>
  <si>
    <t>Total JPA</t>
  </si>
  <si>
    <t>Total CG</t>
  </si>
  <si>
    <t>Total GUA</t>
  </si>
  <si>
    <t>Total MON</t>
  </si>
  <si>
    <t>Total PTS</t>
  </si>
  <si>
    <t>Total SSA</t>
  </si>
  <si>
    <t>Apoio Adm</t>
  </si>
  <si>
    <t>Limpeza</t>
  </si>
  <si>
    <t>1. MÓDULOS</t>
  </si>
  <si>
    <t>Mão-de-obra vinculada à execução contratual:</t>
  </si>
  <si>
    <t>JPA</t>
  </si>
  <si>
    <t>Tipo de serviço (mesmo serviço com características distintas)</t>
  </si>
  <si>
    <t>Supervisão</t>
  </si>
  <si>
    <t>Superv Aux</t>
  </si>
  <si>
    <t>Faxineiro</t>
  </si>
  <si>
    <t>Jardinagem</t>
  </si>
  <si>
    <t>Copeiragem</t>
  </si>
  <si>
    <t>Classificação Brasileira de Ocupações (CBO)</t>
  </si>
  <si>
    <t>4101-05</t>
  </si>
  <si>
    <t>5143-20</t>
  </si>
  <si>
    <t>6220-10</t>
  </si>
  <si>
    <t>5134-25</t>
  </si>
  <si>
    <t>4221-05</t>
  </si>
  <si>
    <t>Salário Normativo da Categoria Profissional (Piso Salarial)</t>
  </si>
  <si>
    <t>Categoria profissional (Vinculada à execução contratual)</t>
  </si>
  <si>
    <t>Auxiliar de Serviços Gerais</t>
  </si>
  <si>
    <t>Auxiliar de Limpeza Instalações Sanitárias</t>
  </si>
  <si>
    <t>Servente Limpeza</t>
  </si>
  <si>
    <t>Data base da categoria (dia/mês/ano)</t>
  </si>
  <si>
    <t>44h Semanais</t>
  </si>
  <si>
    <t>26h Semanais</t>
  </si>
  <si>
    <r>
      <rPr>
        <b/>
        <sz val="10"/>
        <color indexed="56"/>
        <rFont val="Arial"/>
        <family val="2"/>
      </rPr>
      <t>MÓDULO 1:</t>
    </r>
    <r>
      <rPr>
        <b/>
        <sz val="10"/>
        <color indexed="8"/>
        <rFont val="Arial"/>
        <family val="2"/>
      </rPr>
      <t xml:space="preserve"> COMPOSIÇÃO DA REMUNERAÇÃO</t>
    </r>
  </si>
  <si>
    <t>Composição da Remuneração</t>
  </si>
  <si>
    <t>Percentual</t>
  </si>
  <si>
    <t>Valor (R$)</t>
  </si>
  <si>
    <r>
      <t xml:space="preserve">Salário Base - </t>
    </r>
    <r>
      <rPr>
        <b/>
        <sz val="10"/>
        <color indexed="56"/>
        <rFont val="Arial"/>
        <family val="2"/>
      </rPr>
      <t>CCT</t>
    </r>
  </si>
  <si>
    <t>Adicional de Periculosidade</t>
  </si>
  <si>
    <t>Adicional de Insalubridade</t>
  </si>
  <si>
    <t>Adicional Noturno</t>
  </si>
  <si>
    <t>E</t>
  </si>
  <si>
    <t>Adicional de hora noturna reduzida</t>
  </si>
  <si>
    <t>F</t>
  </si>
  <si>
    <t>Adicional de hora extra no feriado trabalhado</t>
  </si>
  <si>
    <t>G</t>
  </si>
  <si>
    <t>Outros (Gratificação Supervisão Geral)</t>
  </si>
  <si>
    <t>H</t>
  </si>
  <si>
    <t>Outros (Gratificação Supervisão Auxiliar)</t>
  </si>
  <si>
    <t>I</t>
  </si>
  <si>
    <t>Outros (Gratificação Intérprete Libras)</t>
  </si>
  <si>
    <t>J</t>
  </si>
  <si>
    <t>Outros (Gratificação Lider Jardinagem)</t>
  </si>
  <si>
    <t>Subtotal</t>
  </si>
  <si>
    <t>MÓDULO 2: ENCARGOS E BENEFÍCIOS ANUAIS, MENSAIS E DIÁRIOS</t>
  </si>
  <si>
    <r>
      <t>Submódulo 2.1:</t>
    </r>
    <r>
      <rPr>
        <b/>
        <sz val="10"/>
        <color indexed="8"/>
        <rFont val="Arial"/>
        <family val="2"/>
      </rPr>
      <t xml:space="preserve"> 13º Salário e Adicional de Férias</t>
    </r>
  </si>
  <si>
    <t>2.1</t>
  </si>
  <si>
    <t>13º Salário e adicional de férias</t>
  </si>
  <si>
    <t>13º Salário</t>
  </si>
  <si>
    <t>Adicional de Férias</t>
  </si>
  <si>
    <t xml:space="preserve">Subtotal </t>
  </si>
  <si>
    <r>
      <rPr>
        <b/>
        <sz val="10"/>
        <color indexed="56"/>
        <rFont val="Arial"/>
        <family val="2"/>
      </rPr>
      <t>Submódulo 2.2:</t>
    </r>
    <r>
      <rPr>
        <b/>
        <sz val="10"/>
        <color indexed="8"/>
        <rFont val="Arial"/>
        <family val="2"/>
      </rPr>
      <t xml:space="preserve"> Encargos previdenciários (GPS), FGTS e outras contribuições</t>
    </r>
  </si>
  <si>
    <t>2.2</t>
  </si>
  <si>
    <t>GPS, FGTS e outras contribuições</t>
  </si>
  <si>
    <t>INSS Empregador</t>
  </si>
  <si>
    <t>Salário educação</t>
  </si>
  <si>
    <t>SAT - GIL/RAT</t>
  </si>
  <si>
    <t>SESC ou SESI</t>
  </si>
  <si>
    <t>SENAI - SENAC</t>
  </si>
  <si>
    <t>SEBRAE</t>
  </si>
  <si>
    <t>INCRA</t>
  </si>
  <si>
    <t>FGTS</t>
  </si>
  <si>
    <r>
      <rPr>
        <b/>
        <sz val="10"/>
        <color indexed="56"/>
        <rFont val="Arial"/>
        <family val="2"/>
      </rPr>
      <t>Submódulo 2.3:</t>
    </r>
    <r>
      <rPr>
        <b/>
        <sz val="10"/>
        <color indexed="8"/>
        <rFont val="Arial"/>
        <family val="2"/>
      </rPr>
      <t xml:space="preserve"> Benefícios Mensais e Diários</t>
    </r>
  </si>
  <si>
    <t>2.3</t>
  </si>
  <si>
    <t>Benefícios mensiais e diários</t>
  </si>
  <si>
    <t>QUADRO-RESUMO DO MÓDULO 2 - ENCARGOS E BENEFÍCIOS ANUAIS, MENSAIS E DIÁRIOS</t>
  </si>
  <si>
    <t>Encargos e Benefícios Anuais, Mensais e Diários</t>
  </si>
  <si>
    <t>13º Salário e Adicional de Férias</t>
  </si>
  <si>
    <t>Benefícios Mensais e Diários</t>
  </si>
  <si>
    <t>MÓDULO 3: PROVISÃO PARA RESCISÃO</t>
  </si>
  <si>
    <t>Provisão para rescisão</t>
  </si>
  <si>
    <r>
      <t>Aviso prévio indenizado</t>
    </r>
    <r>
      <rPr>
        <sz val="8"/>
        <color indexed="8"/>
        <rFont val="Arial"/>
        <family val="2"/>
      </rPr>
      <t xml:space="preserve"> (1/12; 5,0% dos trabalhadores são demitidos sem solicitar)</t>
    </r>
  </si>
  <si>
    <r>
      <t>Incidência do FGTS sobre o aviso prévio indenizado</t>
    </r>
    <r>
      <rPr>
        <sz val="8"/>
        <color indexed="8"/>
        <rFont val="Arial"/>
        <family val="2"/>
      </rPr>
      <t xml:space="preserve"> (8% sobre o valor do aviso - </t>
    </r>
    <r>
      <rPr>
        <b/>
        <sz val="8"/>
        <color indexed="8"/>
        <rFont val="Arial"/>
        <family val="2"/>
      </rPr>
      <t>A</t>
    </r>
    <r>
      <rPr>
        <sz val="8"/>
        <color indexed="8"/>
        <rFont val="Arial"/>
        <family val="2"/>
      </rPr>
      <t>)</t>
    </r>
  </si>
  <si>
    <r>
      <t>Multa do FGTS sobre o aviso prévio indenizado</t>
    </r>
    <r>
      <rPr>
        <sz val="8"/>
        <color indexed="8"/>
        <rFont val="Arial"/>
        <family val="2"/>
      </rPr>
      <t xml:space="preserve">  ( [1 + 2/12 + (1/3 x 1/12)] x 0,08 x 0,4 x 0,95)</t>
    </r>
  </si>
  <si>
    <r>
      <t xml:space="preserve">Aviso prévio trabalhado </t>
    </r>
    <r>
      <rPr>
        <sz val="8"/>
        <color indexed="8"/>
        <rFont val="Arial"/>
        <family val="2"/>
      </rPr>
      <t>(7 dias de aviso / 30 dias / 12 meses)</t>
    </r>
  </si>
  <si>
    <r>
      <t xml:space="preserve">Incidência dos encargos do submódulo 2.2 sobre o aviso prévio trabalhado (Incidência Submódulo 2.2 em </t>
    </r>
    <r>
      <rPr>
        <b/>
        <sz val="9.5"/>
        <color indexed="8"/>
        <rFont val="Arial"/>
        <family val="2"/>
      </rPr>
      <t>D</t>
    </r>
    <r>
      <rPr>
        <sz val="9.5"/>
        <color indexed="8"/>
        <rFont val="Arial"/>
        <family val="2"/>
      </rPr>
      <t>)</t>
    </r>
  </si>
  <si>
    <r>
      <t xml:space="preserve">Multa do FGTS sobre o aviso prévio trabalhado ( 0,08 x 0,4 x Aviso Prévio Trabalhado - </t>
    </r>
    <r>
      <rPr>
        <b/>
        <sz val="10"/>
        <color indexed="8"/>
        <rFont val="Arial"/>
        <family val="2"/>
      </rPr>
      <t>D</t>
    </r>
    <r>
      <rPr>
        <sz val="10"/>
        <color indexed="8"/>
        <rFont val="Arial"/>
        <family val="2"/>
      </rPr>
      <t>)</t>
    </r>
  </si>
  <si>
    <t>MÓDULO 4: CUSTO DE REPOSIÇÃO DO PROFISSIONAL AUSENTE</t>
  </si>
  <si>
    <r>
      <rPr>
        <b/>
        <sz val="10"/>
        <color indexed="56"/>
        <rFont val="Arial"/>
        <family val="2"/>
      </rPr>
      <t>Submódulo 4.1:</t>
    </r>
    <r>
      <rPr>
        <b/>
        <sz val="10"/>
        <color indexed="8"/>
        <rFont val="Arial"/>
        <family val="2"/>
      </rPr>
      <t xml:space="preserve"> Ausências Legais</t>
    </r>
  </si>
  <si>
    <t>4.1</t>
  </si>
  <si>
    <t>Ausências legais</t>
  </si>
  <si>
    <t>Ausências por doenças</t>
  </si>
  <si>
    <t>Licença paternidade</t>
  </si>
  <si>
    <t>Afastamento maternidade</t>
  </si>
  <si>
    <t>Ausência por acidente de trabalho</t>
  </si>
  <si>
    <t>Subtotal antes da incidência de proporcional de férias, 1/3 e 13º sobre custo de reposição</t>
  </si>
  <si>
    <r>
      <t>Proporcional de férias, 1/3 e 13º sobre custo de reposição (</t>
    </r>
    <r>
      <rPr>
        <b/>
        <sz val="10"/>
        <color indexed="8"/>
        <rFont val="Arial"/>
        <family val="2"/>
      </rPr>
      <t>exceto licença maternidade</t>
    </r>
    <r>
      <rPr>
        <sz val="10"/>
        <color indexed="8"/>
        <rFont val="Arial"/>
        <family val="2"/>
      </rPr>
      <t>)</t>
    </r>
  </si>
  <si>
    <t>Incidência do submódulo 2.2 sobre o custo de reposição</t>
  </si>
  <si>
    <r>
      <rPr>
        <b/>
        <sz val="10"/>
        <color indexed="56"/>
        <rFont val="Arial"/>
        <family val="2"/>
      </rPr>
      <t>Submódulo 4.2:</t>
    </r>
    <r>
      <rPr>
        <b/>
        <sz val="10"/>
        <color indexed="8"/>
        <rFont val="Arial"/>
        <family val="2"/>
      </rPr>
      <t xml:space="preserve"> Intrajornada</t>
    </r>
  </si>
  <si>
    <t>4.2</t>
  </si>
  <si>
    <t>Intrajornada</t>
  </si>
  <si>
    <t>Intervalo para repouso ou alimentação</t>
  </si>
  <si>
    <t>QUADRO-RESUMO DO MÓDULO 4 - CUSTO DE REPOSIÇÃO DO PROFISSIONAL AUSENTE</t>
  </si>
  <si>
    <t>Custo de Reposição do Profissional Ausente</t>
  </si>
  <si>
    <t>MÓDULO 5: INSUMOS DIVERSOS</t>
  </si>
  <si>
    <t>Insumos Diversos</t>
  </si>
  <si>
    <t>Fardamentos e EPI´s</t>
  </si>
  <si>
    <t>Materiais</t>
  </si>
  <si>
    <t>Total de postos que usam ferramentas</t>
  </si>
  <si>
    <t>MÓDULO 6: CUSTOS INDIRETOS, TRIBUTOS E LUCRO</t>
  </si>
  <si>
    <t>Custos Indiretos, Tributos e Lucros</t>
  </si>
  <si>
    <t>%</t>
  </si>
  <si>
    <t xml:space="preserve">Custos Indiretos </t>
  </si>
  <si>
    <t xml:space="preserve">Lucro </t>
  </si>
  <si>
    <t>Tributos (incidentes sobre o Valor Total por Empregado)</t>
  </si>
  <si>
    <t>Tributos</t>
  </si>
  <si>
    <t>C.1</t>
  </si>
  <si>
    <t>Cofins (*)</t>
  </si>
  <si>
    <t>C.2</t>
  </si>
  <si>
    <t>PIS (*)</t>
  </si>
  <si>
    <t>C.3</t>
  </si>
  <si>
    <t>ISS (**)</t>
  </si>
  <si>
    <t>2. QUADRO-RESUMO DO CUSTO POR EMPREGADO</t>
  </si>
  <si>
    <t>Mão-de-obra vinculada à execução contratual (valor por empregado)</t>
  </si>
  <si>
    <t>Módulo 1 - Composição da Remuneração</t>
  </si>
  <si>
    <t>Módulo 2 - Encargos e Benefícios Anuais, Mensais e Diários</t>
  </si>
  <si>
    <t>Módulo 3 - Provisão para Rescisão</t>
  </si>
  <si>
    <t>Módulo 4 - Custo de reposição de Profissional Ausente</t>
  </si>
  <si>
    <t>Módulo 5 - Insumos Diversos</t>
  </si>
  <si>
    <t>Módulo 6 - Custos Indiretos, Tributos e Lucros</t>
  </si>
  <si>
    <t>Valor Total por Empregado</t>
  </si>
  <si>
    <t>3. QUADRO-DEMONSTRATIVO - VALOR PARCIAL DA PROPOSTA</t>
  </si>
  <si>
    <t>Valor Mensal da Proposta</t>
  </si>
  <si>
    <t>Valor Anual da Proposta</t>
  </si>
  <si>
    <r>
      <rPr>
        <sz val="10"/>
        <rFont val="Arial"/>
        <family val="2"/>
      </rPr>
      <t>Valor Global da Proposta (36 meses</t>
    </r>
    <r>
      <rPr>
        <sz val="10"/>
        <color indexed="8"/>
        <rFont val="Arial"/>
        <family val="2"/>
      </rPr>
      <t>)</t>
    </r>
  </si>
  <si>
    <t>Total Ano</t>
  </si>
  <si>
    <t>COMPOSIÇÃO DE FARDAMENTOS E EPI´S</t>
  </si>
  <si>
    <t> PLANILHA DEMONSTRATIVO DE PREÇOS - FARDAMENTOS E EPI</t>
  </si>
  <si>
    <t>DESCRIÇÃO RESUMIDA</t>
  </si>
  <si>
    <t>UNID.</t>
  </si>
  <si>
    <t>QTDE. 
ANUAL</t>
  </si>
  <si>
    <t xml:space="preserve">PREÇOS PRATICADOS </t>
  </si>
  <si>
    <t>VALOR MÉDIO</t>
  </si>
  <si>
    <t>VARIAÇÃO PERCENTUAL EM RELAÇÃO A MÉDIA</t>
  </si>
  <si>
    <t>MÉDIA EXCLUINDO OS EXTREMOS</t>
  </si>
  <si>
    <t>MEDIANA</t>
  </si>
  <si>
    <t>DADOS ESTATÍSTICOS</t>
  </si>
  <si>
    <t>VALOR MÁXIMO</t>
  </si>
  <si>
    <t>EMPRESAS/PREGÃO</t>
  </si>
  <si>
    <t>Data
Proposta
Homologação</t>
  </si>
  <si>
    <t>VR UNIT</t>
  </si>
  <si>
    <t>VR TOTAL</t>
  </si>
  <si>
    <t>VR UNIT (R$)</t>
  </si>
  <si>
    <t>DESVIO PADRÃO</t>
  </si>
  <si>
    <t>COEFICIENTE DE VARIAÇÃO</t>
  </si>
  <si>
    <t>VR UNIT MÁXIMO</t>
  </si>
  <si>
    <t>VR GLOBAL MÁXIMO</t>
  </si>
  <si>
    <t>VALOR POR FUNÇÃO</t>
  </si>
  <si>
    <t>G1</t>
  </si>
  <si>
    <t>FARDAMENTO E EPI -  SUPERVISORA E RECEPCIONISTA FEMININO</t>
  </si>
  <si>
    <t>CAMISA SOCIAL em tecido microfibra, algodão outro tecido similar que se ajuste ao corpo, na cor padrão da empresa, sem estampa.</t>
  </si>
  <si>
    <t xml:space="preserve">Loja Torra </t>
  </si>
  <si>
    <t> </t>
  </si>
  <si>
    <t>Capital Moda - Merc Livre</t>
  </si>
  <si>
    <t>Iendis Uniforme</t>
  </si>
  <si>
    <t>CALÇA SOCIAL uniforme padrão feminino com zíper e cós, em tecido microfibra, two wei, gabardine ou oxford com elastano, de boa qualidade.</t>
  </si>
  <si>
    <t>MFFardamentos</t>
  </si>
  <si>
    <t>Moda LLEVO</t>
  </si>
  <si>
    <t>BLAZER SOCIAL em tecido microfibra, twei, gabardine ou oxford, de boa qualidade, modelo acinturado, manga longa, com gola e feche frontal, com logomarca da empresa.</t>
  </si>
  <si>
    <t>IV Store - Merc Livre</t>
  </si>
  <si>
    <t>IENDIS</t>
  </si>
  <si>
    <t>GZ UNIFORMES</t>
  </si>
  <si>
    <t>SAPATO SOCIAL fechado na cor preta, em couro, salto médio tipo scarpin, similares aos da marca Picadilly, Beira Rio, Dakota ou Modare.</t>
  </si>
  <si>
    <t>PAR</t>
  </si>
  <si>
    <t>BEM JOY - Merc Livre</t>
  </si>
  <si>
    <t>Digos Online - Merc Livre</t>
  </si>
  <si>
    <t>MEIA SOCIAL FEMININA preta.</t>
  </si>
  <si>
    <t>Marisa</t>
  </si>
  <si>
    <t>Studio Z</t>
  </si>
  <si>
    <t>POSTHAUS</t>
  </si>
  <si>
    <t>CAPA DE CHUVA em tecido impermeável, de boa qualidade, na cor amarela.</t>
  </si>
  <si>
    <t>Pai das Vendas - Merc Liv</t>
  </si>
  <si>
    <t>Inova Tech BR - Merc Liv</t>
  </si>
  <si>
    <t>WBS Store - Merc Liv</t>
  </si>
  <si>
    <t>G2</t>
  </si>
  <si>
    <t>FARDAMENTO E EPI -  COPEIRAGEM</t>
  </si>
  <si>
    <t>CALÇA SOCIAL padrão feminino com zíper e cós, em tecido microfibra, twei, gabardine ou oxford com elastano, de boa qualidade.</t>
  </si>
  <si>
    <t>COLETE feminino em tecido microfibra, two wey, gabardine ou oxford, de boa qualidade, modelo acinturado, com duas pregas na frente e dois bolsos embutidos na parte inferior, com ziper frontal, faixa traseira para regulagem de cintura, com logomarca da empresa do lado superior esquerdo bordada.</t>
  </si>
  <si>
    <t>Dona Bordo</t>
  </si>
  <si>
    <t>Iedis Uniformes</t>
  </si>
  <si>
    <t>América One - Marc Livre</t>
  </si>
  <si>
    <t>SAPATO SOCIAL fechado na cor preta, em couro, salto baixo (até 3 cm) tipo scarpin, similares aos da marca Picadilly, Beira Rio, Dakota ou Modare.</t>
  </si>
  <si>
    <t>TOUCA telada com aba, na cor preta</t>
  </si>
  <si>
    <t>Aura Shop - Merc Liv</t>
  </si>
  <si>
    <t>Recife Shop - Merc Liv</t>
  </si>
  <si>
    <t>Seplife EPI - Merc Liv</t>
  </si>
  <si>
    <t>G3</t>
  </si>
  <si>
    <t>FARDAMENTO E EPI -  SERVIÇO DE LIMPEZA - MASCULINO</t>
  </si>
  <si>
    <t>CAMISA ou POLO padrão masculino em malha Confort, cor padrão, preferência tecido misto não manhcha, manga curta e logo da empresa.</t>
  </si>
  <si>
    <t>Basic Socks - Magalu</t>
  </si>
  <si>
    <t>T-DRESS  - Merc Liv</t>
  </si>
  <si>
    <t>RENNER</t>
  </si>
  <si>
    <t>EBT UNIFORMES</t>
  </si>
  <si>
    <t>SETTE UNIFORMES</t>
  </si>
  <si>
    <t>HM Loja - Merc Livre</t>
  </si>
  <si>
    <t>SAPATO ou BOTINA DE SEGURANÇA antiderrapante, palmilha antimicrobiana, tipo Sticky Shoes ou semelhante. Obrigatório conter Certificado de Aprovação (CA).</t>
  </si>
  <si>
    <t>Ideal Safe - Merc Liv</t>
  </si>
  <si>
    <t>Mameluko - Merc Liv</t>
  </si>
  <si>
    <t>kit 3 pares de MEIA SOQUETE em algodão, cano médio.</t>
  </si>
  <si>
    <t>Wcarlis Distrib - Merc Liv</t>
  </si>
  <si>
    <t>Ecomponto - Merc Liv</t>
  </si>
  <si>
    <t>Lar Essence - Merc Liv</t>
  </si>
  <si>
    <t>PROTETOR SOLAR FATOR 30 com 120 ml.</t>
  </si>
  <si>
    <t>ÓCULOS BRANCO PROTEÇÃO. Obrigatório possuir Certificado de Aprovação (C.A).</t>
  </si>
  <si>
    <t>LUVA MALHA PIGMENTADA. Obrigatório possuir Certificado de Aprovação (C.A).</t>
  </si>
  <si>
    <t>BOTA DE PVC preta, cano médio, sem forro. Obrigatório possuir Certificado de Aprovação (C.A).</t>
  </si>
  <si>
    <t>G4</t>
  </si>
  <si>
    <t>FARDAMENTO E EPI -  SERVIÇO DE LIMPEZA - FEMININO</t>
  </si>
  <si>
    <t>CAMISA ou POLO padrão feminino em malha Confort, cor padrão, preferência tecido misto não manhcha, manga curta e logo da empresa.</t>
  </si>
  <si>
    <t>Dimona Polo</t>
  </si>
  <si>
    <t>Vitrine33 - Merc Liv</t>
  </si>
  <si>
    <t>Geral Modas - Merc Liv</t>
  </si>
  <si>
    <t>MWT Uniformes Merc Liv</t>
  </si>
  <si>
    <t xml:space="preserve">SAPATO ou BOTINA DE SEGURANÇA antiderrapante, palmilha antimicrobiana, tipo Sticky Shoes ou semelhante. Obrigatório conter Certificado de Aprovação (CA). </t>
  </si>
  <si>
    <t>Kit 3 pares de MEIA SOQUETE em algodão, cano médio.</t>
  </si>
  <si>
    <t>Camisa com proteção UV, com proteção FPU 50, no mínimo - cinza (somente para os profissionais que fazem o serviço externo)</t>
  </si>
  <si>
    <t>Chapelaria Vin - Magalu</t>
  </si>
  <si>
    <t>Dafiti</t>
  </si>
  <si>
    <t>Tubarão Equip - Merc Liv</t>
  </si>
  <si>
    <t xml:space="preserve">BOTINA DE SEGURANÇA em couro, cano curto, fechametno com elástico nas laterais, palmilha antimicrobiana, com biqueira de composite (leve, antimagnética, anticorrosiva e ultraresistente), com solado PU (Poliuretano) bidensidade com sistema de absorção de impacto, injetado diretamente no cabedal. Obrigatório conter Certificado de Aprovação (CA). </t>
  </si>
  <si>
    <t>Kit 3 pares MEIA SOQUETE em algodão, cano médio.</t>
  </si>
  <si>
    <t>CINTO DUPLO PARA USO DE ROÇADEIRA</t>
  </si>
  <si>
    <t>RESPIRADOR PARA OPERAÇÕES DE PULVERIZAÇÃO</t>
  </si>
  <si>
    <t>DESCRIÇÃO</t>
  </si>
  <si>
    <t>COEFICIENTE</t>
  </si>
  <si>
    <t>QTE</t>
  </si>
  <si>
    <t>MÉDIA GERAL</t>
  </si>
  <si>
    <t>VALORES SANEADOS</t>
  </si>
  <si>
    <t>MÉDIA SANEADA</t>
  </si>
  <si>
    <t>VALOR DETERMINADO</t>
  </si>
  <si>
    <t>FONTE DE PESQUISA</t>
  </si>
  <si>
    <t>LOJA DO MECÂNICO - INTERNET</t>
  </si>
  <si>
    <t>COMPOSIÇÃO DE EQUIPAMENTOS E FERRAMENTAS</t>
  </si>
  <si>
    <t>PREÇOS DE EQUIPAMENTOS E FERRAMENTAS</t>
  </si>
  <si>
    <t>PREÇOS LEVANTADOS CESTA DE PREÇOS ACEITÁVEIS</t>
  </si>
  <si>
    <t>VARIAÇÃO PERCENTUAL EM RELAÇÃO A MÉDIA GERAL (&gt;30%)</t>
  </si>
  <si>
    <t>Kit</t>
  </si>
  <si>
    <t>ANT FERRAMENTAS - INTERNET</t>
  </si>
  <si>
    <t>PALÁCIO DAS FERRAMENTAS - INTERNET</t>
  </si>
  <si>
    <t>DUTRA MÁQUINAS - INTERNET</t>
  </si>
  <si>
    <t>LOJA DO PROFISSIONAL - INTERNET</t>
  </si>
  <si>
    <t>AMAZON - INTERNET</t>
  </si>
  <si>
    <t>Vlr 2025</t>
  </si>
  <si>
    <t xml:space="preserve">VALOR TOTAL DE REFERÊNCIA (R$): </t>
  </si>
  <si>
    <t xml:space="preserve">VALOR A SER DEPRECIADO (R$): </t>
  </si>
  <si>
    <t>CG</t>
  </si>
  <si>
    <t>GUA</t>
  </si>
  <si>
    <t>MON</t>
  </si>
  <si>
    <t>PTS</t>
  </si>
  <si>
    <t>SSA</t>
  </si>
  <si>
    <t>Marca</t>
  </si>
  <si>
    <t>Total</t>
  </si>
  <si>
    <t>Referência</t>
  </si>
  <si>
    <t>TRAMONTINA</t>
  </si>
  <si>
    <t>Refil nylon para roçadeira 8m</t>
  </si>
  <si>
    <t>Refil Rodo Pequeno Borracha 60cm</t>
  </si>
  <si>
    <t>Refil Rodo Grande Borracha 45cm</t>
  </si>
  <si>
    <t>CUSTOS COM SERVIÇOS EVENTUAIS</t>
  </si>
  <si>
    <t>DESCRIÇÃO DO SERVIÇO EVENTUAL
SOB DEMANDA</t>
  </si>
  <si>
    <t>CATEGORIA</t>
  </si>
  <si>
    <t>CUSTO DA DIÁRIA</t>
  </si>
  <si>
    <t>QTDE ANO</t>
  </si>
  <si>
    <t>QTDE 36 MESES</t>
  </si>
  <si>
    <t>VALOR TOTAL
ANO</t>
  </si>
  <si>
    <t>TOTAL CONTRATO
36 MESES</t>
  </si>
  <si>
    <t>Aux Serv Gerais</t>
  </si>
  <si>
    <t>Dia</t>
  </si>
  <si>
    <t>Carregador</t>
  </si>
  <si>
    <t>CUSTOS EVENTUAIS DEMANDAS</t>
  </si>
  <si>
    <t>Serviços Eventual de Limpeza</t>
  </si>
  <si>
    <t>Serviço Eventual Apoio Administrativo</t>
  </si>
  <si>
    <t>Eventos por Ano</t>
  </si>
  <si>
    <t>Qtde de Pessoal</t>
  </si>
  <si>
    <t>Qtde Diárias</t>
  </si>
  <si>
    <t>Total Por Tipo de Diária</t>
  </si>
  <si>
    <t>Sede
JPA-CG</t>
  </si>
  <si>
    <t>Subseções</t>
  </si>
  <si>
    <t>Categoria</t>
  </si>
  <si>
    <t>Por Evento</t>
  </si>
  <si>
    <t>Total Contrato 36 Meses</t>
  </si>
  <si>
    <t>LIMPEZA</t>
  </si>
  <si>
    <t>COPEIRAGEM</t>
  </si>
  <si>
    <t>CARREGADOR</t>
  </si>
  <si>
    <t>Ano</t>
  </si>
  <si>
    <t>36M</t>
  </si>
  <si>
    <t>Mutirão</t>
  </si>
  <si>
    <t>Eventos Institucionais</t>
  </si>
  <si>
    <t>Reformas, obras e inaugurações</t>
  </si>
  <si>
    <t>CARREGO/
DESCARREGO</t>
  </si>
  <si>
    <t>Sub Total 1</t>
  </si>
  <si>
    <t>Manutenção Jardim</t>
  </si>
  <si>
    <t>Monteiro (mensal)</t>
  </si>
  <si>
    <t>JARDINAGEM</t>
  </si>
  <si>
    <t>Guarabira (bimestral)</t>
  </si>
  <si>
    <t>Patos  (bimestral)</t>
  </si>
  <si>
    <t>Sousa  (mensal)</t>
  </si>
  <si>
    <t>Subtotal 2</t>
  </si>
  <si>
    <t>Total Geral de Diárias</t>
  </si>
  <si>
    <t>Magazine Express Mrc Liv</t>
  </si>
  <si>
    <t>Vendolandiacom2 Mrc L</t>
  </si>
  <si>
    <t>Toys 2U Mrc Liv</t>
  </si>
  <si>
    <t>MÁSCARA DESCARTÁVEL (N95 ou KN95) para limpeza de banheiros e diluição de produtos.</t>
  </si>
  <si>
    <t>Top Equip Merc Liv</t>
  </si>
  <si>
    <t>LR EPIs Merc Liv</t>
  </si>
  <si>
    <t>GZ Uniformes - Merc Liv</t>
  </si>
  <si>
    <t>Amazon</t>
  </si>
  <si>
    <t>Muita Luz Merc Liv</t>
  </si>
  <si>
    <t>Asia Assesórios Merc Liv</t>
  </si>
  <si>
    <t>Kalunga</t>
  </si>
  <si>
    <t>Bval Distribuidora Shopee</t>
  </si>
  <si>
    <t>Magazine Melinda - Amzn</t>
  </si>
  <si>
    <t>EQPrada - Merc Liv</t>
  </si>
  <si>
    <t>Ferramentas LDI - Merc Liv</t>
  </si>
  <si>
    <t>CM Top - Merc Liv</t>
  </si>
  <si>
    <t>JW Engenharia Merc Liv</t>
  </si>
  <si>
    <t>Lider EPI - Merc Liv</t>
  </si>
  <si>
    <t>RL Import - Merc Liv</t>
  </si>
  <si>
    <t>TOUCA ÁRABE BONÉ proteção UV</t>
  </si>
  <si>
    <t>KIT DE PROTEÇÃO PARA USO DE ROÇADEIRA, Avental, touca árabe, luva, abafador de raído, protetor facial, luva de segurança e perneira.</t>
  </si>
  <si>
    <t>EPI Protection</t>
  </si>
  <si>
    <t>BHZ EPI Dist - Merc Liv</t>
  </si>
  <si>
    <t>BJB Equipamentos Mec Liv</t>
  </si>
  <si>
    <t>Motor On Mec Liv</t>
  </si>
  <si>
    <t>Preotop Brasil Mec Liv</t>
  </si>
  <si>
    <t>Proteloja Mwec Liv</t>
  </si>
  <si>
    <t>EPI Protection Mec Liv</t>
  </si>
  <si>
    <t>CAPA DE CHUVA em tecido impermeável, de boa qualidade.</t>
  </si>
  <si>
    <t>CAMISA SOCIAL, manga curta, em tecido microfibra, algodão outro tecido similar que se ajuste ao corpo, cor padrão, sem estampa.</t>
  </si>
  <si>
    <t>CONUNTO JALECO E CALÇA padrão feminino, calça cós com elástico e cordão, com 2 bolsos frontais embutidos e 2 bolsos trazeiros, jaleco com 2 bolsos frontais, composiçao de algodão com elastano, de boa qualidade.</t>
  </si>
  <si>
    <t>1000Marcas BR Merc Liv</t>
  </si>
  <si>
    <t>Bval Distrib Shopee</t>
  </si>
  <si>
    <t>Carmoni Unif Merc L</t>
  </si>
  <si>
    <t>Pai das Vendas - Mer Liv</t>
  </si>
  <si>
    <t>Magazine Express M Liv</t>
  </si>
  <si>
    <t>Ferramentas LDI - M Liv</t>
  </si>
  <si>
    <t>Bootshield EPIS - M Liv</t>
  </si>
  <si>
    <t>Tubarão Equip - M Liv</t>
  </si>
  <si>
    <t>Minas Art Couro - M Liv</t>
  </si>
  <si>
    <r>
      <t xml:space="preserve">LUVA DE SEGURANÇA, em composto de látex natural ou nitrílica, com forro de algodão, palma antiderrapante com </t>
    </r>
    <r>
      <rPr>
        <b/>
        <sz val="12"/>
        <rFont val="Calibri"/>
        <family val="2"/>
        <scheme val="minor"/>
      </rPr>
      <t>alta resistência</t>
    </r>
    <r>
      <rPr>
        <sz val="12"/>
        <rFont val="Calibri"/>
        <family val="2"/>
        <scheme val="minor"/>
      </rPr>
      <t>, para limpeza de móveis (amarela cano médio) e banheiros (verde cano logo), com resistência química e mecânica, tamanho 30 cm. Obrigatório possuir Certificado de Aprovação (C.A).</t>
    </r>
  </si>
  <si>
    <t>LUVA DE SEGURANÇA, em composto de látex natural ou nitrílica, com forro de algodão, palma antiderrapante com alta resistência, para limpeza de móveis (amarela cano médio) e banheiros (verde cano logo), com resistência química e mecânica, tamanho 30 cm. Obrigatório possuir Certificado de Aprovação (C.A).</t>
  </si>
  <si>
    <t>Magazine Melinda-Amzn</t>
  </si>
  <si>
    <t>CONUNTO JALECO E CALÇA padrão masculino, calça cós com elástico e cordão, com 2 bolsos frontais embutidos e 2 bolsos trazeiros, jaleco com 2 bolsos frontais, composiçao de algodão com elastano, de boa qualidade. Cor verde exclusiva para limpeza de banheiros.</t>
  </si>
  <si>
    <t>CONUNTO JALECO E CALÇA padrão feminino, calça cós com elástico e cordão, com 2 bolsos frontais embutidos e 2 bolsos trazeiros, jaleco com 2 bolsos frontais, composiçao de algodão com elastano, de boa qualidade. Cor verde exclusiva para limpeza de banheiros.</t>
  </si>
  <si>
    <r>
      <t xml:space="preserve">LUVA DE SEGURANÇA, em composto de látex natural, com forro de algodão, palma antiderrapante com </t>
    </r>
    <r>
      <rPr>
        <b/>
        <sz val="12"/>
        <rFont val="Calibri"/>
        <family val="2"/>
        <scheme val="minor"/>
      </rPr>
      <t>alta resistência</t>
    </r>
    <r>
      <rPr>
        <sz val="12"/>
        <rFont val="Calibri"/>
        <family val="2"/>
        <scheme val="minor"/>
      </rPr>
      <t>, com resistência química e mecânica, tamanho 30 cm. Obrigatório possuir Certificado de Aprovação (C.A).</t>
    </r>
  </si>
  <si>
    <t>CINTO DE SEGURANÇA 3 PONTOS para trabalho em altura Dlt-012 e Talabarte Duplo Y</t>
  </si>
  <si>
    <t>Verbek - Merc Livre</t>
  </si>
  <si>
    <t>Ideal EPI Merc Liv</t>
  </si>
  <si>
    <t>1000Marcas Mec Liv</t>
  </si>
  <si>
    <t>Ferreira Costa</t>
  </si>
  <si>
    <t>CAPACETE DE PROTEÇÃO PLT com carneira</t>
  </si>
  <si>
    <t>AVENTAL PARA FERRAMENTAS em tecido oxfor resistente a água</t>
  </si>
  <si>
    <t>Selaria Serrano Mec Liv</t>
  </si>
  <si>
    <t>CNTAYUAN Mec Liv</t>
  </si>
  <si>
    <t>NGGUAN Mec Liv</t>
  </si>
  <si>
    <t>1000Marcas BR - M Liv</t>
  </si>
  <si>
    <t>AVENTAL PROTEÇÃO PVC</t>
  </si>
  <si>
    <t>AVENTAL EM PVC</t>
  </si>
  <si>
    <t>Pai das Vendas - M Liv</t>
  </si>
  <si>
    <t>Garage Faxhion - M Liv</t>
  </si>
  <si>
    <t>Capital Moda - M Livre</t>
  </si>
  <si>
    <t>GZ Uniformes - M Livre</t>
  </si>
  <si>
    <t>VPS Brasil - M Liv</t>
  </si>
  <si>
    <t>Bemax Equip - M Liv</t>
  </si>
  <si>
    <r>
      <t xml:space="preserve">PROTETOR SOLAR </t>
    </r>
    <r>
      <rPr>
        <sz val="12"/>
        <color rgb="FFFF0000"/>
        <rFont val="Calibri"/>
        <family val="2"/>
        <scheme val="minor"/>
      </rPr>
      <t>Fator</t>
    </r>
    <r>
      <rPr>
        <sz val="12"/>
        <color rgb="FF000000"/>
        <rFont val="Calibri"/>
        <family val="2"/>
        <scheme val="minor"/>
      </rPr>
      <t xml:space="preserve"> </t>
    </r>
    <r>
      <rPr>
        <sz val="12"/>
        <color rgb="FFFF0000"/>
        <rFont val="Calibri"/>
        <family val="2"/>
        <scheme val="minor"/>
      </rPr>
      <t>minimo de 50 fps</t>
    </r>
    <r>
      <rPr>
        <sz val="12"/>
        <color rgb="FF000000"/>
        <rFont val="Calibri"/>
        <family val="2"/>
        <scheme val="minor"/>
      </rPr>
      <t xml:space="preserve"> com 120 ml.</t>
    </r>
  </si>
  <si>
    <t>AVENTAL tecido oxford com bolso</t>
  </si>
  <si>
    <t>Rosy Shopp - Merc Liv</t>
  </si>
  <si>
    <t>Só uniformes - M Liv</t>
  </si>
  <si>
    <t>MM2024 - Merc Liv</t>
  </si>
  <si>
    <t>100 Marcas - M Liv</t>
  </si>
  <si>
    <t>Custo Méd</t>
  </si>
  <si>
    <t>ASG Insalubridade 20%</t>
  </si>
  <si>
    <t>Caixa com 10 lâminas raspador de segurança</t>
  </si>
  <si>
    <t>Caixa com 10 lâminas raspador de multiuso</t>
  </si>
  <si>
    <t>Lâmina borracha para lavador de vidro 91cm</t>
  </si>
  <si>
    <t>Luva para aplicador de cera 35cm</t>
  </si>
  <si>
    <t>Refil mop úmido com cinta 320g</t>
  </si>
  <si>
    <t>Refil mop pó 60cm 100% acrílico</t>
  </si>
  <si>
    <t>Refil microfibra mop spray 50cm</t>
  </si>
  <si>
    <t>Lâmina borracha para rodo</t>
  </si>
  <si>
    <t>Disco para roçadeira</t>
  </si>
  <si>
    <r>
      <t xml:space="preserve">Rádio Comunicador Portátil - completo com antena, bateria, carregador e clipe de cinto. </t>
    </r>
    <r>
      <rPr>
        <b/>
        <u/>
        <sz val="10"/>
        <color rgb="FF0070C0"/>
        <rFont val="Arial"/>
        <family val="2"/>
      </rPr>
      <t xml:space="preserve">Total 30 unidades. </t>
    </r>
    <r>
      <rPr>
        <sz val="10"/>
        <color rgb="FF0070C0"/>
        <rFont val="Arial"/>
        <family val="2"/>
      </rPr>
      <t xml:space="preserve">
</t>
    </r>
    <r>
      <rPr>
        <b/>
        <sz val="10"/>
        <color rgb="FF0070C0"/>
        <rFont val="Arial"/>
        <family val="2"/>
      </rPr>
      <t>Referência: Fabricante: BAOFENG
Modelo: UV-9R</t>
    </r>
  </si>
  <si>
    <t>DTL - MERCADO LIVRE</t>
  </si>
  <si>
    <t>CHIC SHINE - MERCADO LIVRE</t>
  </si>
  <si>
    <t>CHIC ELETRONICA - MERCADO LIVRE</t>
  </si>
  <si>
    <t>MANY MARKET - MERC LIVRE</t>
  </si>
  <si>
    <t>SACOLA BR - MERC LIVRE</t>
  </si>
  <si>
    <t>SUPRA LIMP - MERC LIVRE</t>
  </si>
  <si>
    <r>
      <t xml:space="preserve">Kit Master de Limpeza de vidros
</t>
    </r>
    <r>
      <rPr>
        <b/>
        <sz val="10"/>
        <color rgb="FF0070C0"/>
        <rFont val="Arial"/>
        <family val="2"/>
      </rPr>
      <t>Referência: Braslímpia
Modelo: Kit Master</t>
    </r>
  </si>
  <si>
    <t>KALY KAPE - INTERNET</t>
  </si>
  <si>
    <t>KARCHER CENTER ALTEX - INTERNET</t>
  </si>
  <si>
    <t>KARCHER DIKMAC</t>
  </si>
  <si>
    <r>
      <t xml:space="preserve">Enceradeira Industrial - 
</t>
    </r>
    <r>
      <rPr>
        <b/>
        <sz val="10"/>
        <color rgb="FF0070C0"/>
        <rFont val="Arial"/>
        <family val="2"/>
      </rPr>
      <t>Referência: CLEANER CL 510 PLUS 220V</t>
    </r>
  </si>
  <si>
    <t>ROYAL MÁQUINAS - MAGALU</t>
  </si>
  <si>
    <r>
      <t xml:space="preserve">O Aspirador pó e água WAP GTW INOX 20.
Tenção 220 v; Potência 1600W; 
</t>
    </r>
    <r>
      <rPr>
        <b/>
        <sz val="10"/>
        <color rgb="FF0070C0"/>
        <rFont val="Arial"/>
        <family val="2"/>
      </rPr>
      <t xml:space="preserve">Fabricante: WAP
Modelo: </t>
    </r>
  </si>
  <si>
    <t>2 ELETRO - MERC LIVRE</t>
  </si>
  <si>
    <t>FUTUGA MAGAZINE - MERC LIVRE</t>
  </si>
  <si>
    <t>LF MAGAZINE - MERC LIVRE</t>
  </si>
  <si>
    <t>SOLUWAN - MERC LIVRE</t>
  </si>
  <si>
    <t>CLUB DAS FERRAMENTAS - AMAZON</t>
  </si>
  <si>
    <r>
      <t xml:space="preserve">Kit para limpeza profissional n° 3 Amarelo - NYKT03 - 
</t>
    </r>
    <r>
      <rPr>
        <b/>
        <sz val="10"/>
        <color rgb="FF0070C0"/>
        <rFont val="Arial"/>
        <family val="2"/>
      </rPr>
      <t>Referência: Bralímpia</t>
    </r>
  </si>
  <si>
    <t>BASILIO UTILIDADES - AMAZON</t>
  </si>
  <si>
    <t>LAYED MARKET - AMAZON</t>
  </si>
  <si>
    <t>STM COMERCIO E VAREJO - AMAZON</t>
  </si>
  <si>
    <t>8 OITAVA MALL - MERC LIVRE</t>
  </si>
  <si>
    <t>KAHA ECOM - SHOPEE</t>
  </si>
  <si>
    <t>KAB COMERCIAL - MERC LIV</t>
  </si>
  <si>
    <t>PERFILE - MERC LIV</t>
  </si>
  <si>
    <t>88 RETAIL - MERC LIVRE</t>
  </si>
  <si>
    <t>AMJ COMÉRCIO MATERIAIS - MERC LIV</t>
  </si>
  <si>
    <r>
      <t xml:space="preserve">Kit limpeza úmida completo Nº 2 - </t>
    </r>
    <r>
      <rPr>
        <b/>
        <sz val="10"/>
        <color rgb="FF0070C0"/>
        <rFont val="Arial"/>
        <family val="2"/>
      </rPr>
      <t>Referência: DOBLO 50 L Braslímpia</t>
    </r>
  </si>
  <si>
    <t>AMJ - MAGALU</t>
  </si>
  <si>
    <t>TRAÍADE COM E SERVIÇOS</t>
  </si>
  <si>
    <r>
      <t xml:space="preserve">Conjunto de aplicador de cera,  composto por um balde aplicador fabricado em polipropileno, dois refis para a aplicação de cera, uma armação para acomodar o refil e um cabo de alumínio de 1,40m
</t>
    </r>
    <r>
      <rPr>
        <b/>
        <sz val="10"/>
        <color rgb="FF0070C0"/>
        <rFont val="Arial"/>
        <family val="2"/>
      </rPr>
      <t xml:space="preserve">Fabricante: Bralimpia 
Modelo: Conjunto Finish </t>
    </r>
  </si>
  <si>
    <t>RIB CLEAN PROD LIMP - MERC LIV</t>
  </si>
  <si>
    <t>BULLOLEO - MERC LIV</t>
  </si>
  <si>
    <t>MAXIMA SERVICE - MERC LIVRE</t>
  </si>
  <si>
    <t>MAXCO STORE MG - SHOPEE</t>
  </si>
  <si>
    <t>ATIVA DISTRIBUIDORA - MERC LIV</t>
  </si>
  <si>
    <r>
      <t xml:space="preserve">Relógio de Ponto com identificação biométrica, com software de gestão, livre acesso aos dados registrados.  Homologado pelo Ministério do Trabalho e Emprego (MTE) e certificado pelo INMETRO.
</t>
    </r>
    <r>
      <rPr>
        <b/>
        <sz val="10"/>
        <color rgb="FF0070C0"/>
        <rFont val="Arial"/>
        <family val="2"/>
      </rPr>
      <t>Referência: Fabricante:
Control iD - Modelo: REP iD Class</t>
    </r>
    <r>
      <rPr>
        <sz val="10"/>
        <color rgb="FF0070C0"/>
        <rFont val="Arial"/>
        <family val="2"/>
      </rPr>
      <t xml:space="preserve"> </t>
    </r>
  </si>
  <si>
    <r>
      <t xml:space="preserve">Lavadora de alta pressão turbo com potência de 1.700W, motor de indução, vazão de 500 l/h e pressão de 2.100 PSI. Equipada com pistola, mangueira, carrinho e sistema stop total para segurança.- </t>
    </r>
    <r>
      <rPr>
        <b/>
        <sz val="10"/>
        <color rgb="FF0070C0"/>
        <rFont val="Arial"/>
        <family val="2"/>
      </rPr>
      <t>Referência: Fabricante: WAP - Modelo: Turbo 2600</t>
    </r>
  </si>
  <si>
    <t>VGATECNOLOGIA - MERC LIV</t>
  </si>
  <si>
    <t>PONTO TECNOLOGIA</t>
  </si>
  <si>
    <t>INTER MOBILE</t>
  </si>
  <si>
    <t>WEBCONTINENTAL - CASAS BAHIA</t>
  </si>
  <si>
    <t>MADEIRA MADEIRA - MAGALU</t>
  </si>
  <si>
    <t>POLICARPO PEÇAS - MERC LIVRE</t>
  </si>
  <si>
    <t>VALIT - MERC LIVRE</t>
  </si>
  <si>
    <t>CARREFOUR</t>
  </si>
  <si>
    <t>OLIM AGRO</t>
  </si>
  <si>
    <t>MÁQUINAS SERAFIM</t>
  </si>
  <si>
    <t>RM MÁQUINAS - MERC LIVRE</t>
  </si>
  <si>
    <t>PALÁCIO DAS FERRAMENTAS - MAGALU</t>
  </si>
  <si>
    <r>
      <t xml:space="preserve">Triturador de resíduos orgânicos, potência 1,5cv, elétrico 220V monofásico, funil removível com trava de segurança, tratamento anticorrosivo e pintura poliéster polimerizado. Triturar galhos de até 1 polegada.
</t>
    </r>
    <r>
      <rPr>
        <b/>
        <sz val="10"/>
        <color rgb="FF0070C0"/>
        <rFont val="Arial"/>
        <family val="2"/>
      </rPr>
      <t>Referência: Fabricante:
TRAPP - Modelo: TR-200</t>
    </r>
  </si>
  <si>
    <t>TRAPP - MERC LIVRE</t>
  </si>
  <si>
    <t>CASA DO AGRICULTOR</t>
  </si>
  <si>
    <t>PALÁCIO DAS FERRAMENTAS</t>
  </si>
  <si>
    <t>CIDADE CAMPO HOME CENTER - AMERICANAS</t>
  </si>
  <si>
    <r>
      <t xml:space="preserve">Caixa de compostagem, capacidade entre 400 e 600 litros, para produção de adubo orgânico, em poliuretano altamente resistente, com abertura p/ ventilação e tampa com trava.
</t>
    </r>
    <r>
      <rPr>
        <b/>
        <sz val="10"/>
        <color rgb="FF0070C0"/>
        <rFont val="Arial"/>
        <family val="2"/>
      </rPr>
      <t>Referência: Fabricante:
TRAPP - Modelo: CC 435l</t>
    </r>
  </si>
  <si>
    <t>RM FERRAMENTAS - CASAS BAHIA</t>
  </si>
  <si>
    <t>RM FERRAMENTAS - MERC LIVRE</t>
  </si>
  <si>
    <r>
      <t xml:space="preserve">Conjunto Mop Pó profissional, 60 cm, base articulada multidirecional, cabo alumínio retrátil anodizado 1,40m, armação dobrável em poliprpileno e aço galvanizado 60cm x 10cm, com refil.
</t>
    </r>
    <r>
      <rPr>
        <b/>
        <sz val="10"/>
        <color rgb="FF0070C0"/>
        <rFont val="Arial"/>
        <family val="2"/>
      </rPr>
      <t>Referência: Fabricante:
BRALIMPIA - Modelo: CJ60E</t>
    </r>
  </si>
  <si>
    <t>BOM EMBALAGENS</t>
  </si>
  <si>
    <t>MTL SHOP - MERC LIVRE</t>
  </si>
  <si>
    <t>MOPPITA PRODS - MERC LIVRE</t>
  </si>
  <si>
    <t>MILPEZA PEZADA A DISTRIB - MERC LIV</t>
  </si>
  <si>
    <t>A LOJA DE LIMPEZA</t>
  </si>
  <si>
    <t>FACILIMP - MERC LIVRE</t>
  </si>
  <si>
    <t>MAGAZINE DO EPI</t>
  </si>
  <si>
    <r>
      <t xml:space="preserve">Conjunto de Mop Spray c/ botão acionamento PROFISSIONAL, p/ áreas de saúde, c/ reservatório 1 litro e refis super absorventes:
1 Cabo 1,40m c/ reservatório
1 Armação de 49cm
1 Refil Microfibra 49cm
</t>
    </r>
    <r>
      <rPr>
        <b/>
        <sz val="10"/>
        <color rgb="FF0070C0"/>
        <rFont val="Arial"/>
        <family val="2"/>
      </rPr>
      <t>Referência: Fabricante:
BRALIMPIA - Modelo: BMPROF1</t>
    </r>
  </si>
  <si>
    <t>NICAR - MERC LIVRE</t>
  </si>
  <si>
    <t>LARECIA UTILIDADES - MERC LIV</t>
  </si>
  <si>
    <t>AMJ - MERC LIVRE</t>
  </si>
  <si>
    <r>
      <t xml:space="preserve">Carro de mão, pintura eletrostática, ergonômico, borda reforçada, eixo em aço de alta resistência e bucha de nylon autolubrificante, caçamba  reforçada de 0,9mm (chapa 20), capacidade 65 litros, pneu com câmara 3.5/8".
</t>
    </r>
    <r>
      <rPr>
        <b/>
        <sz val="10"/>
        <color rgb="FF0070C0"/>
        <rFont val="Arial"/>
        <family val="2"/>
      </rPr>
      <t>Fabricante: Tramontina.
Modelo: Extrafot 435</t>
    </r>
  </si>
  <si>
    <t>FERREIRA COSTA</t>
  </si>
  <si>
    <t>LOJAS 2001</t>
  </si>
  <si>
    <r>
      <t xml:space="preserve">Pulverizador costal, manual, ergonômico e material resistente, válvula de registro com trava, haste de pulverização em fibra de vidro, alavanca metálica, empunhadura plástica, cinto com sistema de regulagem, capacidade 15  a 16 L
</t>
    </r>
    <r>
      <rPr>
        <b/>
        <sz val="10"/>
        <color rgb="FF0070C0"/>
        <rFont val="Arial"/>
        <family val="2"/>
      </rPr>
      <t>Fabricante: TRAMONTINA, VONDER, JACTO...</t>
    </r>
  </si>
  <si>
    <t>MÁQUINAS STEEL - MERC LIV</t>
  </si>
  <si>
    <t>MAGAZINE ROMA - MERC LIV</t>
  </si>
  <si>
    <t>JSHOP DISTRIBUIDORA - MERC LIV</t>
  </si>
  <si>
    <t>LOJÃO DO MECÂNICO</t>
  </si>
  <si>
    <t>NAUTI PARTS - MERC LIV</t>
  </si>
  <si>
    <r>
      <t xml:space="preserve">Pá Coletora com Manopla Ergométrica 
- Comprimento: 29 cm, Largura: 29 cm, Altura: 14 cm, Cabo alumínio: 70 cm 
</t>
    </r>
    <r>
      <rPr>
        <b/>
        <sz val="10"/>
        <color rgb="FF0070C0"/>
        <rFont val="Arial"/>
        <family val="2"/>
      </rPr>
      <t xml:space="preserve">Fabricante: Bralimpia / TTS
Modelo: Profi MVPP502 / </t>
    </r>
  </si>
  <si>
    <t>FERRAMENTAS KENNEDY</t>
  </si>
  <si>
    <t>TAMOYO - MERC LIV</t>
  </si>
  <si>
    <t>SAGA - MERC LIVRE</t>
  </si>
  <si>
    <t>DEEND - MERC LIVRE</t>
  </si>
  <si>
    <t>RJ HAMER - MERC LIV</t>
  </si>
  <si>
    <t>PALÁCIO DAS FERRAMENTAS MERC LIV</t>
  </si>
  <si>
    <t>UNION COMMERCE MERC LIV</t>
  </si>
  <si>
    <t>ANT FERRAMENTAS - MERC LIV</t>
  </si>
  <si>
    <t>FERRAMENTAS LDI - MER LIV</t>
  </si>
  <si>
    <t>RG MARKET - MERC LIV</t>
  </si>
  <si>
    <t>RANCHO 99 - MERC LIV</t>
  </si>
  <si>
    <t>ARMAZEM CORAL</t>
  </si>
  <si>
    <t>CARAJÁS</t>
  </si>
  <si>
    <t>MD MAQUINAS - MERC LIV</t>
  </si>
  <si>
    <t>HE MATCON - MERC LIV</t>
  </si>
  <si>
    <t>SOB MEDIDA WEBSHOP - AMAZON</t>
  </si>
  <si>
    <t>AQUALUZ I9 - MERC LIV</t>
  </si>
  <si>
    <t>MONTAR E PLANTA - AMAZON</t>
  </si>
  <si>
    <t>RITEC MÁQ FERRAMENTAS MERC LIV</t>
  </si>
  <si>
    <t>CJAU - MERC LIV</t>
  </si>
  <si>
    <t>DOCE LAR - SHOPEE</t>
  </si>
  <si>
    <t>COSTA BRAVA HOME - MERC LIV</t>
  </si>
  <si>
    <t>WORLD GARDEN - AMAZON</t>
  </si>
  <si>
    <t>MARCOS ROBERTO COSTA - AMAZON</t>
  </si>
  <si>
    <t>NENFTS - MERC LIV</t>
  </si>
  <si>
    <t>E-FACIL - MAGALU</t>
  </si>
  <si>
    <t>LEROY MERLIN</t>
  </si>
  <si>
    <t>AC DC ELETRO FERRAGENS MERC LIV</t>
  </si>
  <si>
    <t>DASSI - MERC LIV</t>
  </si>
  <si>
    <t>PETZ</t>
  </si>
  <si>
    <t>AJF SHOP</t>
  </si>
  <si>
    <t>AGROFER LOJA - MERC LIV</t>
  </si>
  <si>
    <t>WELL VENDE AGROSHOP MER LIV</t>
  </si>
  <si>
    <t>MATEUS ON</t>
  </si>
  <si>
    <t>TORK TOOLS - MERC LIV</t>
  </si>
  <si>
    <t>REFER COMÉRCIO</t>
  </si>
  <si>
    <t>KB SHOP - MERC LIV</t>
  </si>
  <si>
    <t>JCN SHOP - MERC LIV</t>
  </si>
  <si>
    <t>É-COMM MAIS BR - MERC LIV</t>
  </si>
  <si>
    <t>POLICORDA - AMAZON</t>
  </si>
  <si>
    <t>ARTLIMP BR - MERC LIV</t>
  </si>
  <si>
    <t>MTH SINTECO - SHOPEE</t>
  </si>
  <si>
    <t>D G STORE - AMAZON</t>
  </si>
  <si>
    <t>BILBY - AMAZON</t>
  </si>
  <si>
    <t>Qtde Ano</t>
  </si>
  <si>
    <t xml:space="preserve">VALOR RESIDUAL - 20% (R$): </t>
  </si>
  <si>
    <t>EDITAL DE LICITAÇÃO Nº          /2025</t>
  </si>
  <si>
    <t>PREGÃO ELETRÔNICO Nº         /2025 - JFPB</t>
  </si>
  <si>
    <t>EMPRESA LICITANTE</t>
  </si>
  <si>
    <t xml:space="preserve">RG Nº </t>
  </si>
  <si>
    <t>CPF Nº</t>
  </si>
  <si>
    <t xml:space="preserve">CONTATO: </t>
  </si>
  <si>
    <t>AMAZON</t>
  </si>
  <si>
    <t>MAGALU</t>
  </si>
  <si>
    <t>MERC LIVRE</t>
  </si>
  <si>
    <t>KIT 100</t>
  </si>
  <si>
    <t>Luva para lavador de vidro 35cm</t>
  </si>
  <si>
    <t>Unid</t>
  </si>
  <si>
    <t>Bralimpia</t>
  </si>
  <si>
    <t>Disco para polir para enceradeira industrial Clean 510</t>
  </si>
  <si>
    <t>Disco para lavar para enceradeira industrial Clean 510</t>
  </si>
  <si>
    <t>SHOPEE</t>
  </si>
  <si>
    <t>OUTROS</t>
  </si>
  <si>
    <t>MÉDIA</t>
  </si>
  <si>
    <t>VLR ANO</t>
  </si>
  <si>
    <t>MÊS</t>
  </si>
  <si>
    <t>ANO</t>
  </si>
  <si>
    <t>AGOSTO DE 2025</t>
  </si>
  <si>
    <t>QUANTIDADE ESTIMATIVA DE DIÁRIAS
36 MESES</t>
  </si>
  <si>
    <t>APOIO ADM</t>
  </si>
  <si>
    <t>SEÇÃO DE ADMINISTRAÇÃO PREDIAL</t>
  </si>
  <si>
    <t>ESTIMATIVA DE CUSTOS EVENTUAIS</t>
  </si>
  <si>
    <t>LUVA DE JARDINAGEM COM GARRA, borracha, poliéster e plástico ABS, 4 garras duráveis para cavar. Obrigatório possuir Certificado de Aprovação (C.A).</t>
  </si>
  <si>
    <r>
      <t>VALOR TOTAL DE MANUTENÇÃO / REPOSIÇÃO,</t>
    </r>
    <r>
      <rPr>
        <b/>
        <sz val="10"/>
        <color rgb="FFFF0000"/>
        <rFont val="Arial"/>
        <family val="2"/>
      </rPr>
      <t xml:space="preserve"> INCLUINDO PEÇAS DOS EQUIPAMENTOS (0,5%/MÊS)</t>
    </r>
    <r>
      <rPr>
        <b/>
        <sz val="10"/>
        <rFont val="Arial"/>
        <family val="2"/>
      </rPr>
      <t xml:space="preserve"> (R$): </t>
    </r>
  </si>
  <si>
    <t xml:space="preserve">(Tx mensal depreciação 1,67%) + (Tx mensal de manut e reposição 0,5%) = VALOR TOTAL POR MÊS (R$): </t>
  </si>
  <si>
    <t>PREVISÃO DE REPOSIÇÃO DE REFIS DOS EQUIPAMENTOS</t>
  </si>
  <si>
    <t>0004127-75.2024.4.05.7400</t>
  </si>
  <si>
    <t>CCT PB000092/2025 CG e CCT PB000113/2025</t>
  </si>
  <si>
    <t>CONTRATO Nº            /2025</t>
  </si>
  <si>
    <t>Unid.</t>
  </si>
  <si>
    <t>mês</t>
  </si>
  <si>
    <t>NOME DO REPRESENTANTE LEGAL</t>
  </si>
  <si>
    <t>Preço Unitário
R$</t>
  </si>
  <si>
    <t>Valor Total do Contrato
R$</t>
  </si>
  <si>
    <r>
      <rPr>
        <b/>
        <i/>
        <sz val="8"/>
        <rFont val="Calibri"/>
        <family val="2"/>
        <scheme val="minor"/>
      </rPr>
      <t>Serviços contínuos de apoio administrativo (copeiragem, recepção e jardinagem)</t>
    </r>
    <r>
      <rPr>
        <i/>
        <sz val="8"/>
        <rFont val="Calibri"/>
        <family val="2"/>
        <scheme val="minor"/>
      </rPr>
      <t xml:space="preserve">, com utilização de mão de obra residente e exclusiva e com </t>
    </r>
    <r>
      <rPr>
        <i/>
        <u/>
        <sz val="8"/>
        <rFont val="Calibri"/>
        <family val="2"/>
        <scheme val="minor"/>
      </rPr>
      <t>regime de contratação por preço global</t>
    </r>
    <r>
      <rPr>
        <i/>
        <sz val="8"/>
        <rFont val="Calibri"/>
        <family val="2"/>
        <scheme val="minor"/>
      </rPr>
      <t>, em relação a todas as edificações pertencentes à Justiça Federal na Paraíba.</t>
    </r>
    <r>
      <rPr>
        <i/>
        <sz val="8"/>
        <rFont val="Calibri"/>
        <family val="2"/>
      </rPr>
      <t xml:space="preserve"> CATSER - 5380</t>
    </r>
  </si>
  <si>
    <t>OBS.: SERÃO FORNECIDOS PELA JFPB (CONTRATANTE)</t>
  </si>
  <si>
    <r>
      <t xml:space="preserve">Contratação de  empresa especializada na prestação de limpeza, asseio e conservação predial, com disponibilização de mão-de-obra (mensalista)
</t>
    </r>
    <r>
      <rPr>
        <b/>
        <sz val="10"/>
        <color indexed="8"/>
        <rFont val="Tahoma"/>
        <family val="2"/>
      </rPr>
      <t>CATSER - 24023</t>
    </r>
  </si>
  <si>
    <t>ASG FUNC SUPERV AUX GRAT 20%</t>
  </si>
  <si>
    <t>ALIS COM INSALUBRIDADE 20%</t>
  </si>
  <si>
    <t>JARDINEIRO LIDER GRAT 20%</t>
  </si>
  <si>
    <t>RECEPCIONISTA LIBRAS 30%</t>
  </si>
  <si>
    <t>SUPERVISOR GERAL GRATIFICAÇÃO 30%</t>
  </si>
  <si>
    <t>COPEIRA 26H</t>
  </si>
  <si>
    <t>RECEPCIONISTA - SUPERV AUX GRAT 20%
+ LIBRAS 30%</t>
  </si>
  <si>
    <t>ASG SUPERV AUX GRAT 20%</t>
  </si>
  <si>
    <t>RECEPCIONISTA - LIBRAS 30%</t>
  </si>
  <si>
    <t>ASG Sup Aux
Equipe  Resid
20%</t>
  </si>
  <si>
    <t>ALIS Insalubridade 20%</t>
  </si>
  <si>
    <t>Jardineiro Lider Gratificação 20%</t>
  </si>
  <si>
    <t>Recepcionista
Grat Libras
30%</t>
  </si>
  <si>
    <t>Recepcionista Grat Libras
30%</t>
  </si>
  <si>
    <t>ASG c/ Insalubridade 20%</t>
  </si>
  <si>
    <t>Recepcionista SupAux Eq Res
20%+30%</t>
  </si>
  <si>
    <t>Recepcionista  SupAux Eq Res
20%+30%</t>
  </si>
  <si>
    <t>Recepcionista Grat Sup Aux
20%+30%</t>
  </si>
  <si>
    <t xml:space="preserve">(*) Art. 195 da CF/88 e Lei Complementar 70/91 / Leis nºs 10.833/2003 e 10.637/2002
(**)Lei Complementar nº 116, de 31 de julho de 2003.
As empresas optantes pelo Regime de Tributação (Não Cumulativo) Lucro Real tem como alíquotas de PIS e COFINS (1,65% e 7,60%), respectivamente, ambas alíquotas, incidentes sobre o total da execução dos serviços. Contudo, tais percentuais correspondem à média dos percentuais efetivos (Alíquotas) recolhidos em virtude do direito de compensação dos créditos previstos no art. 3º das Leis 10.637/2002 e 10.833/2003 - Acórdão 2622/2013-TCU Plenário. (Alíquotas Cópia Anexa). </t>
  </si>
  <si>
    <t>Supervisor Administrativo</t>
  </si>
  <si>
    <r>
      <t xml:space="preserve">Transporte - </t>
    </r>
    <r>
      <rPr>
        <b/>
        <sz val="10"/>
        <color indexed="56"/>
        <rFont val="Arial"/>
        <family val="2"/>
      </rPr>
      <t>CCT e DECRETO/PORTARIA</t>
    </r>
  </si>
  <si>
    <r>
      <t xml:space="preserve">Ticket alimentação - </t>
    </r>
    <r>
      <rPr>
        <b/>
        <sz val="10"/>
        <color indexed="56"/>
        <rFont val="Arial"/>
        <family val="2"/>
      </rPr>
      <t>CCT</t>
    </r>
  </si>
  <si>
    <r>
      <t xml:space="preserve">Plano de Assistência e Cuidado Pessoal - </t>
    </r>
    <r>
      <rPr>
        <b/>
        <sz val="10"/>
        <color indexed="56"/>
        <rFont val="Arial"/>
        <family val="2"/>
      </rPr>
      <t>CCT (incluídos exames laborais)</t>
    </r>
  </si>
  <si>
    <t>Auxílio Funeral - CCT</t>
  </si>
  <si>
    <r>
      <t xml:space="preserve">Seguro de vida - </t>
    </r>
    <r>
      <rPr>
        <b/>
        <sz val="10"/>
        <color indexed="56"/>
        <rFont val="Arial"/>
        <family val="2"/>
      </rPr>
      <t>CCT (</t>
    </r>
    <r>
      <rPr>
        <b/>
        <sz val="8"/>
        <color rgb="FFFF0000"/>
        <rFont val="Arial"/>
        <family val="2"/>
      </rPr>
      <t>DESCONTADO DO FUNCIONÁRIO</t>
    </r>
    <r>
      <rPr>
        <b/>
        <sz val="8"/>
        <color theme="3"/>
        <rFont val="Arial"/>
        <family val="2"/>
      </rPr>
      <t>)</t>
    </r>
  </si>
  <si>
    <r>
      <t xml:space="preserve">Benefício Odondológico - </t>
    </r>
    <r>
      <rPr>
        <b/>
        <sz val="10"/>
        <color indexed="56"/>
        <rFont val="Arial"/>
        <family val="2"/>
      </rPr>
      <t>CCT</t>
    </r>
  </si>
  <si>
    <r>
      <t>Serviço de Limpeza - (</t>
    </r>
    <r>
      <rPr>
        <sz val="11"/>
        <rFont val="Calibri"/>
        <family val="2"/>
      </rPr>
      <t>8h</t>
    </r>
    <r>
      <rPr>
        <sz val="11"/>
        <rFont val="Calibri"/>
        <family val="2"/>
        <scheme val="minor"/>
      </rPr>
      <t>/pessoa/dia)</t>
    </r>
  </si>
  <si>
    <r>
      <t>Serviço de Copeiragem - (</t>
    </r>
    <r>
      <rPr>
        <sz val="11"/>
        <rFont val="Calibri"/>
        <family val="2"/>
      </rPr>
      <t>8h</t>
    </r>
    <r>
      <rPr>
        <sz val="11"/>
        <rFont val="Calibri"/>
        <family val="2"/>
        <scheme val="minor"/>
      </rPr>
      <t>/pessoa/dia)</t>
    </r>
  </si>
  <si>
    <r>
      <t>Serviço de Carregador  - (</t>
    </r>
    <r>
      <rPr>
        <sz val="11"/>
        <rFont val="Calibri"/>
        <family val="2"/>
      </rPr>
      <t>8h</t>
    </r>
    <r>
      <rPr>
        <sz val="11"/>
        <rFont val="Calibri"/>
        <family val="2"/>
        <scheme val="minor"/>
      </rPr>
      <t>/pessoa/dia)</t>
    </r>
  </si>
  <si>
    <r>
      <t>Serviço de Jardinagem - (</t>
    </r>
    <r>
      <rPr>
        <sz val="11"/>
        <rFont val="Calibri"/>
        <family val="2"/>
      </rPr>
      <t>8h</t>
    </r>
    <r>
      <rPr>
        <sz val="11"/>
        <rFont val="Calibri"/>
        <family val="2"/>
        <scheme val="minor"/>
      </rPr>
      <t>/pessoa/dia)</t>
    </r>
  </si>
  <si>
    <r>
      <rPr>
        <b/>
        <i/>
        <sz val="10"/>
        <rFont val="Calibri"/>
        <family val="2"/>
      </rPr>
      <t>OBJETO</t>
    </r>
    <r>
      <rPr>
        <i/>
        <sz val="10"/>
        <rFont val="Calibri"/>
        <family val="2"/>
      </rPr>
      <t>:  A presente licitação tem por objeto a contratação dos s</t>
    </r>
    <r>
      <rPr>
        <b/>
        <i/>
        <sz val="10"/>
        <rFont val="Calibri"/>
        <family val="2"/>
      </rPr>
      <t>erviços continuados</t>
    </r>
    <r>
      <rPr>
        <i/>
        <sz val="10"/>
        <rFont val="Calibri"/>
        <family val="2"/>
      </rPr>
      <t xml:space="preserve"> </t>
    </r>
    <r>
      <rPr>
        <i/>
        <u/>
        <sz val="10"/>
        <rFont val="Calibri"/>
        <family val="2"/>
      </rPr>
      <t xml:space="preserve">de limpeza, asseio, higienização e de apoio administrativo (copeiragem, recepção e jardinagem), com utilização de </t>
    </r>
    <r>
      <rPr>
        <b/>
        <i/>
        <u/>
        <sz val="10"/>
        <rFont val="Calibri"/>
        <family val="2"/>
      </rPr>
      <t>mão de obra residente</t>
    </r>
    <r>
      <rPr>
        <i/>
        <sz val="10"/>
        <rFont val="Calibri"/>
        <family val="2"/>
      </rPr>
      <t xml:space="preserve"> e s</t>
    </r>
    <r>
      <rPr>
        <b/>
        <i/>
        <sz val="10"/>
        <rFont val="Calibri"/>
        <family val="2"/>
      </rPr>
      <t>erviços de natureza eventual</t>
    </r>
    <r>
      <rPr>
        <i/>
        <sz val="10"/>
        <rFont val="Calibri"/>
        <family val="2"/>
      </rPr>
      <t xml:space="preserve"> </t>
    </r>
    <r>
      <rPr>
        <i/>
        <u/>
        <sz val="10"/>
        <rFont val="Calibri"/>
        <family val="2"/>
      </rPr>
      <t xml:space="preserve">de limpeza, asseio e higienização e de apoio administrativo (copeiragem, recepção, jardinagem e carrego/descarrego), com utilização de </t>
    </r>
    <r>
      <rPr>
        <b/>
        <i/>
        <u/>
        <sz val="10"/>
        <rFont val="Calibri"/>
        <family val="2"/>
      </rPr>
      <t>mão de obra eventual não residente</t>
    </r>
    <r>
      <rPr>
        <i/>
        <sz val="10"/>
        <rFont val="Calibri"/>
        <family val="2"/>
      </rPr>
      <t>, pelo prazo de 36 meses, referentes a todas as edificações pertencentes à Justiça Federal na Paraíba, localizadas nos municípios de João Pessoa, Guarabira, Monteiro, Campina Grande, Sousa e Patos, a serem executados por empresa especializada, inclusive com utilização de profissionais habilitados e pertencentes ao seu quadro de empregados, bem como com o fornecimento de todos os equipamentos necessários e suficientes à prestação dos serviços, cujas especificações, quantitativos e condições gerais se encontram detalhados no Termo de Referência.</t>
    </r>
  </si>
  <si>
    <r>
      <rPr>
        <b/>
        <i/>
        <sz val="8"/>
        <rFont val="Calibri"/>
        <family val="2"/>
        <scheme val="minor"/>
      </rPr>
      <t>Serviços de natureza eventual de apoio administrativo (copeiragem, recepção, jardinagem e carrego/descarrego)</t>
    </r>
    <r>
      <rPr>
        <i/>
        <sz val="8"/>
        <rFont val="Calibri"/>
        <family val="2"/>
        <scheme val="minor"/>
      </rPr>
      <t xml:space="preserve">, com utilização da mão de obra eventual não residente e com </t>
    </r>
    <r>
      <rPr>
        <i/>
        <u/>
        <sz val="8"/>
        <rFont val="Calibri"/>
        <family val="2"/>
        <scheme val="minor"/>
      </rPr>
      <t>regime de contratação por preço unitário (por diária demandada)</t>
    </r>
    <r>
      <rPr>
        <i/>
        <sz val="8"/>
        <rFont val="Calibri"/>
        <family val="2"/>
        <scheme val="minor"/>
      </rPr>
      <t>, em relação a todas as edificações pertencentes à Justiça Federal na Paraíba.</t>
    </r>
    <r>
      <rPr>
        <i/>
        <sz val="8"/>
        <rFont val="Calibri"/>
        <family val="2"/>
      </rPr>
      <t xml:space="preserve"> CATSER - 5380</t>
    </r>
  </si>
  <si>
    <r>
      <rPr>
        <b/>
        <i/>
        <sz val="8"/>
        <rFont val="Calibri"/>
        <family val="2"/>
        <scheme val="minor"/>
      </rPr>
      <t>Serviços contínuos de limpeza, asseio e higienização</t>
    </r>
    <r>
      <rPr>
        <i/>
        <sz val="8"/>
        <rFont val="Calibri"/>
        <family val="2"/>
        <scheme val="minor"/>
      </rPr>
      <t xml:space="preserve">, com utilização de mão de obra residente e exclusiva e com </t>
    </r>
    <r>
      <rPr>
        <i/>
        <u/>
        <sz val="8"/>
        <rFont val="Calibri"/>
        <family val="2"/>
        <scheme val="minor"/>
      </rPr>
      <t>regime de contração por preço global</t>
    </r>
    <r>
      <rPr>
        <i/>
        <sz val="8"/>
        <rFont val="Calibri"/>
        <family val="2"/>
        <scheme val="minor"/>
      </rPr>
      <t xml:space="preserve">, em relação a todas as edificações pertencentes à Justiça Federal na Paraíba. </t>
    </r>
    <r>
      <rPr>
        <i/>
        <sz val="8"/>
        <rFont val="Calibri"/>
        <family val="2"/>
      </rPr>
      <t xml:space="preserve">CATSER - </t>
    </r>
    <r>
      <rPr>
        <i/>
        <sz val="8"/>
        <rFont val="Calibri"/>
        <family val="2"/>
        <scheme val="minor"/>
      </rPr>
      <t>24023</t>
    </r>
  </si>
  <si>
    <r>
      <rPr>
        <b/>
        <i/>
        <sz val="8"/>
        <rFont val="Calibri"/>
        <family val="2"/>
        <scheme val="minor"/>
      </rPr>
      <t>Serviços de natureza eventual de limpeza, asseio e higienização</t>
    </r>
    <r>
      <rPr>
        <i/>
        <sz val="8"/>
        <rFont val="Calibri"/>
        <family val="2"/>
        <scheme val="minor"/>
      </rPr>
      <t xml:space="preserve">, com utilização de mão de obra eventual não residente e com </t>
    </r>
    <r>
      <rPr>
        <i/>
        <u/>
        <sz val="8"/>
        <rFont val="Calibri"/>
        <family val="2"/>
        <scheme val="minor"/>
      </rPr>
      <t>regime de contratação por preço unitário (por diária demandada)</t>
    </r>
    <r>
      <rPr>
        <i/>
        <sz val="8"/>
        <rFont val="Calibri"/>
        <family val="2"/>
        <scheme val="minor"/>
      </rPr>
      <t>, em relação a todas as edificações pertencentes à Justiça Federal na Paraíba.</t>
    </r>
    <r>
      <rPr>
        <i/>
        <sz val="8"/>
        <rFont val="Calibri"/>
        <family val="2"/>
      </rPr>
      <t>CATSER - 24093</t>
    </r>
  </si>
  <si>
    <t>CONTRATAÇÃO DE  EMPRESA ESPECIALIZADA NA PRESTAÇÃO DE SERVIÇOS CONTINUADOS DE APOIO ADMINISTRATIVO E DE LIMPEZA, ASSEIO E CONSERVAÇÃO PREDIAL, COM DISPONIBILIZAÇÃO DE MÃO DE OBRA, PARA SEDE E SUBSEÇÕES JUDICIÁRIAS DA JUSTIÇA FEDERAL NA PARAÍBA.</t>
  </si>
  <si>
    <t>OBJETO: CONTRATAÇÃO DE  EMPRESA ESPECIALIZADA NA PRESTAÇÃO DE SERVIÇOS CONTINUADOS DE APOIO ADMINISTRATIVO E DE LIMPEZA, ASSEIO E CONSERVAÇÃO PREDIAL, COM DISPONIBILIZAÇÃO DE MÃO DE OBRA, PARA SEDE E SUBSEÇÕES JUDICIÁRIAS DA JUSTIÇA FEDERAL NA PARAÍBA.</t>
  </si>
  <si>
    <r>
      <t xml:space="preserve">Contratação de  empresa especializada na prestação de serviços continuados de apoio administrativo com disponibilização de mão-de-obra (mensalista)
</t>
    </r>
    <r>
      <rPr>
        <b/>
        <sz val="10"/>
        <color indexed="8"/>
        <rFont val="Tahoma"/>
        <family val="2"/>
      </rPr>
      <t xml:space="preserve">
CATSER - 5380</t>
    </r>
  </si>
  <si>
    <r>
      <t xml:space="preserve">Equipamentos e Ferramentas </t>
    </r>
    <r>
      <rPr>
        <sz val="8"/>
        <rFont val="Arial"/>
        <family val="2"/>
      </rPr>
      <t>VALOR POR ASG+ALIS+SERV+JARD = (28 FUNCIONÁRIOS) (R$):</t>
    </r>
  </si>
  <si>
    <r>
      <t>VALOR POR ASG+ALIS+SERV+JARD = (28</t>
    </r>
    <r>
      <rPr>
        <b/>
        <sz val="10"/>
        <color indexed="10"/>
        <rFont val="Arial"/>
        <family val="2"/>
      </rPr>
      <t xml:space="preserve"> FUNCIONÁRIOS</t>
    </r>
    <r>
      <rPr>
        <b/>
        <sz val="10"/>
        <rFont val="Arial"/>
        <family val="2"/>
      </rPr>
      <t xml:space="preserve">) (R$): </t>
    </r>
  </si>
  <si>
    <t>Outros (especificar)</t>
  </si>
  <si>
    <t>OBS.: CÉLULAS LIBERADAS DESTACADAS NA COR LARANJA.</t>
  </si>
  <si>
    <t>Salário mínimo</t>
  </si>
  <si>
    <t>Demais</t>
  </si>
  <si>
    <r>
      <t>Férias</t>
    </r>
    <r>
      <rPr>
        <sz val="9"/>
        <color indexed="8"/>
        <rFont val="Arial"/>
        <family val="2"/>
      </rPr>
      <t xml:space="preserve"> (1/11 x 100)</t>
    </r>
  </si>
  <si>
    <r>
      <t xml:space="preserve">Lavadora de estofado e carpete e aspirador 30 litros 1.700 watts
</t>
    </r>
    <r>
      <rPr>
        <b/>
        <sz val="10"/>
        <color rgb="FF0070C0"/>
        <rFont val="Arial"/>
        <family val="2"/>
      </rPr>
      <t>Referência: KärcherPuzzi 4/30, Wap</t>
    </r>
  </si>
  <si>
    <r>
      <t xml:space="preserve">Escada Articulada 4x4, 16 degraus, alumínio/Aço com Plataforma, dobrável e multifuncional - </t>
    </r>
    <r>
      <rPr>
        <b/>
        <sz val="10"/>
        <color rgb="FF0070C0"/>
        <rFont val="Arial"/>
        <family val="2"/>
      </rPr>
      <t>Referência: Modelo: GARDEN, VONDER</t>
    </r>
  </si>
  <si>
    <r>
      <t xml:space="preserve">Esfregador giratório elétrico, escova de limpeza sem fio com velocidade dupla de potência 2H, cabo de extensão ajustável, 9 cabeças de escova substituíveis, à prova d'água
</t>
    </r>
    <r>
      <rPr>
        <b/>
        <sz val="10"/>
        <color rgb="FF0070C0"/>
        <rFont val="Arial"/>
        <family val="2"/>
      </rPr>
      <t>Referência: TIPPI, PULLUDY, PRIME</t>
    </r>
  </si>
  <si>
    <r>
      <t xml:space="preserve">Escada Alumínio Multiuso Dupla 5 Degraus 
</t>
    </r>
    <r>
      <rPr>
        <b/>
        <sz val="10"/>
        <color rgb="FF0070C0"/>
        <rFont val="Arial"/>
        <family val="2"/>
      </rPr>
      <t xml:space="preserve">Referência: ESCALLI 
Modelo: ESCALLI-EAD3 </t>
    </r>
  </si>
  <si>
    <r>
      <t xml:space="preserve">Roçadeira Mutifuncional a gasolina.
Detalhes Técnicos: Cilindrada: 43 Cc; Potencia: (1.25kw) 1.67 Hp - 6500 Rpm; Rotação Máxima Sem Carga: 12000 Rpm; Capacidade Do Tanque: 1,2 l
Tipo De Ignição: Eletrônica 
</t>
    </r>
    <r>
      <rPr>
        <b/>
        <sz val="10"/>
        <color rgb="FF0070C0"/>
        <rFont val="Arial"/>
        <family val="2"/>
      </rPr>
      <t>Referência: STILL, TRAPP 
Modelo: GRM430</t>
    </r>
  </si>
  <si>
    <r>
      <t xml:space="preserve">Máquina de cortar grama Gasolina 6HP, com botão trava de segurança, rodas traseiras maior, cabo ergonômico, base de aço, com cesto recolhedor.
</t>
    </r>
    <r>
      <rPr>
        <b/>
        <sz val="10"/>
        <color rgb="FF0070C0"/>
        <rFont val="Arial"/>
        <family val="2"/>
      </rPr>
      <t>Referência: Fabricante:
TRAPP - Modelo: LF-650RM</t>
    </r>
  </si>
  <si>
    <r>
      <t xml:space="preserve">Machadinha Com Unha Cabo Madeira
Medidas (Aproximadas):
Altura: 8,40cm
Comprimento: 31cm
Largura: 13,20cm
Peso: 720g
</t>
    </r>
    <r>
      <rPr>
        <b/>
        <sz val="10"/>
        <color rgb="FF0070C0"/>
        <rFont val="Arial"/>
        <family val="2"/>
      </rPr>
      <t>Fabricante: TRAMONTINA, VONDER,</t>
    </r>
  </si>
  <si>
    <r>
      <t xml:space="preserve">Serrote fixo para poda.
Lâmina: aço carbono flexível.
Medidas (aproximadas)
Peso do serrote: 260g.
Espessura da lâmina: 325".
Comprimento do serrote: 32 cm.
Comprimento da lâmina: 32.5 cm.
Largura do serrote: 12.2 cm.
</t>
    </r>
    <r>
      <rPr>
        <b/>
        <sz val="10"/>
        <color rgb="FF0070C0"/>
        <rFont val="Arial"/>
        <family val="2"/>
      </rPr>
      <t>Fabricante: TRAMONTINA, VONDER,</t>
    </r>
  </si>
  <si>
    <r>
      <t xml:space="preserve">Pazinha em aço carbono especial de alta qualidade, pintura eletrostática a pó, proteção contra oxidação, cabo  de madeira de origem renovável.
</t>
    </r>
    <r>
      <rPr>
        <b/>
        <sz val="10"/>
        <color rgb="FF0070C0"/>
        <rFont val="Arial"/>
        <family val="2"/>
      </rPr>
      <t>Fabricante: TRAMONTINA, VONDER,</t>
    </r>
  </si>
  <si>
    <r>
      <t xml:space="preserve">Pá em aço carbono especial de alta qualidade, cortada a laser, cabo de 71 cm produzido com madeira renovável, empunhadura plástica ergonômica.
</t>
    </r>
    <r>
      <rPr>
        <b/>
        <sz val="10"/>
        <color rgb="FF0070C0"/>
        <rFont val="Arial"/>
        <family val="2"/>
      </rPr>
      <t>Fabricante: TRAMONTINA, VONDER,</t>
    </r>
    <r>
      <rPr>
        <sz val="10"/>
        <color rgb="FF0070C0"/>
        <rFont val="Arial"/>
        <family val="2"/>
      </rPr>
      <t xml:space="preserve">
</t>
    </r>
  </si>
  <si>
    <r>
      <t xml:space="preserve">Tesoura tipo Suiça para poda. Material de qualidade, maior resistência e durabilidade.
- Especificações técnicas:
Medida: 20cm, lâmina 5cm em aço carbono, cabo em alumínio e PVC
</t>
    </r>
    <r>
      <rPr>
        <b/>
        <sz val="10"/>
        <color rgb="FF0070C0"/>
        <rFont val="Arial"/>
        <family val="2"/>
      </rPr>
      <t>Fabricante: TRAMONTINA, CORNETA, FAMASTIL</t>
    </r>
    <r>
      <rPr>
        <sz val="10"/>
        <color rgb="FF0070C0"/>
        <rFont val="Arial"/>
        <family val="2"/>
      </rPr>
      <t xml:space="preserve">
</t>
    </r>
  </si>
  <si>
    <r>
      <t xml:space="preserve">Tesoura para grama, cerca viva, etc., em aço carbono temperado, lamina serrilhada, cabo em madeira renovável.
Dimensões aproximadas:
48,3 x 15,8 x 10,8 cm; 540 g
</t>
    </r>
    <r>
      <rPr>
        <b/>
        <sz val="10"/>
        <color rgb="FF0070C0"/>
        <rFont val="Arial"/>
        <family val="2"/>
      </rPr>
      <t>Fabricante: TRAMONTINA, TRAPP, VONDER</t>
    </r>
  </si>
  <si>
    <r>
      <t xml:space="preserve">Tesourão de Poda Tipo Bypass.
- Lâminas em aço carbono temperado; Cabos Madeira 60 cm;  Empunhaduras ergonômicas; Batente plástico; Para galhos c/ diâmetro até 30 mm.
</t>
    </r>
    <r>
      <rPr>
        <b/>
        <sz val="10"/>
        <color rgb="FF0070C0"/>
        <rFont val="Arial"/>
        <family val="2"/>
      </rPr>
      <t>Fabricante: TRAMONTINA, TRAPP, VONDER</t>
    </r>
    <r>
      <rPr>
        <sz val="10"/>
        <color rgb="FF0070C0"/>
        <rFont val="Arial"/>
        <family val="2"/>
      </rPr>
      <t xml:space="preserve">
</t>
    </r>
  </si>
  <si>
    <r>
      <t xml:space="preserve">Podador de galhos altos com serrote, cabeça curvada, peso cerca de 800 g, comprimento 300 mm, comprimento da lâmina 70 mm, abertura de corte 50 mm, diâmetro de corte até 25 mm.
</t>
    </r>
    <r>
      <rPr>
        <b/>
        <sz val="10"/>
        <color rgb="FF0070C0"/>
        <rFont val="Arial"/>
        <family val="2"/>
      </rPr>
      <t>Fabricante: TRAMONTINA, TRAPP, VONDER</t>
    </r>
  </si>
  <si>
    <r>
      <t xml:space="preserve">Enxadeco em aço temperado, cabo de madeira renovável 130 cm.
</t>
    </r>
    <r>
      <rPr>
        <b/>
        <sz val="10"/>
        <color rgb="FF0070C0"/>
        <rFont val="Arial"/>
        <family val="2"/>
      </rPr>
      <t>Fabricante: TRAMONTINA, TRAPP, VONDER</t>
    </r>
    <r>
      <rPr>
        <sz val="10"/>
        <color rgb="FF0070C0"/>
        <rFont val="Arial"/>
        <family val="2"/>
      </rPr>
      <t xml:space="preserve">
</t>
    </r>
  </si>
  <si>
    <r>
      <t xml:space="preserve">Cavadeira Articulada
Descrição aproximada: Cabo madeira 1,30mt; Boca metal 12cm; Peso: 1,88kg
</t>
    </r>
    <r>
      <rPr>
        <b/>
        <sz val="10"/>
        <color rgb="FF0070C0"/>
        <rFont val="Arial"/>
        <family val="2"/>
      </rPr>
      <t>Fabricante: TRAMONTINA, TRAPP, VONDER</t>
    </r>
    <r>
      <rPr>
        <sz val="10"/>
        <color rgb="FF0070C0"/>
        <rFont val="Arial"/>
        <family val="2"/>
      </rPr>
      <t xml:space="preserve">
</t>
    </r>
  </si>
  <si>
    <r>
      <t xml:space="preserve">Enxadinha Sacho Coração
- Cabo Curto 60cm 
- Aço carbono alta resistência.
- Largura 10 cm
- Diâmetro do olho de 29 cm
</t>
    </r>
    <r>
      <rPr>
        <b/>
        <sz val="10"/>
        <color rgb="FF0070C0"/>
        <rFont val="Arial"/>
        <family val="2"/>
      </rPr>
      <t>Fabricante: TRAMONTINA, TRAPP, VONDER</t>
    </r>
    <r>
      <rPr>
        <sz val="10"/>
        <color rgb="FF0070C0"/>
        <rFont val="Arial"/>
        <family val="2"/>
      </rPr>
      <t xml:space="preserve">
</t>
    </r>
  </si>
  <si>
    <r>
      <t xml:space="preserve">Enxada estreita em aço, pintura eletrostática.
- Altura: 21,30cm
- Largura: 21,50cm
- Comprimento 130cm
</t>
    </r>
    <r>
      <rPr>
        <b/>
        <sz val="10"/>
        <color rgb="FF0070C0"/>
        <rFont val="Arial"/>
        <family val="2"/>
      </rPr>
      <t>Fabricante: TRAMONTINA, TRAPP, VONDER</t>
    </r>
    <r>
      <rPr>
        <sz val="10"/>
        <color rgb="FF0070C0"/>
        <rFont val="Arial"/>
        <family val="2"/>
      </rPr>
      <t xml:space="preserve">
</t>
    </r>
  </si>
  <si>
    <r>
      <t xml:space="preserve">Vassoura rastelo 22 dentes de metal ou plástica com cabo de 120cm
</t>
    </r>
    <r>
      <rPr>
        <b/>
        <sz val="10"/>
        <color rgb="FF0070C0"/>
        <rFont val="Arial"/>
        <family val="2"/>
      </rPr>
      <t>Fabricante: TRAMONTINA, TRAPP, VONDER</t>
    </r>
    <r>
      <rPr>
        <sz val="10"/>
        <color rgb="FF0070C0"/>
        <rFont val="Arial"/>
        <family val="2"/>
      </rPr>
      <t xml:space="preserve">
</t>
    </r>
  </si>
  <si>
    <r>
      <t xml:space="preserve">Facão em aço carbono com cabo de polipropileno ou madeira.
</t>
    </r>
    <r>
      <rPr>
        <b/>
        <sz val="10"/>
        <color rgb="FF0070C0"/>
        <rFont val="Arial"/>
        <family val="2"/>
      </rPr>
      <t>Fabricante: TRAMONTINA, VONDER, FAMASTIL</t>
    </r>
  </si>
  <si>
    <r>
      <t xml:space="preserve">Enrolador de mangueira em metal e plástico, capacidade 55m, com rodas.
</t>
    </r>
    <r>
      <rPr>
        <b/>
        <sz val="10"/>
        <color rgb="FF0070C0"/>
        <rFont val="Arial"/>
        <family val="2"/>
      </rPr>
      <t>Fabricante: TRAMONTINA, TRAPP, VONDER</t>
    </r>
    <r>
      <rPr>
        <sz val="10"/>
        <color rgb="FF0070C0"/>
        <rFont val="Arial"/>
        <family val="2"/>
      </rPr>
      <t xml:space="preserve">
</t>
    </r>
  </si>
  <si>
    <r>
      <t xml:space="preserve">Mangueira de jardim 50m, reforçada, transada, siliconada, flexível e não dobra.
</t>
    </r>
    <r>
      <rPr>
        <b/>
        <sz val="10"/>
        <color rgb="FF0070C0"/>
        <rFont val="Arial"/>
        <family val="2"/>
      </rPr>
      <t>Fabricante: TRAMONTINA, TRAPP, KALA</t>
    </r>
  </si>
  <si>
    <r>
      <t xml:space="preserve">Rodo profissional para limpeza úmida de pisos em geral.
Conjunto composto por:
 • 1 Cabo - 1,40 m com reservatório
 • 1 Armação - 48 cm 
 • 1 Refil Borracha - 50 cm
</t>
    </r>
    <r>
      <rPr>
        <b/>
        <sz val="10"/>
        <color rgb="FF0070C0"/>
        <rFont val="Arial"/>
        <family val="2"/>
      </rPr>
      <t>Fabricante: Bralimpia / TTS</t>
    </r>
  </si>
</sst>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 #,##0.00_);_(* \(#,##0.00\);_(* &quot;-&quot;??_);_(@_)"/>
    <numFmt numFmtId="165" formatCode="_-&quot;R$&quot;* #,##0.00_-;\-&quot;R$&quot;* #,##0.00_-;_-&quot;R$&quot;* &quot;-&quot;??_-;_-@_-"/>
    <numFmt numFmtId="166" formatCode="0.0"/>
    <numFmt numFmtId="167" formatCode="0.000%"/>
    <numFmt numFmtId="168" formatCode="_-[$R$-416]\ * #,##0.00_-;\-[$R$-416]\ * #,##0.00_-;_-[$R$-416]\ * &quot;-&quot;??_-;_-@_-"/>
    <numFmt numFmtId="169" formatCode="_-&quot;R$ &quot;* #,##0.00_-;&quot;-R$ &quot;* #,##0.00_-;_-&quot;R$ &quot;* \-??_-;_-@_-"/>
    <numFmt numFmtId="170" formatCode="#,##0.00_ ;\-#,##0.00\ "/>
  </numFmts>
  <fonts count="136">
    <font>
      <sz val="11"/>
      <color theme="1"/>
      <name val="Calibri"/>
      <family val="2"/>
      <scheme val="minor"/>
    </font>
    <font>
      <sz val="10"/>
      <color indexed="8"/>
      <name val="Tahoma"/>
      <family val="2"/>
    </font>
    <font>
      <i/>
      <sz val="10"/>
      <name val="Tahoma"/>
      <family val="2"/>
    </font>
    <font>
      <b/>
      <sz val="10"/>
      <color indexed="8"/>
      <name val="Tahoma"/>
      <family val="2"/>
    </font>
    <font>
      <sz val="8"/>
      <name val="Arial"/>
      <family val="2"/>
    </font>
    <font>
      <sz val="11"/>
      <name val="Calibri"/>
      <family val="2"/>
    </font>
    <font>
      <sz val="20"/>
      <name val="Calibri"/>
      <family val="2"/>
    </font>
    <font>
      <sz val="12"/>
      <name val="Calibri"/>
      <family val="2"/>
    </font>
    <font>
      <sz val="10"/>
      <color indexed="8"/>
      <name val="Arial"/>
      <family val="2"/>
    </font>
    <font>
      <b/>
      <sz val="10"/>
      <color indexed="8"/>
      <name val="Arial"/>
      <family val="2"/>
    </font>
    <font>
      <b/>
      <sz val="10"/>
      <color indexed="56"/>
      <name val="Arial"/>
      <family val="2"/>
    </font>
    <font>
      <sz val="10"/>
      <name val="Arial"/>
      <family val="2"/>
    </font>
    <font>
      <b/>
      <sz val="10"/>
      <name val="Arial"/>
      <family val="2"/>
    </font>
    <font>
      <sz val="10"/>
      <name val="Arial"/>
      <family val="2"/>
    </font>
    <font>
      <b/>
      <sz val="9"/>
      <color indexed="8"/>
      <name val="Tahoma"/>
      <family val="2"/>
    </font>
    <font>
      <b/>
      <sz val="9"/>
      <name val="Arial"/>
      <family val="2"/>
    </font>
    <font>
      <b/>
      <sz val="11"/>
      <color indexed="8"/>
      <name val="Tahoma"/>
      <family val="2"/>
    </font>
    <font>
      <b/>
      <sz val="8"/>
      <name val="Arial"/>
      <family val="2"/>
    </font>
    <font>
      <sz val="7"/>
      <name val="Arial"/>
      <family val="2"/>
    </font>
    <font>
      <sz val="14"/>
      <name val="Arial"/>
      <family val="2"/>
    </font>
    <font>
      <sz val="8"/>
      <color indexed="8"/>
      <name val="Arial"/>
      <family val="2"/>
    </font>
    <font>
      <b/>
      <sz val="8"/>
      <color indexed="8"/>
      <name val="Arial"/>
      <family val="2"/>
    </font>
    <font>
      <sz val="9.5"/>
      <color indexed="8"/>
      <name val="Arial"/>
      <family val="2"/>
    </font>
    <font>
      <b/>
      <sz val="9.5"/>
      <color indexed="8"/>
      <name val="Arial"/>
      <family val="2"/>
    </font>
    <font>
      <b/>
      <sz val="10"/>
      <color indexed="10"/>
      <name val="Arial"/>
      <family val="2"/>
    </font>
    <font>
      <sz val="9"/>
      <color indexed="8"/>
      <name val="Arial"/>
      <family val="2"/>
    </font>
    <font>
      <b/>
      <sz val="10"/>
      <name val="Tahoma"/>
      <family val="2"/>
    </font>
    <font>
      <i/>
      <sz val="10"/>
      <name val="Calibri"/>
      <family val="2"/>
    </font>
    <font>
      <b/>
      <i/>
      <sz val="10"/>
      <name val="Calibri"/>
      <family val="2"/>
    </font>
    <font>
      <i/>
      <sz val="8"/>
      <name val="Calibri"/>
      <family val="2"/>
    </font>
    <font>
      <sz val="8"/>
      <name val="Calibri"/>
      <family val="2"/>
    </font>
    <font>
      <sz val="10"/>
      <name val="Tahoma"/>
      <family val="2"/>
    </font>
    <font>
      <sz val="11"/>
      <color theme="1"/>
      <name val="Calibri"/>
      <family val="2"/>
      <scheme val="minor"/>
    </font>
    <font>
      <u/>
      <sz val="11"/>
      <color theme="10"/>
      <name val="Calibri"/>
      <family val="2"/>
      <scheme val="minor"/>
    </font>
    <font>
      <u/>
      <sz val="9"/>
      <color theme="10"/>
      <name val="Arial"/>
      <family val="2"/>
    </font>
    <font>
      <u/>
      <sz val="10"/>
      <color theme="10"/>
      <name val="Arial"/>
      <family val="2"/>
    </font>
    <font>
      <sz val="11"/>
      <color rgb="FF000000"/>
      <name val="Calibri"/>
      <family val="2"/>
      <charset val="1"/>
    </font>
    <font>
      <sz val="11"/>
      <color theme="1"/>
      <name val="Arial"/>
      <family val="2"/>
    </font>
    <font>
      <sz val="11"/>
      <color rgb="FF000000"/>
      <name val="Calibri"/>
      <family val="2"/>
    </font>
    <font>
      <sz val="11"/>
      <color rgb="FFFF0000"/>
      <name val="Calibri"/>
      <family val="2"/>
      <scheme val="minor"/>
    </font>
    <font>
      <b/>
      <sz val="11"/>
      <color theme="1"/>
      <name val="Calibri"/>
      <family val="2"/>
      <scheme val="minor"/>
    </font>
    <font>
      <sz val="10"/>
      <color theme="1"/>
      <name val="Tahoma"/>
      <family val="2"/>
    </font>
    <font>
      <b/>
      <sz val="10"/>
      <color theme="1"/>
      <name val="Calibri"/>
      <family val="2"/>
      <scheme val="minor"/>
    </font>
    <font>
      <sz val="10"/>
      <color rgb="FF000000"/>
      <name val="Arial"/>
      <family val="2"/>
    </font>
    <font>
      <sz val="10"/>
      <color theme="1"/>
      <name val="Arial"/>
      <family val="2"/>
    </font>
    <font>
      <b/>
      <sz val="10"/>
      <color theme="1"/>
      <name val="Arial"/>
      <family val="2"/>
    </font>
    <font>
      <sz val="20"/>
      <color rgb="FF000000"/>
      <name val="Calibri"/>
      <family val="2"/>
    </font>
    <font>
      <b/>
      <sz val="20"/>
      <color rgb="FF000000"/>
      <name val="Arial"/>
      <family val="2"/>
    </font>
    <font>
      <b/>
      <sz val="12"/>
      <color rgb="FF002060"/>
      <name val="Arial"/>
      <family val="2"/>
    </font>
    <font>
      <b/>
      <sz val="10"/>
      <color theme="0"/>
      <name val="Tahoma"/>
      <family val="2"/>
    </font>
    <font>
      <b/>
      <sz val="10"/>
      <color theme="0"/>
      <name val="Arial"/>
      <family val="2"/>
    </font>
    <font>
      <b/>
      <sz val="12"/>
      <color theme="0"/>
      <name val="Tahoma"/>
      <family val="2"/>
    </font>
    <font>
      <sz val="10"/>
      <name val="Calibri"/>
      <family val="2"/>
      <scheme val="minor"/>
    </font>
    <font>
      <sz val="8"/>
      <color theme="1"/>
      <name val="Calibri"/>
      <family val="2"/>
      <scheme val="minor"/>
    </font>
    <font>
      <b/>
      <sz val="10"/>
      <color theme="1"/>
      <name val="Tahoma"/>
      <family val="2"/>
    </font>
    <font>
      <sz val="10"/>
      <color rgb="FF0000FF"/>
      <name val="Tahoma"/>
      <family val="2"/>
    </font>
    <font>
      <sz val="14"/>
      <color theme="1"/>
      <name val="Tahoma"/>
      <family val="2"/>
    </font>
    <font>
      <b/>
      <sz val="12"/>
      <color theme="1"/>
      <name val="Tahoma"/>
      <family val="2"/>
    </font>
    <font>
      <sz val="16"/>
      <color theme="1"/>
      <name val="Tahoma"/>
      <family val="2"/>
    </font>
    <font>
      <b/>
      <sz val="14"/>
      <color theme="0"/>
      <name val="Tahoma"/>
      <family val="2"/>
    </font>
    <font>
      <b/>
      <sz val="18"/>
      <color theme="1"/>
      <name val="Tahoma"/>
      <family val="2"/>
    </font>
    <font>
      <i/>
      <sz val="11"/>
      <color theme="1"/>
      <name val="Calibri"/>
      <family val="2"/>
      <scheme val="minor"/>
    </font>
    <font>
      <b/>
      <i/>
      <sz val="10"/>
      <name val="Calibri"/>
      <family val="2"/>
      <scheme val="minor"/>
    </font>
    <font>
      <b/>
      <i/>
      <sz val="11"/>
      <color rgb="FF000000"/>
      <name val="Calibri"/>
      <family val="2"/>
      <scheme val="minor"/>
    </font>
    <font>
      <b/>
      <sz val="11"/>
      <color rgb="FF0000FF"/>
      <name val="Calibri"/>
      <family val="2"/>
      <scheme val="minor"/>
    </font>
    <font>
      <b/>
      <sz val="9"/>
      <color rgb="FF0000FF"/>
      <name val="Calibri"/>
      <family val="2"/>
      <scheme val="minor"/>
    </font>
    <font>
      <sz val="11"/>
      <name val="Calibri"/>
      <family val="2"/>
      <scheme val="minor"/>
    </font>
    <font>
      <sz val="14"/>
      <name val="Calibri"/>
      <family val="2"/>
      <scheme val="minor"/>
    </font>
    <font>
      <i/>
      <sz val="9"/>
      <color theme="1"/>
      <name val="Calibri"/>
      <family val="2"/>
      <scheme val="minor"/>
    </font>
    <font>
      <b/>
      <sz val="10"/>
      <color rgb="FF0000FF"/>
      <name val="Arial"/>
      <family val="2"/>
    </font>
    <font>
      <i/>
      <sz val="10"/>
      <name val="Calibri"/>
      <family val="2"/>
      <scheme val="minor"/>
    </font>
    <font>
      <b/>
      <i/>
      <sz val="11"/>
      <name val="Calibri"/>
      <family val="2"/>
      <scheme val="minor"/>
    </font>
    <font>
      <i/>
      <sz val="9"/>
      <name val="Calibri"/>
      <family val="2"/>
      <scheme val="minor"/>
    </font>
    <font>
      <b/>
      <sz val="14"/>
      <color theme="1"/>
      <name val="Calibri"/>
      <family val="2"/>
      <scheme val="minor"/>
    </font>
    <font>
      <sz val="9.5"/>
      <color theme="1"/>
      <name val="Arial"/>
      <family val="2"/>
    </font>
    <font>
      <sz val="8"/>
      <color theme="1"/>
      <name val="Arial"/>
      <family val="2"/>
    </font>
    <font>
      <sz val="10"/>
      <color theme="0" tint="-0.499984740745262"/>
      <name val="Arial"/>
      <family val="2"/>
    </font>
    <font>
      <sz val="10"/>
      <color theme="1" tint="0.249977111117893"/>
      <name val="Arial"/>
      <family val="2"/>
    </font>
    <font>
      <sz val="9"/>
      <color theme="1" tint="0.499984740745262"/>
      <name val="Arial"/>
      <family val="2"/>
    </font>
    <font>
      <i/>
      <sz val="8"/>
      <name val="Calibri"/>
      <family val="2"/>
      <scheme val="minor"/>
    </font>
    <font>
      <b/>
      <i/>
      <sz val="14"/>
      <color theme="0"/>
      <name val="Calibri"/>
      <family val="2"/>
      <scheme val="minor"/>
    </font>
    <font>
      <i/>
      <sz val="11"/>
      <color theme="10"/>
      <name val="Calibri"/>
      <family val="2"/>
      <scheme val="minor"/>
    </font>
    <font>
      <b/>
      <i/>
      <sz val="12"/>
      <color theme="0"/>
      <name val="Calibri"/>
      <family val="2"/>
      <scheme val="minor"/>
    </font>
    <font>
      <b/>
      <i/>
      <sz val="12"/>
      <name val="Calibri"/>
      <family val="2"/>
      <scheme val="minor"/>
    </font>
    <font>
      <b/>
      <sz val="12"/>
      <name val="Calibri"/>
      <family val="2"/>
      <scheme val="minor"/>
    </font>
    <font>
      <b/>
      <sz val="10"/>
      <color rgb="FF0000FF"/>
      <name val="Tahoma"/>
      <family val="2"/>
    </font>
    <font>
      <b/>
      <sz val="10"/>
      <color rgb="FF253A7D"/>
      <name val="Tahoma"/>
      <family val="2"/>
    </font>
    <font>
      <b/>
      <sz val="16"/>
      <color theme="0"/>
      <name val="Tahoma"/>
      <family val="2"/>
    </font>
    <font>
      <b/>
      <sz val="15"/>
      <color rgb="FF000000"/>
      <name val="Arial"/>
      <family val="2"/>
    </font>
    <font>
      <b/>
      <sz val="12"/>
      <color rgb="FF000000"/>
      <name val="Arial"/>
      <family val="2"/>
    </font>
    <font>
      <b/>
      <sz val="12"/>
      <color theme="0"/>
      <name val="Arial"/>
      <family val="2"/>
    </font>
    <font>
      <b/>
      <sz val="10"/>
      <color rgb="FFC00000"/>
      <name val="Arial"/>
      <family val="2"/>
    </font>
    <font>
      <b/>
      <sz val="10"/>
      <color rgb="FFFF0000"/>
      <name val="Arial"/>
      <family val="2"/>
    </font>
    <font>
      <b/>
      <sz val="11"/>
      <color theme="0"/>
      <name val="Tahoma"/>
      <family val="2"/>
    </font>
    <font>
      <b/>
      <sz val="9"/>
      <color theme="1" tint="0.499984740745262"/>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9"/>
      <color rgb="FF0000FF"/>
      <name val="Calibri"/>
      <family val="2"/>
      <scheme val="minor"/>
    </font>
    <font>
      <sz val="9"/>
      <color theme="1" tint="0.499984740745262"/>
      <name val="Calibri"/>
      <family val="2"/>
      <scheme val="minor"/>
    </font>
    <font>
      <sz val="11"/>
      <color theme="1" tint="0.499984740745262"/>
      <name val="Calibri"/>
      <family val="2"/>
      <scheme val="minor"/>
    </font>
    <font>
      <b/>
      <sz val="36"/>
      <name val="Calibri"/>
      <family val="2"/>
      <scheme val="minor"/>
    </font>
    <font>
      <b/>
      <sz val="16"/>
      <name val="Calibri"/>
      <family val="2"/>
      <scheme val="minor"/>
    </font>
    <font>
      <b/>
      <sz val="20"/>
      <color theme="1"/>
      <name val="Calibri"/>
      <family val="2"/>
      <scheme val="minor"/>
    </font>
    <font>
      <sz val="12"/>
      <name val="Calibri"/>
      <family val="2"/>
      <scheme val="minor"/>
    </font>
    <font>
      <b/>
      <sz val="14"/>
      <name val="Calibri"/>
      <family val="2"/>
      <scheme val="minor"/>
    </font>
    <font>
      <sz val="12"/>
      <color rgb="FF000000"/>
      <name val="Calibri"/>
      <family val="2"/>
      <scheme val="minor"/>
    </font>
    <font>
      <u/>
      <sz val="10"/>
      <color indexed="12"/>
      <name val="Arial"/>
      <family val="2"/>
    </font>
    <font>
      <sz val="14"/>
      <color rgb="FF0070C0"/>
      <name val="Calibri"/>
      <family val="2"/>
      <scheme val="minor"/>
    </font>
    <font>
      <sz val="12"/>
      <color rgb="FF0070C0"/>
      <name val="Calibri"/>
      <family val="2"/>
      <scheme val="minor"/>
    </font>
    <font>
      <b/>
      <sz val="14"/>
      <color rgb="FF0070C0"/>
      <name val="Calibri"/>
      <family val="2"/>
      <scheme val="minor"/>
    </font>
    <font>
      <sz val="12"/>
      <color rgb="FFFF0000"/>
      <name val="Calibri"/>
      <family val="2"/>
      <scheme val="minor"/>
    </font>
    <font>
      <b/>
      <sz val="8"/>
      <color rgb="FFFF0000"/>
      <name val="Arial"/>
      <family val="2"/>
    </font>
    <font>
      <sz val="10"/>
      <color rgb="FF0070C0"/>
      <name val="Arial"/>
      <family val="2"/>
    </font>
    <font>
      <b/>
      <u/>
      <sz val="10"/>
      <color rgb="FF0070C0"/>
      <name val="Arial"/>
      <family val="2"/>
    </font>
    <font>
      <b/>
      <sz val="10"/>
      <color rgb="FF0070C0"/>
      <name val="Arial"/>
      <family val="2"/>
    </font>
    <font>
      <sz val="7"/>
      <color rgb="FF0070C0"/>
      <name val="Arial"/>
      <family val="2"/>
    </font>
    <font>
      <sz val="8"/>
      <color rgb="FF0070C0"/>
      <name val="Arial"/>
      <family val="2"/>
    </font>
    <font>
      <sz val="14"/>
      <color rgb="FF0070C0"/>
      <name val="Arial"/>
      <family val="2"/>
    </font>
    <font>
      <b/>
      <sz val="11"/>
      <color rgb="FFFF0000"/>
      <name val="Calibri"/>
      <family val="2"/>
      <scheme val="minor"/>
    </font>
    <font>
      <b/>
      <sz val="12"/>
      <color rgb="FF00B050"/>
      <name val="Calibri"/>
      <family val="2"/>
      <scheme val="minor"/>
    </font>
    <font>
      <b/>
      <sz val="9"/>
      <color rgb="FF00B050"/>
      <name val="Calibri"/>
      <family val="2"/>
      <scheme val="minor"/>
    </font>
    <font>
      <b/>
      <sz val="11"/>
      <color rgb="FF00B050"/>
      <name val="Calibri"/>
      <family val="2"/>
      <scheme val="minor"/>
    </font>
    <font>
      <b/>
      <sz val="9"/>
      <color rgb="FF0000CC"/>
      <name val="Calibri"/>
      <family val="2"/>
      <scheme val="minor"/>
    </font>
    <font>
      <b/>
      <sz val="12"/>
      <color rgb="FF0000CC"/>
      <name val="Calibri"/>
      <family val="2"/>
      <scheme val="minor"/>
    </font>
    <font>
      <b/>
      <sz val="18"/>
      <color theme="1"/>
      <name val="Calibri"/>
      <family val="2"/>
      <scheme val="minor"/>
    </font>
    <font>
      <sz val="18"/>
      <color theme="1"/>
      <name val="Calibri"/>
      <family val="2"/>
      <scheme val="minor"/>
    </font>
    <font>
      <b/>
      <sz val="20"/>
      <name val="Calibri"/>
      <family val="2"/>
      <scheme val="minor"/>
    </font>
    <font>
      <b/>
      <sz val="10"/>
      <color rgb="FF0000CC"/>
      <name val="Tahoma"/>
      <family val="2"/>
    </font>
    <font>
      <i/>
      <u/>
      <sz val="10"/>
      <name val="Calibri"/>
      <family val="2"/>
    </font>
    <font>
      <b/>
      <i/>
      <u/>
      <sz val="10"/>
      <name val="Calibri"/>
      <family val="2"/>
    </font>
    <font>
      <b/>
      <i/>
      <sz val="8"/>
      <name val="Calibri"/>
      <family val="2"/>
      <scheme val="minor"/>
    </font>
    <font>
      <i/>
      <u/>
      <sz val="8"/>
      <name val="Calibri"/>
      <family val="2"/>
      <scheme val="minor"/>
    </font>
    <font>
      <sz val="9"/>
      <name val="Arial"/>
      <family val="2"/>
    </font>
    <font>
      <b/>
      <sz val="8"/>
      <color theme="3"/>
      <name val="Arial"/>
      <family val="2"/>
    </font>
    <font>
      <b/>
      <sz val="12"/>
      <name val="Arial"/>
      <family val="2"/>
    </font>
  </fonts>
  <fills count="3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59999389629810485"/>
        <bgColor indexed="64"/>
      </patternFill>
    </fill>
    <fill>
      <patternFill patternType="solid">
        <fgColor rgb="FF238B43"/>
        <bgColor indexed="64"/>
      </patternFill>
    </fill>
    <fill>
      <patternFill patternType="solid">
        <fgColor rgb="FF00206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99"/>
        <bgColor indexed="64"/>
      </patternFill>
    </fill>
    <fill>
      <patternFill patternType="solid">
        <fgColor rgb="FF253A7D"/>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3300"/>
        <bgColor rgb="FF003300"/>
      </patternFill>
    </fill>
    <fill>
      <patternFill patternType="solid">
        <fgColor rgb="FF8DB4E3"/>
        <bgColor rgb="FF000000"/>
      </patternFill>
    </fill>
    <fill>
      <patternFill patternType="solid">
        <fgColor rgb="FFC5D9F1"/>
        <bgColor rgb="FF000000"/>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000"/>
        <bgColor indexed="64"/>
      </patternFill>
    </fill>
    <fill>
      <patternFill patternType="solid">
        <fgColor indexed="6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uble">
        <color rgb="FF000000"/>
      </left>
      <right style="double">
        <color rgb="FF000000"/>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537">
    <xf numFmtId="0" fontId="0" fillId="0" borderId="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44" fontId="32" fillId="0" borderId="0" applyFont="0" applyFill="0" applyBorder="0" applyAlignment="0" applyProtection="0"/>
    <xf numFmtId="44" fontId="32"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169" fontId="36" fillId="0" borderId="0" applyBorder="0" applyProtection="0"/>
    <xf numFmtId="0" fontId="1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7"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3" fillId="0" borderId="0"/>
    <xf numFmtId="0" fontId="32" fillId="0" borderId="0"/>
    <xf numFmtId="0" fontId="1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8"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9" fontId="32" fillId="0" borderId="0" applyFont="0" applyFill="0" applyBorder="0" applyAlignment="0" applyProtection="0"/>
    <xf numFmtId="9" fontId="32"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3" fillId="0" borderId="0" applyFont="0" applyFill="0" applyBorder="0" applyAlignment="0" applyProtection="0"/>
    <xf numFmtId="164" fontId="1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07" fillId="0" borderId="0" applyNumberFormat="0" applyFill="0" applyBorder="0" applyAlignment="0" applyProtection="0">
      <alignment vertical="top"/>
      <protection locked="0"/>
    </xf>
    <xf numFmtId="169" fontId="38" fillId="0" borderId="0" applyBorder="0" applyProtection="0"/>
  </cellStyleXfs>
  <cellXfs count="932">
    <xf numFmtId="0" fontId="0" fillId="0" borderId="0" xfId="0"/>
    <xf numFmtId="0" fontId="2" fillId="0" borderId="0" xfId="0" applyFont="1"/>
    <xf numFmtId="0" fontId="1" fillId="0" borderId="0" xfId="0" applyFont="1" applyAlignment="1">
      <alignment horizontal="left"/>
    </xf>
    <xf numFmtId="0" fontId="1" fillId="0" borderId="0" xfId="0" applyFont="1"/>
    <xf numFmtId="0" fontId="1" fillId="0" borderId="0" xfId="0" applyFont="1" applyAlignment="1">
      <alignment horizontal="left" vertical="center"/>
    </xf>
    <xf numFmtId="0" fontId="41" fillId="0" borderId="0" xfId="0" applyFont="1"/>
    <xf numFmtId="0" fontId="41" fillId="0" borderId="0" xfId="0" applyFont="1" applyAlignment="1">
      <alignment vertical="center"/>
    </xf>
    <xf numFmtId="0" fontId="1" fillId="0" borderId="0" xfId="0" applyFont="1" applyAlignment="1">
      <alignment horizontal="center" vertical="center"/>
    </xf>
    <xf numFmtId="44" fontId="41" fillId="0" borderId="1" xfId="4" applyFont="1" applyBorder="1" applyAlignment="1">
      <alignment horizontal="center" vertical="center"/>
    </xf>
    <xf numFmtId="0" fontId="43" fillId="2" borderId="23" xfId="0" applyFont="1" applyFill="1" applyBorder="1"/>
    <xf numFmtId="0" fontId="43" fillId="2" borderId="24" xfId="0" applyFont="1" applyFill="1" applyBorder="1"/>
    <xf numFmtId="0" fontId="43" fillId="2" borderId="25" xfId="0" applyFont="1" applyFill="1" applyBorder="1"/>
    <xf numFmtId="0" fontId="43" fillId="0" borderId="0" xfId="0" applyFont="1"/>
    <xf numFmtId="0" fontId="43" fillId="2" borderId="26" xfId="0" applyFont="1" applyFill="1" applyBorder="1"/>
    <xf numFmtId="0" fontId="43" fillId="2" borderId="0" xfId="0" applyFont="1" applyFill="1"/>
    <xf numFmtId="0" fontId="43" fillId="2" borderId="27" xfId="0" applyFont="1" applyFill="1" applyBorder="1"/>
    <xf numFmtId="0" fontId="43" fillId="2" borderId="28" xfId="0" applyFont="1" applyFill="1" applyBorder="1"/>
    <xf numFmtId="0" fontId="43" fillId="2" borderId="29" xfId="0" applyFont="1" applyFill="1" applyBorder="1"/>
    <xf numFmtId="0" fontId="43" fillId="2" borderId="30" xfId="0" applyFont="1" applyFill="1" applyBorder="1"/>
    <xf numFmtId="0" fontId="44" fillId="0" borderId="0" xfId="88" applyFont="1" applyAlignment="1">
      <alignment vertical="center"/>
    </xf>
    <xf numFmtId="44" fontId="41" fillId="0" borderId="2" xfId="4" applyFont="1" applyBorder="1" applyAlignment="1">
      <alignment horizontal="center" vertical="center"/>
    </xf>
    <xf numFmtId="0" fontId="46" fillId="0" borderId="0" xfId="0" applyFont="1"/>
    <xf numFmtId="0" fontId="14" fillId="0" borderId="0" xfId="0" applyFont="1"/>
    <xf numFmtId="0" fontId="47" fillId="2" borderId="26" xfId="0" applyFont="1" applyFill="1" applyBorder="1" applyAlignment="1">
      <alignment vertical="center" wrapText="1"/>
    </xf>
    <xf numFmtId="0" fontId="6" fillId="0" borderId="0" xfId="0" applyFont="1"/>
    <xf numFmtId="0" fontId="6" fillId="0" borderId="27" xfId="0" applyFont="1" applyBorder="1"/>
    <xf numFmtId="0" fontId="6" fillId="0" borderId="26" xfId="0" applyFont="1" applyBorder="1"/>
    <xf numFmtId="44" fontId="41" fillId="4" borderId="1" xfId="4" applyFont="1" applyFill="1" applyBorder="1" applyAlignment="1">
      <alignment horizontal="center" vertical="center"/>
    </xf>
    <xf numFmtId="44" fontId="41" fillId="4" borderId="2" xfId="4" applyFont="1" applyFill="1"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horizontal="center"/>
    </xf>
    <xf numFmtId="0" fontId="53" fillId="0" borderId="1" xfId="0" applyFont="1" applyBorder="1" applyAlignment="1">
      <alignment horizontal="center"/>
    </xf>
    <xf numFmtId="0" fontId="41" fillId="4" borderId="1" xfId="0" applyFont="1" applyFill="1" applyBorder="1" applyAlignment="1">
      <alignment horizontal="left" vertical="center"/>
    </xf>
    <xf numFmtId="0" fontId="54" fillId="0" borderId="0" xfId="0" applyFont="1"/>
    <xf numFmtId="44" fontId="54" fillId="0" borderId="2" xfId="4" applyFont="1" applyBorder="1" applyAlignment="1">
      <alignment horizontal="center" vertical="center"/>
    </xf>
    <xf numFmtId="44" fontId="54" fillId="0" borderId="1" xfId="4" applyFont="1" applyBorder="1" applyAlignment="1">
      <alignment horizontal="center" vertical="center"/>
    </xf>
    <xf numFmtId="0" fontId="54" fillId="4" borderId="1" xfId="0" applyFont="1" applyFill="1" applyBorder="1" applyAlignment="1">
      <alignment horizontal="center" vertical="center"/>
    </xf>
    <xf numFmtId="44" fontId="54" fillId="4" borderId="1" xfId="4" applyFont="1" applyFill="1" applyBorder="1" applyAlignment="1">
      <alignment horizontal="center" vertical="center"/>
    </xf>
    <xf numFmtId="0" fontId="57" fillId="0" borderId="1" xfId="0" applyFont="1" applyBorder="1" applyAlignment="1">
      <alignment horizontal="center" vertical="center"/>
    </xf>
    <xf numFmtId="44" fontId="57" fillId="0" borderId="2" xfId="4" applyFont="1" applyBorder="1" applyAlignment="1">
      <alignment horizontal="center" vertical="center"/>
    </xf>
    <xf numFmtId="0" fontId="57" fillId="0" borderId="0" xfId="0" applyFont="1"/>
    <xf numFmtId="44" fontId="57" fillId="0" borderId="1" xfId="4" applyFont="1" applyBorder="1" applyAlignment="1">
      <alignment horizontal="center" vertical="center"/>
    </xf>
    <xf numFmtId="44" fontId="54" fillId="0" borderId="1" xfId="4" applyFont="1" applyFill="1" applyBorder="1" applyAlignment="1">
      <alignment horizontal="center" vertical="center"/>
    </xf>
    <xf numFmtId="1" fontId="41" fillId="0" borderId="1" xfId="0" applyNumberFormat="1" applyFont="1" applyBorder="1" applyAlignment="1">
      <alignment horizontal="center" vertical="center"/>
    </xf>
    <xf numFmtId="1" fontId="41" fillId="4" borderId="1" xfId="0" applyNumberFormat="1" applyFont="1" applyFill="1" applyBorder="1" applyAlignment="1">
      <alignment horizontal="center" vertical="center"/>
    </xf>
    <xf numFmtId="44" fontId="54" fillId="0" borderId="1" xfId="0" applyNumberFormat="1" applyFont="1" applyBorder="1" applyAlignment="1">
      <alignment horizontal="center" vertical="center"/>
    </xf>
    <xf numFmtId="44" fontId="54" fillId="4" borderId="1" xfId="0" applyNumberFormat="1" applyFont="1" applyFill="1" applyBorder="1" applyAlignment="1">
      <alignment horizontal="center" vertical="center"/>
    </xf>
    <xf numFmtId="0" fontId="58" fillId="0" borderId="0" xfId="0" applyFont="1"/>
    <xf numFmtId="44" fontId="57" fillId="0" borderId="1" xfId="4" applyFont="1" applyFill="1" applyBorder="1" applyAlignment="1">
      <alignment horizontal="center" vertical="center"/>
    </xf>
    <xf numFmtId="44" fontId="57" fillId="0" borderId="2" xfId="4" applyFont="1" applyFill="1" applyBorder="1" applyAlignment="1">
      <alignment horizontal="center" vertical="center"/>
    </xf>
    <xf numFmtId="168" fontId="54" fillId="0" borderId="1" xfId="533" applyNumberFormat="1" applyFont="1" applyFill="1" applyBorder="1" applyAlignment="1">
      <alignment horizontal="center" vertical="center"/>
    </xf>
    <xf numFmtId="44" fontId="41" fillId="0" borderId="1" xfId="4" applyFont="1" applyFill="1" applyBorder="1" applyAlignment="1">
      <alignment horizontal="center" vertical="center"/>
    </xf>
    <xf numFmtId="44" fontId="41" fillId="0" borderId="2" xfId="4" applyFont="1" applyFill="1" applyBorder="1" applyAlignment="1">
      <alignment horizontal="center" vertical="center"/>
    </xf>
    <xf numFmtId="168" fontId="54" fillId="4" borderId="1" xfId="533" applyNumberFormat="1" applyFont="1" applyFill="1" applyBorder="1" applyAlignment="1">
      <alignment horizontal="center" vertical="center"/>
    </xf>
    <xf numFmtId="0" fontId="57" fillId="8" borderId="1" xfId="0" applyFont="1" applyFill="1" applyBorder="1" applyAlignment="1">
      <alignment horizontal="center" vertical="center"/>
    </xf>
    <xf numFmtId="0" fontId="54" fillId="8" borderId="4" xfId="0" applyFont="1" applyFill="1" applyBorder="1" applyAlignment="1">
      <alignment horizontal="center" vertical="center"/>
    </xf>
    <xf numFmtId="44" fontId="54" fillId="8" borderId="1" xfId="0" applyNumberFormat="1" applyFont="1" applyFill="1" applyBorder="1" applyAlignment="1">
      <alignment horizontal="center" vertical="center"/>
    </xf>
    <xf numFmtId="44" fontId="57" fillId="8" borderId="1" xfId="4" applyFont="1" applyFill="1" applyBorder="1" applyAlignment="1">
      <alignment horizontal="center" vertical="center"/>
    </xf>
    <xf numFmtId="0" fontId="54" fillId="4" borderId="5" xfId="0" applyFont="1" applyFill="1" applyBorder="1" applyAlignment="1">
      <alignment horizontal="center" vertical="center"/>
    </xf>
    <xf numFmtId="0" fontId="60" fillId="0" borderId="4"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41" fillId="4" borderId="1" xfId="0" applyFont="1" applyFill="1" applyBorder="1" applyAlignment="1">
      <alignment horizontal="left" vertical="center" wrapText="1"/>
    </xf>
    <xf numFmtId="44" fontId="54" fillId="0" borderId="0" xfId="0" applyNumberFormat="1" applyFont="1"/>
    <xf numFmtId="0" fontId="57" fillId="0" borderId="0" xfId="0" applyFont="1" applyAlignment="1">
      <alignment horizontal="center" vertical="center"/>
    </xf>
    <xf numFmtId="0" fontId="54" fillId="0" borderId="0" xfId="0" applyFont="1" applyAlignment="1">
      <alignment horizontal="center" vertical="center"/>
    </xf>
    <xf numFmtId="44" fontId="54" fillId="0" borderId="0" xfId="0" applyNumberFormat="1" applyFont="1" applyAlignment="1">
      <alignment horizontal="center" vertical="center"/>
    </xf>
    <xf numFmtId="44" fontId="57" fillId="0" borderId="0" xfId="4" applyFont="1" applyBorder="1" applyAlignment="1">
      <alignment horizontal="center" vertical="center"/>
    </xf>
    <xf numFmtId="0" fontId="59" fillId="5" borderId="1" xfId="0" applyFont="1" applyFill="1" applyBorder="1" applyAlignment="1">
      <alignment horizontal="center" vertical="center"/>
    </xf>
    <xf numFmtId="44" fontId="59" fillId="5" borderId="1" xfId="0" applyNumberFormat="1" applyFont="1" applyFill="1" applyBorder="1" applyAlignment="1">
      <alignment vertical="center"/>
    </xf>
    <xf numFmtId="0" fontId="0" fillId="0" borderId="0" xfId="0" applyAlignment="1">
      <alignment horizontal="justify" vertical="justify" wrapText="1"/>
    </xf>
    <xf numFmtId="0" fontId="61" fillId="0" borderId="0" xfId="0" applyFont="1"/>
    <xf numFmtId="0" fontId="62" fillId="9" borderId="0" xfId="127" applyFont="1" applyFill="1" applyAlignment="1">
      <alignment horizontal="center" vertical="center" wrapText="1"/>
    </xf>
    <xf numFmtId="169" fontId="63" fillId="10" borderId="1" xfId="125" applyNumberFormat="1" applyFont="1" applyFill="1" applyBorder="1" applyAlignment="1">
      <alignment horizontal="center" vertical="center" wrapText="1"/>
    </xf>
    <xf numFmtId="0" fontId="0" fillId="0" borderId="1" xfId="0" applyBorder="1" applyAlignment="1">
      <alignment horizontal="center" vertical="center" wrapText="1"/>
    </xf>
    <xf numFmtId="0" fontId="66" fillId="0" borderId="1" xfId="0" applyFont="1" applyBorder="1"/>
    <xf numFmtId="169" fontId="68" fillId="0" borderId="0" xfId="125" applyNumberFormat="1" applyFont="1" applyAlignment="1">
      <alignment vertical="center"/>
    </xf>
    <xf numFmtId="0" fontId="63" fillId="10" borderId="1" xfId="125" applyFont="1" applyFill="1" applyBorder="1" applyAlignment="1">
      <alignment horizontal="center" vertical="center"/>
    </xf>
    <xf numFmtId="44" fontId="64" fillId="0" borderId="0" xfId="4" applyFont="1" applyBorder="1"/>
    <xf numFmtId="0" fontId="63" fillId="0" borderId="0" xfId="125" applyFont="1" applyAlignment="1">
      <alignment horizontal="center" vertical="center" wrapText="1"/>
    </xf>
    <xf numFmtId="169" fontId="63" fillId="0" borderId="0" xfId="125" applyNumberFormat="1" applyFont="1" applyAlignment="1">
      <alignment horizontal="center" vertical="center" wrapText="1"/>
    </xf>
    <xf numFmtId="44" fontId="68" fillId="0" borderId="0" xfId="4" applyFont="1" applyFill="1" applyBorder="1" applyAlignment="1">
      <alignment vertical="center"/>
    </xf>
    <xf numFmtId="0" fontId="62" fillId="0" borderId="1" xfId="125" applyFont="1" applyBorder="1" applyAlignment="1">
      <alignment horizontal="center" vertical="center"/>
    </xf>
    <xf numFmtId="0" fontId="70" fillId="0" borderId="1" xfId="125" applyFont="1" applyBorder="1" applyAlignment="1">
      <alignment horizontal="center" vertical="center" wrapText="1"/>
    </xf>
    <xf numFmtId="44" fontId="72" fillId="0" borderId="1" xfId="4" applyFont="1" applyFill="1" applyBorder="1" applyAlignment="1">
      <alignment vertical="center"/>
    </xf>
    <xf numFmtId="169" fontId="72" fillId="0" borderId="1" xfId="125" applyNumberFormat="1" applyFont="1" applyBorder="1" applyAlignment="1">
      <alignment vertical="center"/>
    </xf>
    <xf numFmtId="168" fontId="54" fillId="0" borderId="6" xfId="533" applyNumberFormat="1" applyFont="1" applyFill="1" applyBorder="1" applyAlignment="1">
      <alignment horizontal="center" vertical="center"/>
    </xf>
    <xf numFmtId="1" fontId="54" fillId="0" borderId="1" xfId="0" applyNumberFormat="1" applyFont="1" applyBorder="1" applyAlignment="1">
      <alignment horizontal="center" vertical="center"/>
    </xf>
    <xf numFmtId="0" fontId="0" fillId="0" borderId="3" xfId="0" applyBorder="1" applyAlignment="1">
      <alignment horizontal="center"/>
    </xf>
    <xf numFmtId="0" fontId="0" fillId="0" borderId="4" xfId="0" applyBorder="1"/>
    <xf numFmtId="0" fontId="0" fillId="0" borderId="4" xfId="0" applyBorder="1" applyAlignment="1">
      <alignment horizontal="center"/>
    </xf>
    <xf numFmtId="0" fontId="0" fillId="0" borderId="6" xfId="0" applyBorder="1" applyAlignment="1">
      <alignment horizontal="center"/>
    </xf>
    <xf numFmtId="0" fontId="40" fillId="0" borderId="7" xfId="0" applyFont="1" applyBorder="1" applyAlignment="1">
      <alignment horizontal="center"/>
    </xf>
    <xf numFmtId="0" fontId="40" fillId="0" borderId="6" xfId="0" applyFont="1" applyBorder="1" applyAlignment="1">
      <alignment horizontal="center"/>
    </xf>
    <xf numFmtId="0" fontId="96" fillId="0" borderId="0" xfId="0" applyFont="1" applyAlignment="1">
      <alignment horizontal="center" vertical="center"/>
    </xf>
    <xf numFmtId="0" fontId="98" fillId="0" borderId="0" xfId="0" applyFont="1" applyAlignment="1">
      <alignment horizontal="center" vertical="center"/>
    </xf>
    <xf numFmtId="0" fontId="97" fillId="0" borderId="14" xfId="0" applyFont="1" applyBorder="1" applyAlignment="1">
      <alignment horizontal="center" vertical="center"/>
    </xf>
    <xf numFmtId="0" fontId="98" fillId="0" borderId="14" xfId="0" applyFont="1" applyBorder="1" applyAlignment="1">
      <alignment horizontal="center" vertical="center"/>
    </xf>
    <xf numFmtId="0" fontId="0" fillId="12" borderId="5" xfId="0" applyFill="1" applyBorder="1" applyAlignment="1">
      <alignment vertical="center"/>
    </xf>
    <xf numFmtId="0" fontId="0" fillId="12" borderId="13" xfId="0" applyFill="1" applyBorder="1" applyAlignment="1">
      <alignment horizontal="center" vertical="center"/>
    </xf>
    <xf numFmtId="0" fontId="0" fillId="12" borderId="9" xfId="0" applyFill="1" applyBorder="1" applyAlignment="1">
      <alignment horizontal="center" vertical="center"/>
    </xf>
    <xf numFmtId="0" fontId="99" fillId="0" borderId="1" xfId="0" applyFont="1" applyBorder="1" applyAlignment="1">
      <alignment horizontal="center" vertical="center"/>
    </xf>
    <xf numFmtId="0" fontId="0" fillId="21" borderId="4" xfId="0" applyFill="1" applyBorder="1" applyAlignment="1">
      <alignment vertical="center"/>
    </xf>
    <xf numFmtId="0" fontId="0" fillId="21" borderId="6" xfId="0" applyFill="1" applyBorder="1" applyAlignment="1">
      <alignment vertical="center"/>
    </xf>
    <xf numFmtId="0" fontId="0" fillId="21" borderId="7" xfId="0" applyFill="1" applyBorder="1" applyAlignment="1">
      <alignment vertical="center"/>
    </xf>
    <xf numFmtId="0" fontId="99" fillId="10" borderId="1" xfId="0" applyFont="1" applyFill="1" applyBorder="1" applyAlignment="1">
      <alignment horizontal="center" vertical="center"/>
    </xf>
    <xf numFmtId="0" fontId="100" fillId="10" borderId="1" xfId="0" applyFont="1" applyFill="1" applyBorder="1"/>
    <xf numFmtId="0" fontId="100" fillId="10" borderId="1" xfId="0" applyFont="1" applyFill="1" applyBorder="1" applyAlignment="1">
      <alignment vertical="center"/>
    </xf>
    <xf numFmtId="0" fontId="84" fillId="12" borderId="1" xfId="0" applyFont="1" applyFill="1" applyBorder="1" applyAlignment="1">
      <alignment horizontal="center" vertical="center"/>
    </xf>
    <xf numFmtId="1" fontId="54" fillId="4" borderId="1" xfId="0" applyNumberFormat="1" applyFont="1" applyFill="1" applyBorder="1" applyAlignment="1">
      <alignment horizontal="center" vertical="center"/>
    </xf>
    <xf numFmtId="44" fontId="41" fillId="4" borderId="1" xfId="0" applyNumberFormat="1" applyFont="1" applyFill="1" applyBorder="1" applyAlignment="1">
      <alignment horizontal="center" vertical="center"/>
    </xf>
    <xf numFmtId="0" fontId="41" fillId="4" borderId="4" xfId="0" applyFont="1" applyFill="1" applyBorder="1" applyAlignment="1">
      <alignment horizontal="left" vertical="center" wrapText="1"/>
    </xf>
    <xf numFmtId="0" fontId="59" fillId="13" borderId="1" xfId="0" applyFont="1" applyFill="1" applyBorder="1" applyAlignment="1">
      <alignment horizontal="center" vertical="center"/>
    </xf>
    <xf numFmtId="44" fontId="59" fillId="13" borderId="1" xfId="0" applyNumberFormat="1" applyFont="1" applyFill="1" applyBorder="1" applyAlignment="1">
      <alignment vertical="center"/>
    </xf>
    <xf numFmtId="0" fontId="40" fillId="0" borderId="0" xfId="0" applyFont="1"/>
    <xf numFmtId="0" fontId="73" fillId="0" borderId="0" xfId="0" applyFont="1"/>
    <xf numFmtId="0" fontId="119" fillId="11" borderId="0" xfId="0" applyFont="1" applyFill="1"/>
    <xf numFmtId="43" fontId="0" fillId="0" borderId="0" xfId="533" applyFont="1" applyAlignment="1">
      <alignment horizontal="center"/>
    </xf>
    <xf numFmtId="43" fontId="0" fillId="0" borderId="0" xfId="0" applyNumberFormat="1"/>
    <xf numFmtId="43" fontId="0" fillId="0" borderId="0" xfId="533" applyFont="1"/>
    <xf numFmtId="0" fontId="95" fillId="0" borderId="0" xfId="0" applyFont="1" applyAlignment="1">
      <alignment vertical="center"/>
    </xf>
    <xf numFmtId="0" fontId="95" fillId="0" borderId="0" xfId="0" applyFont="1" applyAlignment="1">
      <alignment horizontal="center" vertical="center"/>
    </xf>
    <xf numFmtId="0" fontId="120" fillId="0" borderId="1" xfId="0" applyFont="1" applyBorder="1" applyAlignment="1">
      <alignment horizontal="center" vertical="center"/>
    </xf>
    <xf numFmtId="0" fontId="121" fillId="18" borderId="1" xfId="0" applyFont="1" applyFill="1" applyBorder="1" applyAlignment="1">
      <alignment horizontal="center" vertical="center"/>
    </xf>
    <xf numFmtId="0" fontId="122" fillId="21" borderId="1" xfId="0" applyFont="1" applyFill="1" applyBorder="1" applyAlignment="1">
      <alignment horizontal="center" vertical="center"/>
    </xf>
    <xf numFmtId="0" fontId="123" fillId="18" borderId="1" xfId="0" applyFont="1" applyFill="1" applyBorder="1" applyAlignment="1">
      <alignment horizontal="center" vertical="center"/>
    </xf>
    <xf numFmtId="0" fontId="124" fillId="0" borderId="1" xfId="0" applyFont="1" applyBorder="1" applyAlignment="1">
      <alignment horizontal="center" vertical="center"/>
    </xf>
    <xf numFmtId="0" fontId="0" fillId="11" borderId="0" xfId="0" applyFill="1" applyAlignment="1">
      <alignment horizontal="center"/>
    </xf>
    <xf numFmtId="44" fontId="71" fillId="7" borderId="1" xfId="4" applyFont="1" applyFill="1" applyBorder="1" applyAlignment="1">
      <alignment horizontal="center" vertical="center"/>
    </xf>
    <xf numFmtId="44" fontId="71" fillId="21" borderId="1" xfId="4" applyFont="1" applyFill="1" applyBorder="1" applyAlignment="1">
      <alignment horizontal="center" vertical="center"/>
    </xf>
    <xf numFmtId="44" fontId="71" fillId="22" borderId="1" xfId="4" applyFont="1" applyFill="1" applyBorder="1" applyAlignment="1">
      <alignment horizontal="center" vertical="center"/>
    </xf>
    <xf numFmtId="0" fontId="31" fillId="0" borderId="1" xfId="0" applyFont="1" applyBorder="1" applyAlignment="1">
      <alignment horizontal="left" vertical="center"/>
    </xf>
    <xf numFmtId="0" fontId="26" fillId="0" borderId="4" xfId="0" applyFont="1" applyBorder="1" applyAlignment="1">
      <alignment horizontal="center" vertical="center"/>
    </xf>
    <xf numFmtId="0" fontId="31" fillId="4" borderId="1" xfId="0" applyFont="1" applyFill="1" applyBorder="1" applyAlignment="1">
      <alignment horizontal="left" vertical="center"/>
    </xf>
    <xf numFmtId="0" fontId="31" fillId="4" borderId="4" xfId="0" applyFont="1" applyFill="1" applyBorder="1" applyAlignment="1">
      <alignment horizontal="left" vertical="center"/>
    </xf>
    <xf numFmtId="0" fontId="31" fillId="4" borderId="1" xfId="0" applyFont="1" applyFill="1" applyBorder="1" applyAlignment="1">
      <alignment horizontal="justify" vertical="center" wrapText="1"/>
    </xf>
    <xf numFmtId="0" fontId="31" fillId="0" borderId="0" xfId="0" applyFont="1" applyAlignment="1">
      <alignment vertical="center"/>
    </xf>
    <xf numFmtId="0" fontId="31" fillId="0" borderId="1" xfId="0" applyFont="1" applyBorder="1" applyAlignment="1">
      <alignment vertical="center"/>
    </xf>
    <xf numFmtId="0" fontId="73" fillId="0" borderId="0" xfId="0" applyFont="1" applyAlignment="1">
      <alignment horizontal="center" vertical="center"/>
    </xf>
    <xf numFmtId="0" fontId="63" fillId="10" borderId="1" xfId="125" applyFont="1" applyFill="1" applyBorder="1" applyAlignment="1">
      <alignment horizontal="center" vertical="center" wrapText="1"/>
    </xf>
    <xf numFmtId="0" fontId="54" fillId="4" borderId="4" xfId="0" applyFont="1" applyFill="1" applyBorder="1" applyAlignment="1">
      <alignment horizontal="center" vertical="center"/>
    </xf>
    <xf numFmtId="0" fontId="59" fillId="5" borderId="6" xfId="0" applyFont="1" applyFill="1" applyBorder="1" applyAlignment="1">
      <alignment horizontal="center" vertical="center"/>
    </xf>
    <xf numFmtId="0" fontId="41" fillId="4" borderId="8" xfId="0" applyFont="1" applyFill="1" applyBorder="1" applyAlignment="1">
      <alignment horizontal="left" vertical="center" wrapText="1"/>
    </xf>
    <xf numFmtId="0" fontId="49" fillId="5" borderId="1" xfId="0" applyFont="1" applyFill="1" applyBorder="1" applyAlignment="1">
      <alignment horizontal="center" vertical="center"/>
    </xf>
    <xf numFmtId="0" fontId="41" fillId="0" borderId="3" xfId="0" applyFont="1" applyBorder="1" applyAlignment="1">
      <alignment horizontal="left" vertical="center" wrapText="1"/>
    </xf>
    <xf numFmtId="0" fontId="54" fillId="0" borderId="1" xfId="0" applyFont="1" applyBorder="1" applyAlignment="1">
      <alignment horizontal="center" vertical="center"/>
    </xf>
    <xf numFmtId="0" fontId="41" fillId="4" borderId="2" xfId="0" applyFont="1" applyFill="1" applyBorder="1" applyAlignment="1">
      <alignment horizontal="left" vertical="center" wrapText="1"/>
    </xf>
    <xf numFmtId="0" fontId="59" fillId="5" borderId="7" xfId="0" applyFont="1" applyFill="1" applyBorder="1" applyAlignment="1">
      <alignment horizontal="center" vertical="center"/>
    </xf>
    <xf numFmtId="0" fontId="54" fillId="0" borderId="4" xfId="0" applyFont="1" applyBorder="1" applyAlignment="1">
      <alignment horizontal="center" vertical="center"/>
    </xf>
    <xf numFmtId="0" fontId="54" fillId="0" borderId="6" xfId="0" applyFont="1" applyBorder="1" applyAlignment="1">
      <alignment horizontal="center" vertical="center"/>
    </xf>
    <xf numFmtId="0" fontId="0" fillId="0" borderId="1" xfId="0" applyBorder="1" applyAlignment="1">
      <alignment horizontal="center" vertical="center"/>
    </xf>
    <xf numFmtId="0" fontId="40" fillId="12" borderId="3" xfId="0" applyFont="1" applyFill="1" applyBorder="1" applyAlignment="1">
      <alignment horizontal="center" vertical="center"/>
    </xf>
    <xf numFmtId="0" fontId="40" fillId="21" borderId="1" xfId="0" applyFont="1" applyFill="1" applyBorder="1" applyAlignment="1">
      <alignment horizontal="center" vertical="center"/>
    </xf>
    <xf numFmtId="0" fontId="94" fillId="18" borderId="1" xfId="0" applyFont="1" applyFill="1" applyBorder="1" applyAlignment="1">
      <alignment horizontal="center" vertical="center"/>
    </xf>
    <xf numFmtId="0" fontId="65" fillId="0" borderId="14" xfId="0" applyFont="1" applyBorder="1" applyAlignment="1">
      <alignment horizontal="center" vertical="center"/>
    </xf>
    <xf numFmtId="0" fontId="65" fillId="0" borderId="0" xfId="0" applyFont="1" applyAlignment="1">
      <alignment horizontal="center" vertical="center"/>
    </xf>
    <xf numFmtId="4" fontId="45" fillId="31" borderId="1" xfId="5" applyNumberFormat="1" applyFont="1" applyFill="1" applyBorder="1" applyAlignment="1" applyProtection="1">
      <alignment horizontal="center" vertical="center"/>
      <protection locked="0"/>
    </xf>
    <xf numFmtId="4" fontId="12" fillId="31" borderId="1" xfId="5" applyNumberFormat="1" applyFont="1" applyFill="1" applyBorder="1" applyAlignment="1" applyProtection="1">
      <alignment horizontal="center" vertical="center"/>
      <protection locked="0"/>
    </xf>
    <xf numFmtId="10" fontId="12" fillId="31" borderId="1" xfId="524" applyNumberFormat="1" applyFont="1" applyFill="1" applyBorder="1" applyAlignment="1" applyProtection="1">
      <alignment horizontal="center" vertical="center"/>
      <protection locked="0"/>
    </xf>
    <xf numFmtId="0" fontId="108" fillId="31" borderId="32" xfId="0" applyFont="1" applyFill="1" applyBorder="1" applyAlignment="1" applyProtection="1">
      <alignment wrapText="1"/>
      <protection locked="0"/>
    </xf>
    <xf numFmtId="0" fontId="109" fillId="31" borderId="32" xfId="0" applyFont="1" applyFill="1" applyBorder="1" applyProtection="1">
      <protection locked="0"/>
    </xf>
    <xf numFmtId="168" fontId="108" fillId="31" borderId="32" xfId="0" applyNumberFormat="1" applyFont="1" applyFill="1" applyBorder="1" applyProtection="1">
      <protection locked="0"/>
    </xf>
    <xf numFmtId="0" fontId="104" fillId="31" borderId="32" xfId="0" applyFont="1" applyFill="1" applyBorder="1" applyProtection="1">
      <protection locked="0"/>
    </xf>
    <xf numFmtId="0" fontId="108" fillId="31" borderId="32" xfId="0" applyFont="1" applyFill="1" applyBorder="1" applyAlignment="1" applyProtection="1">
      <alignment vertical="center" wrapText="1"/>
      <protection locked="0"/>
    </xf>
    <xf numFmtId="168" fontId="108" fillId="31" borderId="32" xfId="0" applyNumberFormat="1" applyFont="1" applyFill="1" applyBorder="1" applyAlignment="1" applyProtection="1">
      <alignment vertical="center"/>
      <protection locked="0"/>
    </xf>
    <xf numFmtId="0" fontId="108" fillId="31" borderId="40" xfId="0" applyFont="1" applyFill="1" applyBorder="1" applyAlignment="1" applyProtection="1">
      <alignment vertical="center" wrapText="1"/>
      <protection locked="0"/>
    </xf>
    <xf numFmtId="168" fontId="108" fillId="31" borderId="36" xfId="0" applyNumberFormat="1" applyFont="1" applyFill="1" applyBorder="1" applyAlignment="1" applyProtection="1">
      <alignment vertical="center"/>
      <protection locked="0"/>
    </xf>
    <xf numFmtId="168" fontId="108" fillId="31" borderId="36" xfId="0" applyNumberFormat="1" applyFont="1" applyFill="1" applyBorder="1" applyProtection="1">
      <protection locked="0"/>
    </xf>
    <xf numFmtId="0" fontId="108" fillId="31" borderId="40" xfId="0" applyFont="1" applyFill="1" applyBorder="1" applyAlignment="1" applyProtection="1">
      <alignment wrapText="1"/>
      <protection locked="0"/>
    </xf>
    <xf numFmtId="0" fontId="109" fillId="31" borderId="32" xfId="0" applyFont="1" applyFill="1" applyBorder="1" applyAlignment="1" applyProtection="1">
      <alignment vertical="center"/>
      <protection locked="0"/>
    </xf>
    <xf numFmtId="0" fontId="113" fillId="31" borderId="1" xfId="74" applyFont="1" applyFill="1" applyBorder="1" applyAlignment="1" applyProtection="1">
      <alignment horizontal="center" vertical="center" wrapText="1"/>
      <protection locked="0"/>
    </xf>
    <xf numFmtId="44" fontId="113" fillId="31" borderId="1" xfId="6" applyFont="1" applyFill="1" applyBorder="1" applyAlignment="1" applyProtection="1">
      <alignment horizontal="center" vertical="center"/>
      <protection locked="0"/>
    </xf>
    <xf numFmtId="0" fontId="56" fillId="0" borderId="1" xfId="0" applyFont="1" applyBorder="1" applyAlignment="1">
      <alignment horizontal="center" vertical="center"/>
    </xf>
    <xf numFmtId="0" fontId="1" fillId="0" borderId="0" xfId="0" applyFont="1" applyAlignment="1">
      <alignment horizontal="center" vertical="center" wrapText="1"/>
    </xf>
    <xf numFmtId="0" fontId="41" fillId="0" borderId="0" xfId="0" applyFont="1" applyAlignment="1">
      <alignment horizontal="center"/>
    </xf>
    <xf numFmtId="0" fontId="49" fillId="5" borderId="1" xfId="0" applyFont="1" applyFill="1" applyBorder="1" applyAlignment="1">
      <alignment horizontal="center" vertical="center" wrapText="1"/>
    </xf>
    <xf numFmtId="0" fontId="66" fillId="0" borderId="31" xfId="0" applyFont="1" applyBorder="1" applyAlignment="1">
      <alignment vertical="center" wrapText="1"/>
    </xf>
    <xf numFmtId="0" fontId="41" fillId="0" borderId="1" xfId="0" applyFont="1" applyBorder="1" applyAlignment="1">
      <alignment horizontal="left" vertical="center"/>
    </xf>
    <xf numFmtId="1" fontId="41" fillId="0" borderId="1" xfId="4" applyNumberFormat="1" applyFont="1" applyFill="1" applyBorder="1" applyAlignment="1" applyProtection="1">
      <alignment horizontal="center" vertical="center"/>
    </xf>
    <xf numFmtId="0" fontId="41" fillId="0" borderId="8" xfId="0" applyFont="1" applyBorder="1" applyAlignment="1">
      <alignment horizontal="center" vertical="center"/>
    </xf>
    <xf numFmtId="44" fontId="55"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44" fontId="41" fillId="0" borderId="1" xfId="0" applyNumberFormat="1" applyFont="1" applyBorder="1" applyAlignment="1">
      <alignment horizontal="center" vertical="center" wrapText="1"/>
    </xf>
    <xf numFmtId="44" fontId="41" fillId="0" borderId="1" xfId="0" applyNumberFormat="1" applyFont="1" applyBorder="1" applyAlignment="1">
      <alignment horizontal="center" vertical="center"/>
    </xf>
    <xf numFmtId="0" fontId="41" fillId="0" borderId="1" xfId="0" applyFont="1" applyBorder="1" applyAlignment="1">
      <alignment horizontal="center" vertical="center"/>
    </xf>
    <xf numFmtId="44" fontId="51" fillId="5" borderId="1" xfId="0" applyNumberFormat="1" applyFont="1" applyFill="1" applyBorder="1" applyAlignment="1">
      <alignment horizontal="left" vertical="center"/>
    </xf>
    <xf numFmtId="44" fontId="51" fillId="5" borderId="1" xfId="0" applyNumberFormat="1" applyFont="1" applyFill="1" applyBorder="1" applyAlignment="1">
      <alignment horizontal="center" vertical="center"/>
    </xf>
    <xf numFmtId="1" fontId="51" fillId="5" borderId="1" xfId="0" applyNumberFormat="1" applyFont="1" applyFill="1" applyBorder="1" applyAlignment="1">
      <alignment horizontal="center" vertical="center"/>
    </xf>
    <xf numFmtId="0" fontId="51" fillId="5" borderId="7" xfId="0" applyFont="1" applyFill="1" applyBorder="1" applyAlignment="1">
      <alignment horizontal="center" vertical="center"/>
    </xf>
    <xf numFmtId="44" fontId="51" fillId="5" borderId="1" xfId="4" applyFont="1" applyFill="1" applyBorder="1" applyAlignment="1" applyProtection="1">
      <alignment horizontal="center" vertical="center" wrapText="1"/>
    </xf>
    <xf numFmtId="44" fontId="0" fillId="0" borderId="0" xfId="0" applyNumberFormat="1"/>
    <xf numFmtId="170" fontId="45" fillId="31" borderId="1" xfId="5" applyNumberFormat="1" applyFont="1" applyFill="1" applyBorder="1" applyAlignment="1" applyProtection="1">
      <alignment horizontal="center" vertical="center"/>
      <protection locked="0"/>
    </xf>
    <xf numFmtId="170" fontId="12" fillId="31" borderId="1" xfId="5" applyNumberFormat="1" applyFont="1" applyFill="1" applyBorder="1" applyAlignment="1" applyProtection="1">
      <alignment horizontal="center" vertical="center"/>
      <protection locked="0"/>
    </xf>
    <xf numFmtId="44" fontId="44" fillId="0" borderId="1" xfId="5" applyFont="1" applyFill="1" applyBorder="1" applyAlignment="1" applyProtection="1">
      <alignment horizontal="center" vertical="center" wrapText="1"/>
    </xf>
    <xf numFmtId="44" fontId="44" fillId="0" borderId="0" xfId="5" applyFont="1" applyFill="1" applyBorder="1" applyAlignment="1" applyProtection="1">
      <alignment horizontal="center" vertical="center" wrapText="1"/>
    </xf>
    <xf numFmtId="44" fontId="44" fillId="14" borderId="1" xfId="5" applyFont="1" applyFill="1" applyBorder="1" applyAlignment="1" applyProtection="1">
      <alignment horizontal="center" vertical="center" wrapText="1"/>
    </xf>
    <xf numFmtId="0" fontId="44" fillId="14" borderId="1" xfId="5" applyNumberFormat="1" applyFont="1" applyFill="1" applyBorder="1" applyAlignment="1" applyProtection="1">
      <alignment horizontal="center" vertical="center"/>
    </xf>
    <xf numFmtId="0" fontId="44" fillId="0" borderId="1" xfId="5" applyNumberFormat="1" applyFont="1" applyFill="1" applyBorder="1" applyAlignment="1" applyProtection="1">
      <alignment horizontal="center" vertical="center"/>
    </xf>
    <xf numFmtId="0" fontId="75" fillId="0" borderId="0" xfId="5" applyNumberFormat="1" applyFont="1" applyFill="1" applyBorder="1" applyAlignment="1" applyProtection="1">
      <alignment horizontal="center" vertical="center"/>
    </xf>
    <xf numFmtId="0" fontId="11" fillId="14" borderId="1" xfId="5" applyNumberFormat="1" applyFont="1" applyFill="1" applyBorder="1" applyAlignment="1" applyProtection="1">
      <alignment horizontal="center" vertical="center"/>
    </xf>
    <xf numFmtId="0" fontId="11" fillId="0" borderId="1" xfId="5" applyNumberFormat="1" applyFont="1" applyFill="1" applyBorder="1" applyAlignment="1" applyProtection="1">
      <alignment horizontal="center" vertical="center"/>
    </xf>
    <xf numFmtId="0" fontId="11" fillId="0" borderId="0" xfId="5" applyNumberFormat="1" applyFont="1" applyFill="1" applyBorder="1" applyAlignment="1" applyProtection="1">
      <alignment horizontal="center" vertical="center"/>
    </xf>
    <xf numFmtId="0" fontId="44" fillId="16" borderId="1" xfId="5" applyNumberFormat="1" applyFont="1" applyFill="1" applyBorder="1" applyAlignment="1" applyProtection="1">
      <alignment horizontal="center" vertical="center"/>
    </xf>
    <xf numFmtId="0" fontId="44" fillId="17" borderId="1" xfId="5" applyNumberFormat="1" applyFont="1" applyFill="1" applyBorder="1" applyAlignment="1" applyProtection="1">
      <alignment horizontal="center" vertical="center"/>
    </xf>
    <xf numFmtId="0" fontId="44" fillId="20" borderId="1" xfId="5" applyNumberFormat="1" applyFont="1" applyFill="1" applyBorder="1" applyAlignment="1" applyProtection="1">
      <alignment horizontal="center" vertical="center"/>
    </xf>
    <xf numFmtId="0" fontId="44" fillId="18" borderId="1" xfId="5" applyNumberFormat="1" applyFont="1" applyFill="1" applyBorder="1" applyAlignment="1" applyProtection="1">
      <alignment horizontal="center" vertical="center"/>
    </xf>
    <xf numFmtId="0" fontId="44" fillId="9" borderId="1" xfId="5" applyNumberFormat="1" applyFont="1" applyFill="1" applyBorder="1" applyAlignment="1" applyProtection="1">
      <alignment horizontal="center" vertical="center"/>
    </xf>
    <xf numFmtId="0" fontId="44" fillId="19" borderId="1" xfId="5" applyNumberFormat="1" applyFont="1" applyFill="1" applyBorder="1" applyAlignment="1" applyProtection="1">
      <alignment horizontal="center" vertical="center"/>
    </xf>
    <xf numFmtId="39" fontId="11" fillId="14" borderId="1" xfId="534" applyNumberFormat="1" applyFont="1" applyFill="1" applyBorder="1" applyAlignment="1" applyProtection="1">
      <alignment horizontal="center" vertical="center"/>
    </xf>
    <xf numFmtId="39" fontId="11" fillId="0" borderId="1" xfId="534" applyNumberFormat="1" applyFont="1" applyFill="1" applyBorder="1" applyAlignment="1" applyProtection="1">
      <alignment horizontal="center" vertical="center"/>
    </xf>
    <xf numFmtId="0" fontId="44" fillId="0" borderId="1" xfId="5" applyNumberFormat="1" applyFont="1" applyFill="1" applyBorder="1" applyAlignment="1" applyProtection="1">
      <alignment horizontal="center" vertical="center" wrapText="1"/>
    </xf>
    <xf numFmtId="14" fontId="44" fillId="14" borderId="1" xfId="5" applyNumberFormat="1" applyFont="1" applyFill="1" applyBorder="1" applyAlignment="1" applyProtection="1">
      <alignment horizontal="center" vertical="center"/>
    </xf>
    <xf numFmtId="14" fontId="44" fillId="0" borderId="1" xfId="5" applyNumberFormat="1" applyFont="1" applyFill="1" applyBorder="1" applyAlignment="1" applyProtection="1">
      <alignment horizontal="center" vertical="center"/>
    </xf>
    <xf numFmtId="44" fontId="45" fillId="16" borderId="1" xfId="5" applyFont="1" applyFill="1" applyBorder="1" applyAlignment="1" applyProtection="1">
      <alignment horizontal="center" vertical="center"/>
    </xf>
    <xf numFmtId="44" fontId="45" fillId="17" borderId="1" xfId="5" applyFont="1" applyFill="1" applyBorder="1" applyAlignment="1" applyProtection="1">
      <alignment horizontal="center" vertical="center"/>
    </xf>
    <xf numFmtId="44" fontId="45" fillId="20" borderId="1" xfId="5" applyFont="1" applyFill="1" applyBorder="1" applyAlignment="1" applyProtection="1">
      <alignment horizontal="center" vertical="center"/>
    </xf>
    <xf numFmtId="44" fontId="45" fillId="18" borderId="1" xfId="5" applyFont="1" applyFill="1" applyBorder="1" applyAlignment="1" applyProtection="1">
      <alignment horizontal="center" vertical="center"/>
    </xf>
    <xf numFmtId="44" fontId="45" fillId="9" borderId="1" xfId="5" applyFont="1" applyFill="1" applyBorder="1" applyAlignment="1" applyProtection="1">
      <alignment horizontal="center" vertical="center"/>
    </xf>
    <xf numFmtId="44" fontId="45" fillId="19" borderId="1" xfId="5" applyFont="1" applyFill="1" applyBorder="1" applyAlignment="1" applyProtection="1">
      <alignment horizontal="center" vertical="center"/>
    </xf>
    <xf numFmtId="4" fontId="44" fillId="0" borderId="1" xfId="5" applyNumberFormat="1" applyFont="1" applyFill="1" applyBorder="1" applyAlignment="1" applyProtection="1">
      <alignment horizontal="center" vertical="center"/>
    </xf>
    <xf numFmtId="4" fontId="44" fillId="10" borderId="1" xfId="5" applyNumberFormat="1" applyFont="1" applyFill="1" applyBorder="1" applyAlignment="1" applyProtection="1">
      <alignment horizontal="center" vertical="center"/>
    </xf>
    <xf numFmtId="4" fontId="44" fillId="0" borderId="1" xfId="5" applyNumberFormat="1" applyFont="1" applyBorder="1" applyAlignment="1" applyProtection="1">
      <alignment horizontal="center" vertical="center"/>
    </xf>
    <xf numFmtId="4" fontId="45" fillId="4" borderId="1" xfId="5" applyNumberFormat="1" applyFont="1" applyFill="1" applyBorder="1" applyAlignment="1" applyProtection="1">
      <alignment horizontal="center" vertical="center"/>
    </xf>
    <xf numFmtId="44" fontId="45" fillId="0" borderId="0" xfId="5" applyFont="1" applyFill="1" applyBorder="1" applyAlignment="1" applyProtection="1">
      <alignment horizontal="center" vertical="center"/>
    </xf>
    <xf numFmtId="44" fontId="45" fillId="3" borderId="0" xfId="5" applyFont="1" applyFill="1" applyBorder="1" applyAlignment="1" applyProtection="1">
      <alignment horizontal="center" vertical="center"/>
    </xf>
    <xf numFmtId="43" fontId="44" fillId="0" borderId="1" xfId="5" applyNumberFormat="1" applyFont="1" applyFill="1" applyBorder="1" applyAlignment="1" applyProtection="1">
      <alignment vertical="center"/>
    </xf>
    <xf numFmtId="170" fontId="44" fillId="0" borderId="1" xfId="5" applyNumberFormat="1" applyFont="1" applyFill="1" applyBorder="1" applyAlignment="1" applyProtection="1">
      <alignment horizontal="center" vertical="center"/>
    </xf>
    <xf numFmtId="170" fontId="11" fillId="0" borderId="1" xfId="5" applyNumberFormat="1" applyFont="1" applyFill="1" applyBorder="1" applyAlignment="1" applyProtection="1">
      <alignment horizontal="center" vertical="center"/>
    </xf>
    <xf numFmtId="10" fontId="44" fillId="3" borderId="0" xfId="523" applyNumberFormat="1" applyFont="1" applyFill="1" applyAlignment="1" applyProtection="1">
      <alignment horizontal="center" vertical="center"/>
    </xf>
    <xf numFmtId="2" fontId="44" fillId="3" borderId="0" xfId="523" applyNumberFormat="1" applyFont="1" applyFill="1" applyAlignment="1" applyProtection="1">
      <alignment horizontal="center" vertical="center"/>
    </xf>
    <xf numFmtId="9" fontId="44" fillId="0" borderId="0" xfId="523" applyFont="1" applyAlignment="1" applyProtection="1">
      <alignment vertical="center"/>
    </xf>
    <xf numFmtId="44" fontId="45" fillId="4" borderId="1" xfId="5" applyFont="1" applyFill="1" applyBorder="1" applyAlignment="1" applyProtection="1">
      <alignment horizontal="center" vertical="center"/>
    </xf>
    <xf numFmtId="44" fontId="45" fillId="4" borderId="1" xfId="5" applyFont="1" applyFill="1" applyBorder="1" applyAlignment="1" applyProtection="1">
      <alignment vertical="center"/>
    </xf>
    <xf numFmtId="43" fontId="44" fillId="0" borderId="1" xfId="5" applyNumberFormat="1" applyFont="1" applyFill="1" applyBorder="1" applyAlignment="1" applyProtection="1">
      <alignment horizontal="center" vertical="center"/>
    </xf>
    <xf numFmtId="4" fontId="11" fillId="0" borderId="1" xfId="5" applyNumberFormat="1" applyFont="1" applyFill="1" applyBorder="1" applyAlignment="1" applyProtection="1">
      <alignment horizontal="center" vertical="center"/>
    </xf>
    <xf numFmtId="170" fontId="44" fillId="10" borderId="1" xfId="5" applyNumberFormat="1" applyFont="1" applyFill="1" applyBorder="1" applyAlignment="1" applyProtection="1">
      <alignment horizontal="center" vertical="center"/>
    </xf>
    <xf numFmtId="170" fontId="77" fillId="0" borderId="1" xfId="5" applyNumberFormat="1" applyFont="1" applyFill="1" applyBorder="1" applyAlignment="1" applyProtection="1">
      <alignment horizontal="center" vertical="center"/>
    </xf>
    <xf numFmtId="170" fontId="77" fillId="10" borderId="1" xfId="5" applyNumberFormat="1" applyFont="1" applyFill="1" applyBorder="1" applyAlignment="1" applyProtection="1">
      <alignment horizontal="center" vertical="center"/>
    </xf>
    <xf numFmtId="44" fontId="44" fillId="10" borderId="4" xfId="5" applyFont="1" applyFill="1" applyBorder="1" applyAlignment="1" applyProtection="1">
      <alignment vertical="center"/>
    </xf>
    <xf numFmtId="44" fontId="44" fillId="10" borderId="6" xfId="5" applyFont="1" applyFill="1" applyBorder="1" applyAlignment="1" applyProtection="1">
      <alignment vertical="center"/>
    </xf>
    <xf numFmtId="44" fontId="44" fillId="10" borderId="7" xfId="5" applyFont="1" applyFill="1" applyBorder="1" applyAlignment="1" applyProtection="1">
      <alignment vertical="center"/>
    </xf>
    <xf numFmtId="10" fontId="44" fillId="0" borderId="1" xfId="524" applyNumberFormat="1" applyFont="1" applyFill="1" applyBorder="1" applyAlignment="1" applyProtection="1">
      <alignment horizontal="center" vertical="center"/>
    </xf>
    <xf numFmtId="10" fontId="12" fillId="0" borderId="1" xfId="524" applyNumberFormat="1" applyFont="1" applyFill="1" applyBorder="1" applyAlignment="1" applyProtection="1">
      <alignment horizontal="center" vertical="center"/>
    </xf>
    <xf numFmtId="44" fontId="45" fillId="0" borderId="0" xfId="5" applyFont="1" applyBorder="1" applyAlignment="1" applyProtection="1">
      <alignment horizontal="center" vertical="center"/>
    </xf>
    <xf numFmtId="4" fontId="50" fillId="15" borderId="1" xfId="5" applyNumberFormat="1" applyFont="1" applyFill="1" applyBorder="1" applyAlignment="1" applyProtection="1">
      <alignment horizontal="center" vertical="center"/>
    </xf>
    <xf numFmtId="0" fontId="44" fillId="0" borderId="0" xfId="88" applyFont="1" applyAlignment="1">
      <alignment horizontal="center" vertical="center"/>
    </xf>
    <xf numFmtId="0" fontId="44" fillId="3" borderId="0" xfId="88" applyFont="1" applyFill="1" applyAlignment="1">
      <alignment vertical="center"/>
    </xf>
    <xf numFmtId="0" fontId="135" fillId="0" borderId="0" xfId="88" applyFont="1" applyAlignment="1">
      <alignment horizontal="left" vertical="center"/>
    </xf>
    <xf numFmtId="0" fontId="45" fillId="0" borderId="13" xfId="88" applyFont="1" applyBorder="1" applyAlignment="1">
      <alignment vertical="center" wrapText="1"/>
    </xf>
    <xf numFmtId="0" fontId="45" fillId="0" borderId="0" xfId="88" applyFont="1" applyAlignment="1">
      <alignment vertical="center"/>
    </xf>
    <xf numFmtId="0" fontId="45" fillId="0" borderId="0" xfId="88" applyFont="1" applyAlignment="1">
      <alignment horizontal="center" vertical="center"/>
    </xf>
    <xf numFmtId="0" fontId="45" fillId="4" borderId="1" xfId="88" applyFont="1" applyFill="1" applyBorder="1" applyAlignment="1">
      <alignment vertical="center"/>
    </xf>
    <xf numFmtId="0" fontId="44" fillId="0" borderId="1" xfId="88" applyFont="1" applyBorder="1" applyAlignment="1">
      <alignment horizontal="center" vertical="center"/>
    </xf>
    <xf numFmtId="0" fontId="44" fillId="0" borderId="1" xfId="88" applyFont="1" applyBorder="1" applyAlignment="1">
      <alignment horizontal="left" vertical="center"/>
    </xf>
    <xf numFmtId="14" fontId="45" fillId="0" borderId="1" xfId="88" applyNumberFormat="1" applyFont="1" applyBorder="1" applyAlignment="1">
      <alignment horizontal="center" vertical="center"/>
    </xf>
    <xf numFmtId="14" fontId="45" fillId="0" borderId="4" xfId="88" applyNumberFormat="1" applyFont="1" applyBorder="1" applyAlignment="1">
      <alignment horizontal="center" vertical="center"/>
    </xf>
    <xf numFmtId="14" fontId="45" fillId="0" borderId="0" xfId="88" applyNumberFormat="1" applyFont="1" applyAlignment="1">
      <alignment horizontal="center" vertical="center"/>
    </xf>
    <xf numFmtId="44" fontId="44" fillId="14" borderId="1" xfId="88" applyNumberFormat="1" applyFont="1" applyFill="1" applyBorder="1" applyAlignment="1">
      <alignment horizontal="center" vertical="center"/>
    </xf>
    <xf numFmtId="0" fontId="75" fillId="0" borderId="0" xfId="88" applyFont="1" applyAlignment="1">
      <alignment horizontal="center" vertical="center"/>
    </xf>
    <xf numFmtId="0" fontId="12" fillId="16" borderId="1" xfId="88" applyFont="1" applyFill="1" applyBorder="1" applyAlignment="1">
      <alignment horizontal="center" vertical="center" wrapText="1"/>
    </xf>
    <xf numFmtId="0" fontId="12" fillId="17" borderId="1" xfId="88" applyFont="1" applyFill="1" applyBorder="1" applyAlignment="1">
      <alignment horizontal="center" vertical="center" wrapText="1"/>
    </xf>
    <xf numFmtId="0" fontId="12" fillId="20" borderId="1" xfId="88" applyFont="1" applyFill="1" applyBorder="1" applyAlignment="1">
      <alignment horizontal="center" vertical="center" wrapText="1"/>
    </xf>
    <xf numFmtId="0" fontId="12" fillId="18" borderId="1" xfId="88" applyFont="1" applyFill="1" applyBorder="1" applyAlignment="1">
      <alignment horizontal="center" vertical="center" wrapText="1"/>
    </xf>
    <xf numFmtId="0" fontId="12" fillId="9" borderId="1" xfId="88" applyFont="1" applyFill="1" applyBorder="1" applyAlignment="1">
      <alignment horizontal="center" vertical="center" wrapText="1"/>
    </xf>
    <xf numFmtId="0" fontId="12" fillId="19" borderId="1" xfId="88" applyFont="1" applyFill="1" applyBorder="1" applyAlignment="1">
      <alignment horizontal="center" vertical="center" wrapText="1"/>
    </xf>
    <xf numFmtId="0" fontId="11" fillId="3" borderId="0" xfId="88" applyFont="1" applyFill="1" applyAlignment="1">
      <alignment vertical="center"/>
    </xf>
    <xf numFmtId="0" fontId="11" fillId="0" borderId="0" xfId="88" applyFont="1" applyAlignment="1">
      <alignment vertical="center"/>
    </xf>
    <xf numFmtId="14" fontId="44" fillId="0" borderId="1" xfId="88" applyNumberFormat="1" applyFont="1" applyBorder="1" applyAlignment="1">
      <alignment horizontal="center" vertical="center" wrapText="1"/>
    </xf>
    <xf numFmtId="0" fontId="11" fillId="0" borderId="1" xfId="88" applyFont="1" applyBorder="1" applyAlignment="1">
      <alignment horizontal="center" vertical="center" wrapText="1"/>
    </xf>
    <xf numFmtId="0" fontId="78" fillId="0" borderId="13" xfId="88" applyFont="1" applyBorder="1" applyAlignment="1">
      <alignment horizontal="center" vertical="center"/>
    </xf>
    <xf numFmtId="0" fontId="78" fillId="0" borderId="0" xfId="88" applyFont="1" applyAlignment="1">
      <alignment horizontal="center" vertical="center"/>
    </xf>
    <xf numFmtId="0" fontId="78" fillId="3" borderId="0" xfId="88" applyFont="1" applyFill="1" applyAlignment="1">
      <alignment vertical="center"/>
    </xf>
    <xf numFmtId="0" fontId="78" fillId="0" borderId="0" xfId="88" applyFont="1" applyAlignment="1">
      <alignment vertical="center"/>
    </xf>
    <xf numFmtId="0" fontId="78" fillId="0" borderId="11" xfId="88" applyFont="1" applyBorder="1" applyAlignment="1">
      <alignment horizontal="center" vertical="center"/>
    </xf>
    <xf numFmtId="0" fontId="90" fillId="5" borderId="4" xfId="88" applyFont="1" applyFill="1" applyBorder="1" applyAlignment="1">
      <alignment vertical="center"/>
    </xf>
    <xf numFmtId="0" fontId="90" fillId="5" borderId="6" xfId="88" applyFont="1" applyFill="1" applyBorder="1" applyAlignment="1">
      <alignment vertical="center"/>
    </xf>
    <xf numFmtId="0" fontId="90" fillId="5" borderId="7" xfId="88" applyFont="1" applyFill="1" applyBorder="1" applyAlignment="1">
      <alignment vertical="center"/>
    </xf>
    <xf numFmtId="0" fontId="48" fillId="0" borderId="0" xfId="88" applyFont="1" applyAlignment="1">
      <alignment horizontal="center" vertical="center"/>
    </xf>
    <xf numFmtId="0" fontId="45" fillId="0" borderId="4" xfId="88" applyFont="1" applyBorder="1" applyAlignment="1">
      <alignment vertical="center"/>
    </xf>
    <xf numFmtId="0" fontId="45" fillId="0" borderId="6" xfId="88" applyFont="1" applyBorder="1" applyAlignment="1">
      <alignment vertical="center"/>
    </xf>
    <xf numFmtId="0" fontId="45" fillId="0" borderId="7" xfId="88" applyFont="1" applyBorder="1" applyAlignment="1">
      <alignment vertical="center"/>
    </xf>
    <xf numFmtId="0" fontId="11" fillId="0" borderId="0" xfId="88" applyFont="1" applyAlignment="1">
      <alignment horizontal="center" vertical="center"/>
    </xf>
    <xf numFmtId="0" fontId="11" fillId="0" borderId="0" xfId="88" applyFont="1" applyAlignment="1">
      <alignment horizontal="left" vertical="center"/>
    </xf>
    <xf numFmtId="14" fontId="12" fillId="0" borderId="0" xfId="88" applyNumberFormat="1" applyFont="1" applyAlignment="1">
      <alignment horizontal="center" vertical="center"/>
    </xf>
    <xf numFmtId="0" fontId="133" fillId="0" borderId="0" xfId="88" applyFont="1" applyAlignment="1">
      <alignment horizontal="center" vertical="center"/>
    </xf>
    <xf numFmtId="0" fontId="45" fillId="4" borderId="4" xfId="88" applyFont="1" applyFill="1" applyBorder="1" applyAlignment="1">
      <alignment vertical="center"/>
    </xf>
    <xf numFmtId="0" fontId="45" fillId="4" borderId="6" xfId="88" applyFont="1" applyFill="1" applyBorder="1" applyAlignment="1">
      <alignment vertical="center"/>
    </xf>
    <xf numFmtId="0" fontId="45" fillId="4" borderId="7" xfId="88" applyFont="1" applyFill="1" applyBorder="1" applyAlignment="1">
      <alignment vertical="center"/>
    </xf>
    <xf numFmtId="0" fontId="45" fillId="0" borderId="1" xfId="88" applyFont="1" applyBorder="1" applyAlignment="1">
      <alignment horizontal="center" vertical="center"/>
    </xf>
    <xf numFmtId="0" fontId="45" fillId="0" borderId="1" xfId="88" applyFont="1" applyBorder="1" applyAlignment="1">
      <alignment horizontal="left" vertical="center"/>
    </xf>
    <xf numFmtId="0" fontId="45" fillId="3" borderId="0" xfId="88" applyFont="1" applyFill="1" applyAlignment="1">
      <alignment vertical="center"/>
    </xf>
    <xf numFmtId="0" fontId="11" fillId="0" borderId="1" xfId="88" applyFont="1" applyBorder="1" applyAlignment="1">
      <alignment horizontal="left" vertical="center"/>
    </xf>
    <xf numFmtId="4" fontId="44" fillId="10" borderId="1" xfId="88" applyNumberFormat="1" applyFont="1" applyFill="1" applyBorder="1" applyAlignment="1">
      <alignment horizontal="center" vertical="center"/>
    </xf>
    <xf numFmtId="4" fontId="44" fillId="0" borderId="1" xfId="88" applyNumberFormat="1" applyFont="1" applyBorder="1" applyAlignment="1">
      <alignment horizontal="center" vertical="center"/>
    </xf>
    <xf numFmtId="0" fontId="12" fillId="4" borderId="4" xfId="88" applyFont="1" applyFill="1" applyBorder="1" applyAlignment="1">
      <alignment vertical="center"/>
    </xf>
    <xf numFmtId="0" fontId="12" fillId="4" borderId="6" xfId="88" applyFont="1" applyFill="1" applyBorder="1" applyAlignment="1">
      <alignment vertical="center"/>
    </xf>
    <xf numFmtId="0" fontId="12" fillId="4" borderId="7" xfId="88" applyFont="1" applyFill="1" applyBorder="1" applyAlignment="1">
      <alignment vertical="center"/>
    </xf>
    <xf numFmtId="0" fontId="10" fillId="4" borderId="4" xfId="88" applyFont="1" applyFill="1" applyBorder="1" applyAlignment="1">
      <alignment vertical="center"/>
    </xf>
    <xf numFmtId="0" fontId="10" fillId="4" borderId="6" xfId="88" applyFont="1" applyFill="1" applyBorder="1" applyAlignment="1">
      <alignment vertical="center"/>
    </xf>
    <xf numFmtId="0" fontId="10" fillId="4" borderId="7" xfId="88" applyFont="1" applyFill="1" applyBorder="1" applyAlignment="1">
      <alignment vertical="center"/>
    </xf>
    <xf numFmtId="0" fontId="44" fillId="3" borderId="1" xfId="88" applyFont="1" applyFill="1" applyBorder="1" applyAlignment="1">
      <alignment horizontal="center" vertical="center"/>
    </xf>
    <xf numFmtId="0" fontId="44" fillId="3" borderId="1" xfId="88" applyFont="1" applyFill="1" applyBorder="1" applyAlignment="1">
      <alignment horizontal="left" vertical="center"/>
    </xf>
    <xf numFmtId="9" fontId="44" fillId="3" borderId="0" xfId="88" applyNumberFormat="1" applyFont="1" applyFill="1" applyAlignment="1">
      <alignment vertical="center"/>
    </xf>
    <xf numFmtId="0" fontId="45" fillId="0" borderId="0" xfId="88" applyFont="1" applyAlignment="1">
      <alignment horizontal="right" vertical="center"/>
    </xf>
    <xf numFmtId="10" fontId="45" fillId="3" borderId="0" xfId="88" applyNumberFormat="1" applyFont="1" applyFill="1" applyAlignment="1">
      <alignment horizontal="center" vertical="center"/>
    </xf>
    <xf numFmtId="0" fontId="44" fillId="0" borderId="4" xfId="88" applyFont="1" applyBorder="1" applyAlignment="1">
      <alignment horizontal="left" vertical="center"/>
    </xf>
    <xf numFmtId="0" fontId="44" fillId="0" borderId="6" xfId="88" applyFont="1" applyBorder="1" applyAlignment="1">
      <alignment horizontal="left" vertical="center"/>
    </xf>
    <xf numFmtId="0" fontId="44" fillId="0" borderId="7" xfId="88" applyFont="1" applyBorder="1" applyAlignment="1">
      <alignment horizontal="left" vertical="center"/>
    </xf>
    <xf numFmtId="0" fontId="74" fillId="0" borderId="1" xfId="88" applyFont="1" applyBorder="1" applyAlignment="1">
      <alignment horizontal="left" vertical="center"/>
    </xf>
    <xf numFmtId="0" fontId="45" fillId="0" borderId="11" xfId="88" applyFont="1" applyBorder="1" applyAlignment="1">
      <alignment vertical="center"/>
    </xf>
    <xf numFmtId="44" fontId="44" fillId="3" borderId="0" xfId="88" applyNumberFormat="1" applyFont="1" applyFill="1" applyAlignment="1">
      <alignment vertical="center"/>
    </xf>
    <xf numFmtId="165" fontId="44" fillId="3" borderId="0" xfId="88" applyNumberFormat="1" applyFont="1" applyFill="1" applyAlignment="1">
      <alignment vertical="center"/>
    </xf>
    <xf numFmtId="0" fontId="12" fillId="0" borderId="1" xfId="88" applyFont="1" applyBorder="1" applyAlignment="1">
      <alignment horizontal="center" vertical="center"/>
    </xf>
    <xf numFmtId="0" fontId="11" fillId="0" borderId="1" xfId="88" applyFont="1" applyBorder="1" applyAlignment="1">
      <alignment horizontal="center" vertical="center"/>
    </xf>
    <xf numFmtId="0" fontId="11" fillId="3" borderId="1" xfId="88" applyFont="1" applyFill="1" applyBorder="1" applyAlignment="1">
      <alignment horizontal="center" vertical="center"/>
    </xf>
    <xf numFmtId="0" fontId="76" fillId="0" borderId="0" xfId="88" applyFont="1" applyAlignment="1">
      <alignment vertical="center"/>
    </xf>
    <xf numFmtId="0" fontId="76" fillId="0" borderId="0" xfId="88" applyFont="1" applyAlignment="1">
      <alignment horizontal="right" vertical="center"/>
    </xf>
    <xf numFmtId="0" fontId="76" fillId="0" borderId="0" xfId="88" applyFont="1" applyAlignment="1">
      <alignment horizontal="center" vertical="center"/>
    </xf>
    <xf numFmtId="0" fontId="76" fillId="3" borderId="0" xfId="88" applyFont="1" applyFill="1" applyAlignment="1">
      <alignment vertical="center"/>
    </xf>
    <xf numFmtId="10" fontId="44" fillId="3" borderId="0" xfId="88" applyNumberFormat="1" applyFont="1" applyFill="1" applyAlignment="1">
      <alignment vertical="center"/>
    </xf>
    <xf numFmtId="0" fontId="44" fillId="10" borderId="1" xfId="88" applyFont="1" applyFill="1" applyBorder="1" applyAlignment="1">
      <alignment horizontal="left" vertical="center"/>
    </xf>
    <xf numFmtId="0" fontId="45" fillId="3" borderId="1" xfId="88" applyFont="1" applyFill="1" applyBorder="1" applyAlignment="1">
      <alignment horizontal="center" vertical="center"/>
    </xf>
    <xf numFmtId="0" fontId="75" fillId="0" borderId="6" xfId="88" applyFont="1" applyBorder="1" applyAlignment="1">
      <alignment vertical="center" wrapText="1"/>
    </xf>
    <xf numFmtId="0" fontId="45" fillId="0" borderId="11" xfId="88" applyFont="1" applyBorder="1" applyAlignment="1">
      <alignment horizontal="left" vertical="center"/>
    </xf>
    <xf numFmtId="0" fontId="45" fillId="0" borderId="11" xfId="88" applyFont="1" applyBorder="1" applyAlignment="1">
      <alignment horizontal="center" vertical="center"/>
    </xf>
    <xf numFmtId="0" fontId="0" fillId="0" borderId="0" xfId="0" applyProtection="1"/>
    <xf numFmtId="0" fontId="125" fillId="0" borderId="0" xfId="0" applyFont="1" applyProtection="1"/>
    <xf numFmtId="0" fontId="40" fillId="0" borderId="0" xfId="0" applyFont="1" applyProtection="1"/>
    <xf numFmtId="0" fontId="73" fillId="0" borderId="0" xfId="0" applyFont="1" applyProtection="1"/>
    <xf numFmtId="0" fontId="126" fillId="0" borderId="0" xfId="0" applyFont="1" applyProtection="1"/>
    <xf numFmtId="0" fontId="84" fillId="0" borderId="10" xfId="0" applyFont="1" applyBorder="1" applyAlignment="1" applyProtection="1">
      <alignment horizontal="center" vertical="center" wrapText="1"/>
    </xf>
    <xf numFmtId="0" fontId="84" fillId="0" borderId="15" xfId="0" applyFont="1" applyBorder="1" applyAlignment="1" applyProtection="1">
      <alignment horizontal="center" vertical="center"/>
    </xf>
    <xf numFmtId="0" fontId="84" fillId="0" borderId="15" xfId="0" applyFont="1" applyBorder="1" applyAlignment="1" applyProtection="1">
      <alignment horizontal="center" vertical="center" wrapText="1"/>
    </xf>
    <xf numFmtId="0" fontId="84" fillId="26" borderId="15" xfId="0" applyFont="1" applyFill="1" applyBorder="1" applyAlignment="1" applyProtection="1">
      <alignment horizontal="center" vertical="center" wrapText="1"/>
    </xf>
    <xf numFmtId="0" fontId="84" fillId="26" borderId="0" xfId="0" applyFont="1" applyFill="1" applyAlignment="1" applyProtection="1">
      <alignment horizontal="center" vertical="center" wrapText="1"/>
    </xf>
    <xf numFmtId="0" fontId="102" fillId="0" borderId="34" xfId="0" applyFont="1" applyBorder="1" applyAlignment="1" applyProtection="1">
      <alignment horizontal="center" vertical="center" wrapText="1"/>
    </xf>
    <xf numFmtId="168" fontId="67" fillId="7" borderId="32" xfId="0" applyNumberFormat="1" applyFont="1" applyFill="1" applyBorder="1" applyProtection="1"/>
    <xf numFmtId="10" fontId="67" fillId="7" borderId="32" xfId="0" applyNumberFormat="1" applyFont="1" applyFill="1" applyBorder="1" applyAlignment="1" applyProtection="1">
      <alignment horizontal="center" vertical="center"/>
    </xf>
    <xf numFmtId="168" fontId="67" fillId="7" borderId="32" xfId="0" applyNumberFormat="1" applyFont="1" applyFill="1" applyBorder="1" applyAlignment="1" applyProtection="1">
      <alignment vertical="center"/>
    </xf>
    <xf numFmtId="168" fontId="67" fillId="20" borderId="32" xfId="0" applyNumberFormat="1" applyFont="1" applyFill="1" applyBorder="1" applyAlignment="1" applyProtection="1">
      <alignment horizontal="center"/>
    </xf>
    <xf numFmtId="10" fontId="67" fillId="20" borderId="32" xfId="0" applyNumberFormat="1" applyFont="1" applyFill="1" applyBorder="1" applyAlignment="1" applyProtection="1">
      <alignment horizontal="center" vertical="center"/>
    </xf>
    <xf numFmtId="168" fontId="67" fillId="20" borderId="32" xfId="0" applyNumberFormat="1" applyFont="1" applyFill="1" applyBorder="1" applyProtection="1"/>
    <xf numFmtId="168" fontId="67" fillId="20" borderId="40" xfId="0" applyNumberFormat="1" applyFont="1" applyFill="1" applyBorder="1" applyAlignment="1" applyProtection="1">
      <alignment vertical="center"/>
    </xf>
    <xf numFmtId="168" fontId="67" fillId="20" borderId="40" xfId="0" applyNumberFormat="1" applyFont="1" applyFill="1" applyBorder="1" applyProtection="1"/>
    <xf numFmtId="168" fontId="67" fillId="10" borderId="32" xfId="0" applyNumberFormat="1" applyFont="1" applyFill="1" applyBorder="1" applyProtection="1"/>
    <xf numFmtId="10" fontId="67" fillId="10" borderId="32" xfId="0" applyNumberFormat="1" applyFont="1" applyFill="1" applyBorder="1" applyAlignment="1" applyProtection="1">
      <alignment horizontal="center" vertical="center"/>
    </xf>
    <xf numFmtId="168" fontId="67" fillId="10" borderId="32" xfId="0" applyNumberFormat="1" applyFont="1" applyFill="1" applyBorder="1" applyAlignment="1" applyProtection="1">
      <alignment vertical="center"/>
    </xf>
    <xf numFmtId="10" fontId="67" fillId="10" borderId="41" xfId="0" applyNumberFormat="1" applyFont="1" applyFill="1" applyBorder="1" applyAlignment="1" applyProtection="1">
      <alignment horizontal="center" vertical="center"/>
    </xf>
    <xf numFmtId="168" fontId="67" fillId="18" borderId="33" xfId="0" applyNumberFormat="1" applyFont="1" applyFill="1" applyBorder="1" applyProtection="1"/>
    <xf numFmtId="10" fontId="67" fillId="18" borderId="32" xfId="0" applyNumberFormat="1" applyFont="1" applyFill="1" applyBorder="1" applyAlignment="1" applyProtection="1">
      <alignment horizontal="center" vertical="center"/>
    </xf>
    <xf numFmtId="168" fontId="67" fillId="18" borderId="33" xfId="0" applyNumberFormat="1" applyFont="1" applyFill="1" applyBorder="1" applyAlignment="1" applyProtection="1">
      <alignment vertical="center"/>
    </xf>
    <xf numFmtId="0" fontId="0" fillId="0" borderId="0" xfId="0" applyAlignment="1" applyProtection="1">
      <alignment vertical="center"/>
    </xf>
    <xf numFmtId="168" fontId="67" fillId="30" borderId="32" xfId="0" applyNumberFormat="1" applyFont="1" applyFill="1" applyBorder="1" applyProtection="1"/>
    <xf numFmtId="10" fontId="67" fillId="30" borderId="32" xfId="0" applyNumberFormat="1" applyFont="1" applyFill="1" applyBorder="1" applyAlignment="1" applyProtection="1">
      <alignment horizontal="center" vertical="center"/>
    </xf>
    <xf numFmtId="168" fontId="67" fillId="30" borderId="32" xfId="0" applyNumberFormat="1" applyFont="1" applyFill="1" applyBorder="1" applyAlignment="1" applyProtection="1">
      <alignment vertical="center"/>
    </xf>
    <xf numFmtId="0" fontId="39" fillId="0" borderId="0" xfId="0" applyFont="1" applyProtection="1"/>
    <xf numFmtId="168" fontId="73" fillId="0" borderId="0" xfId="0" applyNumberFormat="1" applyFont="1" applyProtection="1"/>
    <xf numFmtId="0" fontId="4" fillId="0" borderId="0" xfId="74" applyFont="1" applyProtection="1"/>
    <xf numFmtId="0" fontId="4" fillId="0" borderId="0" xfId="74" applyFont="1" applyAlignment="1" applyProtection="1">
      <alignment horizontal="center" vertical="center"/>
    </xf>
    <xf numFmtId="2" fontId="4" fillId="0" borderId="0" xfId="74" applyNumberFormat="1" applyFont="1" applyProtection="1"/>
    <xf numFmtId="44" fontId="4" fillId="0" borderId="0" xfId="6" applyFont="1" applyFill="1" applyProtection="1"/>
    <xf numFmtId="0" fontId="16" fillId="0" borderId="0" xfId="260" applyFont="1" applyAlignment="1" applyProtection="1">
      <alignment horizontal="center" vertical="center" wrapText="1"/>
    </xf>
    <xf numFmtId="2" fontId="16" fillId="0" borderId="0" xfId="260" applyNumberFormat="1" applyFont="1" applyAlignment="1" applyProtection="1">
      <alignment horizontal="center" vertical="center" wrapText="1"/>
    </xf>
    <xf numFmtId="10" fontId="16" fillId="0" borderId="0" xfId="260" applyNumberFormat="1" applyFont="1" applyAlignment="1" applyProtection="1">
      <alignment horizontal="center" vertical="center" wrapText="1"/>
    </xf>
    <xf numFmtId="0" fontId="4" fillId="0" borderId="0" xfId="74" applyFont="1" applyAlignment="1" applyProtection="1">
      <alignment horizontal="left"/>
    </xf>
    <xf numFmtId="0" fontId="50" fillId="5" borderId="2" xfId="74" applyFont="1" applyFill="1" applyBorder="1" applyAlignment="1" applyProtection="1">
      <alignment horizontal="center" vertical="center" wrapText="1"/>
    </xf>
    <xf numFmtId="0" fontId="17" fillId="0" borderId="0" xfId="74" applyFont="1" applyAlignment="1" applyProtection="1">
      <alignment vertical="center" wrapText="1"/>
    </xf>
    <xf numFmtId="0" fontId="50" fillId="5" borderId="1" xfId="74" applyFont="1" applyFill="1" applyBorder="1" applyAlignment="1" applyProtection="1">
      <alignment horizontal="center" vertical="center"/>
    </xf>
    <xf numFmtId="0" fontId="50" fillId="5" borderId="1" xfId="74" applyFont="1" applyFill="1" applyBorder="1" applyAlignment="1" applyProtection="1">
      <alignment horizontal="center" vertical="center" wrapText="1"/>
    </xf>
    <xf numFmtId="0" fontId="19" fillId="0" borderId="0" xfId="74" applyFont="1" applyAlignment="1" applyProtection="1">
      <alignment vertical="center" wrapText="1"/>
    </xf>
    <xf numFmtId="44" fontId="113" fillId="0" borderId="1" xfId="6" applyFont="1" applyFill="1" applyBorder="1" applyAlignment="1" applyProtection="1">
      <alignment horizontal="center" vertical="center"/>
    </xf>
    <xf numFmtId="10" fontId="113" fillId="0" borderId="1" xfId="74" applyNumberFormat="1" applyFont="1" applyBorder="1" applyAlignment="1" applyProtection="1">
      <alignment horizontal="center" vertical="center"/>
    </xf>
    <xf numFmtId="0" fontId="118" fillId="0" borderId="0" xfId="74" applyFont="1" applyAlignment="1" applyProtection="1">
      <alignment vertical="center" wrapText="1"/>
    </xf>
    <xf numFmtId="0" fontId="117" fillId="0" borderId="0" xfId="74" applyFont="1" applyAlignment="1" applyProtection="1">
      <alignment horizontal="center" vertical="center"/>
    </xf>
    <xf numFmtId="44" fontId="113" fillId="4" borderId="1" xfId="6" applyFont="1" applyFill="1" applyBorder="1" applyAlignment="1" applyProtection="1">
      <alignment horizontal="center" vertical="center"/>
    </xf>
    <xf numFmtId="10" fontId="113" fillId="4" borderId="1" xfId="74" applyNumberFormat="1" applyFont="1" applyFill="1" applyBorder="1" applyAlignment="1" applyProtection="1">
      <alignment horizontal="center" vertical="center"/>
    </xf>
    <xf numFmtId="0" fontId="116" fillId="0" borderId="0" xfId="74" applyFont="1" applyAlignment="1" applyProtection="1">
      <alignment horizontal="center" vertical="center"/>
    </xf>
    <xf numFmtId="4" fontId="117" fillId="0" borderId="0" xfId="74" applyNumberFormat="1" applyFont="1" applyAlignment="1" applyProtection="1">
      <alignment horizontal="center" vertical="center"/>
    </xf>
    <xf numFmtId="10" fontId="113" fillId="3" borderId="1" xfId="74" applyNumberFormat="1" applyFont="1" applyFill="1" applyBorder="1" applyAlignment="1" applyProtection="1">
      <alignment horizontal="center" vertical="center"/>
    </xf>
    <xf numFmtId="0" fontId="18" fillId="0" borderId="0" xfId="74" applyFont="1" applyAlignment="1" applyProtection="1">
      <alignment horizontal="center" vertical="center"/>
    </xf>
    <xf numFmtId="4" fontId="4" fillId="0" borderId="0" xfId="74" applyNumberFormat="1" applyFont="1" applyAlignment="1" applyProtection="1">
      <alignment horizontal="center" vertical="center"/>
    </xf>
    <xf numFmtId="0" fontId="11" fillId="0" borderId="11" xfId="74" applyBorder="1" applyAlignment="1" applyProtection="1">
      <alignment horizontal="center" vertical="center"/>
    </xf>
    <xf numFmtId="0" fontId="11" fillId="0" borderId="11" xfId="74" applyBorder="1" applyAlignment="1" applyProtection="1">
      <alignment horizontal="center" vertical="center" wrapText="1" shrinkToFit="1"/>
    </xf>
    <xf numFmtId="166" fontId="11" fillId="0" borderId="11" xfId="74" applyNumberFormat="1" applyBorder="1" applyAlignment="1" applyProtection="1">
      <alignment horizontal="center" vertical="center"/>
    </xf>
    <xf numFmtId="0" fontId="11" fillId="0" borderId="6" xfId="74" applyBorder="1" applyAlignment="1" applyProtection="1">
      <alignment horizontal="center" vertical="center" wrapText="1"/>
    </xf>
    <xf numFmtId="44" fontId="11" fillId="0" borderId="6" xfId="6" applyFont="1" applyFill="1" applyBorder="1" applyAlignment="1" applyProtection="1">
      <alignment horizontal="center" vertical="center"/>
    </xf>
    <xf numFmtId="44" fontId="11" fillId="0" borderId="11" xfId="6" applyFont="1" applyFill="1" applyBorder="1" applyAlignment="1" applyProtection="1">
      <alignment horizontal="center" vertical="center"/>
    </xf>
    <xf numFmtId="10" fontId="11" fillId="0" borderId="6" xfId="74" applyNumberFormat="1" applyBorder="1" applyAlignment="1" applyProtection="1">
      <alignment horizontal="center" vertical="center"/>
    </xf>
    <xf numFmtId="44" fontId="11" fillId="0" borderId="11" xfId="526" applyNumberFormat="1" applyFont="1" applyFill="1" applyBorder="1" applyAlignment="1" applyProtection="1">
      <alignment horizontal="center" vertical="center"/>
    </xf>
    <xf numFmtId="10" fontId="11" fillId="0" borderId="11" xfId="526" applyNumberFormat="1" applyFont="1" applyFill="1" applyBorder="1" applyAlignment="1" applyProtection="1">
      <alignment horizontal="center" vertical="center"/>
    </xf>
    <xf numFmtId="44" fontId="11" fillId="0" borderId="10" xfId="6" applyFont="1" applyFill="1" applyBorder="1" applyAlignment="1" applyProtection="1">
      <alignment horizontal="center" vertical="center"/>
    </xf>
    <xf numFmtId="39" fontId="50" fillId="6" borderId="12" xfId="74" applyNumberFormat="1" applyFont="1" applyFill="1" applyBorder="1" applyAlignment="1" applyProtection="1">
      <alignment horizontal="center" vertical="center" wrapText="1"/>
    </xf>
    <xf numFmtId="39" fontId="50" fillId="6" borderId="1" xfId="74" applyNumberFormat="1" applyFont="1" applyFill="1" applyBorder="1" applyAlignment="1" applyProtection="1">
      <alignment horizontal="center" vertical="center"/>
    </xf>
    <xf numFmtId="39" fontId="12" fillId="0" borderId="0" xfId="74" applyNumberFormat="1" applyFont="1" applyAlignment="1" applyProtection="1">
      <alignment horizontal="right" vertical="center"/>
    </xf>
    <xf numFmtId="39" fontId="12" fillId="0" borderId="0" xfId="74" applyNumberFormat="1" applyFont="1" applyAlignment="1" applyProtection="1">
      <alignment horizontal="center" vertical="center"/>
    </xf>
    <xf numFmtId="44" fontId="19" fillId="0" borderId="0" xfId="6" applyFont="1" applyFill="1" applyAlignment="1" applyProtection="1">
      <alignment horizontal="right"/>
    </xf>
    <xf numFmtId="0" fontId="73" fillId="0" borderId="0" xfId="0" applyFont="1" applyAlignment="1">
      <alignment horizontal="center" vertical="center"/>
    </xf>
    <xf numFmtId="44" fontId="63" fillId="0" borderId="0" xfId="4" applyFont="1" applyFill="1" applyBorder="1" applyAlignment="1">
      <alignment horizontal="center" vertical="center"/>
    </xf>
    <xf numFmtId="0" fontId="80" fillId="23" borderId="13" xfId="127" applyFont="1" applyFill="1" applyBorder="1" applyAlignment="1">
      <alignment horizontal="center" vertical="center"/>
    </xf>
    <xf numFmtId="0" fontId="80" fillId="23" borderId="9" xfId="127" applyFont="1" applyFill="1" applyBorder="1" applyAlignment="1">
      <alignment horizontal="center" vertical="center"/>
    </xf>
    <xf numFmtId="0" fontId="63" fillId="10" borderId="1" xfId="125" applyFont="1" applyFill="1" applyBorder="1" applyAlignment="1">
      <alignment horizontal="center" vertical="center" wrapText="1"/>
    </xf>
    <xf numFmtId="0" fontId="79" fillId="0" borderId="1" xfId="125" applyFont="1" applyBorder="1" applyAlignment="1">
      <alignment horizontal="justify" vertical="center" wrapText="1"/>
    </xf>
    <xf numFmtId="0" fontId="62" fillId="0" borderId="3" xfId="125" applyFont="1" applyBorder="1" applyAlignment="1">
      <alignment horizontal="center" vertical="center"/>
    </xf>
    <xf numFmtId="0" fontId="62" fillId="0" borderId="8" xfId="125" applyFont="1" applyBorder="1" applyAlignment="1">
      <alignment horizontal="center" vertical="center"/>
    </xf>
    <xf numFmtId="0" fontId="62" fillId="0" borderId="2" xfId="125" applyFont="1" applyBorder="1" applyAlignment="1">
      <alignment horizontal="center" vertical="center"/>
    </xf>
    <xf numFmtId="0" fontId="62" fillId="0" borderId="4" xfId="125" applyFont="1" applyBorder="1" applyAlignment="1">
      <alignment horizontal="center" vertical="center"/>
    </xf>
    <xf numFmtId="0" fontId="62" fillId="0" borderId="6" xfId="125" applyFont="1" applyBorder="1" applyAlignment="1">
      <alignment horizontal="center" vertical="center"/>
    </xf>
    <xf numFmtId="0" fontId="62" fillId="0" borderId="7" xfId="125" applyFont="1" applyBorder="1" applyAlignment="1">
      <alignment horizontal="center" vertical="center"/>
    </xf>
    <xf numFmtId="0" fontId="52" fillId="0" borderId="11" xfId="127" applyFont="1" applyBorder="1" applyAlignment="1">
      <alignment horizontal="center" vertical="center"/>
    </xf>
    <xf numFmtId="0" fontId="71" fillId="9" borderId="0" xfId="127" applyFont="1" applyFill="1" applyAlignment="1">
      <alignment horizontal="left" vertical="center" wrapText="1"/>
    </xf>
    <xf numFmtId="0" fontId="70" fillId="9" borderId="0" xfId="127" applyFont="1" applyFill="1" applyAlignment="1">
      <alignment horizontal="left" vertical="center" wrapText="1"/>
    </xf>
    <xf numFmtId="0" fontId="81" fillId="9" borderId="0" xfId="1" applyFont="1" applyFill="1" applyBorder="1" applyAlignment="1">
      <alignment horizontal="left" vertical="center" wrapText="1"/>
    </xf>
    <xf numFmtId="0" fontId="82" fillId="23" borderId="0" xfId="127" applyFont="1" applyFill="1" applyAlignment="1">
      <alignment horizontal="left" vertical="center" wrapText="1"/>
    </xf>
    <xf numFmtId="0" fontId="71" fillId="9" borderId="0" xfId="127" applyFont="1" applyFill="1" applyAlignment="1">
      <alignment horizontal="left" vertical="justify" wrapText="1"/>
    </xf>
    <xf numFmtId="0" fontId="71" fillId="9" borderId="0" xfId="127" applyFont="1" applyFill="1" applyAlignment="1">
      <alignment horizontal="left" vertical="center"/>
    </xf>
    <xf numFmtId="0" fontId="70" fillId="9" borderId="0" xfId="127" applyFont="1" applyFill="1" applyAlignment="1">
      <alignment horizontal="left" vertical="center"/>
    </xf>
    <xf numFmtId="0" fontId="27" fillId="0" borderId="0" xfId="127" applyFont="1" applyAlignment="1">
      <alignment horizontal="justify" vertical="center" wrapText="1"/>
    </xf>
    <xf numFmtId="0" fontId="70" fillId="0" borderId="0" xfId="127" applyFont="1" applyAlignment="1">
      <alignment horizontal="justify" vertical="center" wrapText="1"/>
    </xf>
    <xf numFmtId="0" fontId="61" fillId="0" borderId="0" xfId="0" applyFont="1" applyAlignment="1">
      <alignment horizontal="center"/>
    </xf>
    <xf numFmtId="0" fontId="83" fillId="9" borderId="0" xfId="127" applyFont="1" applyFill="1" applyAlignment="1">
      <alignment horizontal="left" vertical="center"/>
    </xf>
    <xf numFmtId="0" fontId="83" fillId="0" borderId="0" xfId="127" applyFont="1" applyAlignment="1">
      <alignment horizontal="center" vertical="center" wrapText="1"/>
    </xf>
    <xf numFmtId="0" fontId="83" fillId="0" borderId="0" xfId="127" applyFont="1" applyAlignment="1">
      <alignment horizontal="center" vertical="center"/>
    </xf>
    <xf numFmtId="0" fontId="84" fillId="0" borderId="0" xfId="127" applyFont="1" applyAlignment="1">
      <alignment horizontal="center" vertical="center"/>
    </xf>
    <xf numFmtId="0" fontId="82" fillId="23" borderId="14" xfId="127" applyFont="1" applyFill="1" applyBorder="1" applyAlignment="1">
      <alignment horizontal="left" vertical="center" wrapText="1"/>
    </xf>
    <xf numFmtId="0" fontId="42" fillId="0" borderId="0" xfId="0" applyFont="1" applyAlignment="1">
      <alignment horizontal="center"/>
    </xf>
    <xf numFmtId="0" fontId="71" fillId="22" borderId="1" xfId="125" applyFont="1" applyFill="1" applyBorder="1" applyAlignment="1">
      <alignment horizontal="left" vertical="center"/>
    </xf>
    <xf numFmtId="0" fontId="71" fillId="7" borderId="1" xfId="125" applyFont="1" applyFill="1" applyBorder="1" applyAlignment="1">
      <alignment horizontal="left" vertical="center"/>
    </xf>
    <xf numFmtId="0" fontId="71" fillId="21" borderId="1" xfId="125" applyFont="1" applyFill="1" applyBorder="1" applyAlignment="1">
      <alignment horizontal="left" vertical="center"/>
    </xf>
    <xf numFmtId="0" fontId="41" fillId="0" borderId="3" xfId="0" applyFont="1" applyBorder="1" applyAlignment="1">
      <alignment horizontal="center" vertical="center"/>
    </xf>
    <xf numFmtId="0" fontId="41" fillId="0" borderId="2" xfId="0" applyFont="1" applyBorder="1" applyAlignment="1">
      <alignment horizontal="center" vertical="center"/>
    </xf>
    <xf numFmtId="0" fontId="49" fillId="5" borderId="3" xfId="0" applyFont="1" applyFill="1" applyBorder="1" applyAlignment="1">
      <alignment horizontal="left" vertical="center" wrapText="1" indent="1"/>
    </xf>
    <xf numFmtId="0" fontId="49" fillId="5" borderId="2" xfId="0" applyFont="1" applyFill="1" applyBorder="1" applyAlignment="1">
      <alignment horizontal="left" vertical="center" wrapText="1" indent="1"/>
    </xf>
    <xf numFmtId="0" fontId="26" fillId="0" borderId="0" xfId="0" applyFont="1" applyAlignment="1">
      <alignment horizontal="center" vertical="center"/>
    </xf>
    <xf numFmtId="0" fontId="2" fillId="0" borderId="0" xfId="0" applyFont="1" applyAlignment="1">
      <alignment horizontal="center" vertical="center"/>
    </xf>
    <xf numFmtId="0" fontId="41" fillId="0" borderId="3" xfId="0" applyFont="1" applyBorder="1" applyAlignment="1">
      <alignment horizontal="justify" vertical="center" wrapText="1"/>
    </xf>
    <xf numFmtId="0" fontId="41" fillId="0" borderId="2" xfId="0" applyFont="1" applyBorder="1" applyAlignment="1">
      <alignment horizontal="justify" vertical="center" wrapText="1"/>
    </xf>
    <xf numFmtId="0" fontId="85" fillId="0" borderId="3" xfId="0" applyFont="1" applyBorder="1" applyAlignment="1">
      <alignment horizontal="center" vertical="center"/>
    </xf>
    <xf numFmtId="0" fontId="85" fillId="0" borderId="2" xfId="0" applyFont="1" applyBorder="1" applyAlignment="1">
      <alignment horizontal="center" vertical="center"/>
    </xf>
    <xf numFmtId="0" fontId="49" fillId="5" borderId="3" xfId="0" applyFont="1" applyFill="1" applyBorder="1" applyAlignment="1">
      <alignment horizontal="left" vertical="center" indent="1"/>
    </xf>
    <xf numFmtId="0" fontId="49" fillId="5" borderId="2" xfId="0" applyFont="1" applyFill="1" applyBorder="1" applyAlignment="1">
      <alignment horizontal="left" vertical="center" indent="1"/>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57" fillId="0" borderId="6" xfId="0" applyFont="1" applyBorder="1" applyAlignment="1">
      <alignment horizontal="center" vertical="center"/>
    </xf>
    <xf numFmtId="0" fontId="57" fillId="0" borderId="7" xfId="0" applyFont="1" applyBorder="1" applyAlignment="1">
      <alignment horizontal="center" vertical="center"/>
    </xf>
    <xf numFmtId="0" fontId="54" fillId="4" borderId="9" xfId="0" applyFont="1" applyFill="1" applyBorder="1" applyAlignment="1">
      <alignment horizontal="center" vertical="center"/>
    </xf>
    <xf numFmtId="0" fontId="54" fillId="4" borderId="10" xfId="0" applyFont="1" applyFill="1" applyBorder="1" applyAlignment="1">
      <alignment horizontal="center" vertical="center"/>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9" xfId="0" applyFont="1" applyBorder="1" applyAlignment="1">
      <alignment horizontal="center" vertical="center"/>
    </xf>
    <xf numFmtId="0" fontId="54" fillId="0" borderId="10" xfId="0" applyFont="1" applyBorder="1" applyAlignment="1">
      <alignment horizontal="center" vertical="center"/>
    </xf>
    <xf numFmtId="0" fontId="54" fillId="4" borderId="15" xfId="0" applyFont="1" applyFill="1" applyBorder="1" applyAlignment="1">
      <alignment horizontal="center" vertical="center"/>
    </xf>
    <xf numFmtId="0" fontId="54" fillId="4" borderId="3" xfId="0" applyFont="1" applyFill="1" applyBorder="1" applyAlignment="1">
      <alignment horizontal="center" vertical="center" wrapText="1"/>
    </xf>
    <xf numFmtId="0" fontId="54" fillId="4" borderId="2" xfId="0" applyFont="1" applyFill="1" applyBorder="1" applyAlignment="1">
      <alignment horizontal="center" vertical="center" wrapText="1"/>
    </xf>
    <xf numFmtId="0" fontId="54" fillId="4" borderId="4" xfId="0" applyFont="1" applyFill="1" applyBorder="1" applyAlignment="1">
      <alignment horizontal="center" vertical="center"/>
    </xf>
    <xf numFmtId="0" fontId="54" fillId="4" borderId="6" xfId="0" applyFont="1" applyFill="1" applyBorder="1" applyAlignment="1">
      <alignment horizontal="center" vertical="center"/>
    </xf>
    <xf numFmtId="0" fontId="54" fillId="4" borderId="7" xfId="0" applyFont="1" applyFill="1" applyBorder="1" applyAlignment="1">
      <alignment horizontal="center" vertical="center"/>
    </xf>
    <xf numFmtId="0" fontId="54" fillId="4"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5" xfId="0" applyFont="1" applyBorder="1" applyAlignment="1">
      <alignment horizontal="center" vertical="center"/>
    </xf>
    <xf numFmtId="0" fontId="59" fillId="5" borderId="6" xfId="0" applyFont="1" applyFill="1" applyBorder="1" applyAlignment="1">
      <alignment horizontal="center" vertical="center"/>
    </xf>
    <xf numFmtId="0" fontId="49" fillId="5" borderId="4" xfId="0" applyFont="1" applyFill="1" applyBorder="1" applyAlignment="1">
      <alignment horizontal="center" vertical="center"/>
    </xf>
    <xf numFmtId="0" fontId="49" fillId="5" borderId="6" xfId="0" applyFont="1" applyFill="1" applyBorder="1" applyAlignment="1">
      <alignment horizontal="center" vertical="center"/>
    </xf>
    <xf numFmtId="0" fontId="49" fillId="5" borderId="7" xfId="0" applyFont="1" applyFill="1" applyBorder="1" applyAlignment="1">
      <alignment horizontal="center" vertical="center"/>
    </xf>
    <xf numFmtId="0" fontId="41" fillId="4" borderId="3" xfId="0" applyFont="1" applyFill="1" applyBorder="1" applyAlignment="1">
      <alignment horizontal="left" vertical="center" wrapText="1"/>
    </xf>
    <xf numFmtId="0" fontId="41" fillId="4" borderId="8" xfId="0" applyFont="1" applyFill="1" applyBorder="1" applyAlignment="1">
      <alignment horizontal="left" vertical="center" wrapText="1"/>
    </xf>
    <xf numFmtId="0" fontId="41" fillId="4" borderId="8" xfId="0" applyFont="1" applyFill="1" applyBorder="1" applyAlignment="1">
      <alignment horizontal="left" vertical="center"/>
    </xf>
    <xf numFmtId="0" fontId="49" fillId="5" borderId="3" xfId="0" applyFont="1" applyFill="1" applyBorder="1" applyAlignment="1">
      <alignment horizontal="center" vertical="center"/>
    </xf>
    <xf numFmtId="0" fontId="49" fillId="5" borderId="2" xfId="0" applyFont="1" applyFill="1" applyBorder="1" applyAlignment="1">
      <alignment horizontal="center" vertical="center"/>
    </xf>
    <xf numFmtId="0" fontId="49" fillId="5" borderId="1" xfId="0" applyFont="1" applyFill="1" applyBorder="1" applyAlignment="1">
      <alignment horizontal="center" vertical="center"/>
    </xf>
    <xf numFmtId="0" fontId="41" fillId="0" borderId="3" xfId="0" applyFont="1" applyBorder="1" applyAlignment="1">
      <alignment horizontal="left" vertical="center" wrapText="1"/>
    </xf>
    <xf numFmtId="0" fontId="41" fillId="0" borderId="8" xfId="0" applyFont="1" applyBorder="1" applyAlignment="1">
      <alignment horizontal="left" vertical="center" wrapText="1"/>
    </xf>
    <xf numFmtId="0" fontId="41" fillId="0" borderId="2" xfId="0" applyFont="1" applyBorder="1" applyAlignment="1">
      <alignment horizontal="left" vertical="center" wrapText="1"/>
    </xf>
    <xf numFmtId="0" fontId="41" fillId="0" borderId="8" xfId="0" applyFont="1" applyBorder="1" applyAlignment="1">
      <alignment horizontal="left" vertical="center"/>
    </xf>
    <xf numFmtId="0" fontId="41" fillId="0" borderId="2" xfId="0" applyFont="1" applyBorder="1" applyAlignment="1">
      <alignment horizontal="left" vertical="center"/>
    </xf>
    <xf numFmtId="0" fontId="54" fillId="0" borderId="8" xfId="0" applyFont="1" applyBorder="1" applyAlignment="1">
      <alignment horizontal="center" vertical="center"/>
    </xf>
    <xf numFmtId="0" fontId="54" fillId="0" borderId="2" xfId="0" applyFont="1" applyBorder="1" applyAlignment="1">
      <alignment horizontal="center" vertical="center"/>
    </xf>
    <xf numFmtId="0" fontId="86" fillId="0" borderId="0" xfId="0" applyFont="1" applyAlignment="1">
      <alignment horizontal="center" vertical="center"/>
    </xf>
    <xf numFmtId="0" fontId="87" fillId="5" borderId="0" xfId="0" applyFont="1" applyFill="1" applyAlignment="1">
      <alignment horizontal="center" vertical="center"/>
    </xf>
    <xf numFmtId="0" fontId="49" fillId="5" borderId="5" xfId="0" applyFont="1" applyFill="1" applyBorder="1" applyAlignment="1">
      <alignment horizontal="left" vertical="center" indent="1"/>
    </xf>
    <xf numFmtId="0" fontId="49" fillId="5" borderId="13" xfId="0" applyFont="1" applyFill="1" applyBorder="1" applyAlignment="1">
      <alignment horizontal="left" vertical="center" indent="1"/>
    </xf>
    <xf numFmtId="0" fontId="49" fillId="5" borderId="9" xfId="0" applyFont="1" applyFill="1" applyBorder="1" applyAlignment="1">
      <alignment horizontal="left" vertical="center" indent="1"/>
    </xf>
    <xf numFmtId="0" fontId="49" fillId="5" borderId="12" xfId="0" applyFont="1" applyFill="1" applyBorder="1" applyAlignment="1">
      <alignment horizontal="left" vertical="center" indent="1"/>
    </xf>
    <xf numFmtId="0" fontId="49" fillId="5" borderId="11" xfId="0" applyFont="1" applyFill="1" applyBorder="1" applyAlignment="1">
      <alignment horizontal="left" vertical="center" indent="1"/>
    </xf>
    <xf numFmtId="0" fontId="49" fillId="5" borderId="10" xfId="0" applyFont="1" applyFill="1" applyBorder="1" applyAlignment="1">
      <alignment horizontal="left" vertical="center" indent="1"/>
    </xf>
    <xf numFmtId="0" fontId="128" fillId="0" borderId="5" xfId="0" applyFont="1" applyBorder="1" applyAlignment="1">
      <alignment horizontal="center" vertical="center"/>
    </xf>
    <xf numFmtId="0" fontId="128" fillId="0" borderId="13" xfId="0" applyFont="1" applyBorder="1" applyAlignment="1">
      <alignment horizontal="center" vertical="center"/>
    </xf>
    <xf numFmtId="0" fontId="128" fillId="0" borderId="9" xfId="0" applyFont="1" applyBorder="1" applyAlignment="1">
      <alignment horizontal="center" vertical="center"/>
    </xf>
    <xf numFmtId="0" fontId="128" fillId="0" borderId="12" xfId="0" applyFont="1" applyBorder="1" applyAlignment="1">
      <alignment horizontal="center" vertical="center"/>
    </xf>
    <xf numFmtId="0" fontId="128" fillId="0" borderId="11" xfId="0" applyFont="1" applyBorder="1" applyAlignment="1">
      <alignment horizontal="center" vertical="center"/>
    </xf>
    <xf numFmtId="0" fontId="128" fillId="0" borderId="10" xfId="0" applyFont="1" applyBorder="1" applyAlignment="1">
      <alignment horizontal="center" vertical="center"/>
    </xf>
    <xf numFmtId="0" fontId="54" fillId="4" borderId="3" xfId="0" applyFont="1" applyFill="1" applyBorder="1" applyAlignment="1">
      <alignment horizontal="center" vertical="center"/>
    </xf>
    <xf numFmtId="0" fontId="54" fillId="4" borderId="8" xfId="0" applyFont="1" applyFill="1" applyBorder="1" applyAlignment="1">
      <alignment horizontal="center" vertical="center"/>
    </xf>
    <xf numFmtId="0" fontId="54" fillId="4" borderId="2" xfId="0" applyFont="1" applyFill="1" applyBorder="1" applyAlignment="1">
      <alignment horizontal="center" vertical="center"/>
    </xf>
    <xf numFmtId="0" fontId="41" fillId="0" borderId="5" xfId="0" applyFont="1" applyBorder="1" applyAlignment="1">
      <alignment horizontal="justify" vertical="center" wrapText="1"/>
    </xf>
    <xf numFmtId="0" fontId="41" fillId="0" borderId="13" xfId="0" applyFont="1" applyBorder="1" applyAlignment="1">
      <alignment horizontal="justify" vertical="center" wrapText="1"/>
    </xf>
    <xf numFmtId="0" fontId="41" fillId="0" borderId="9" xfId="0" applyFont="1" applyBorder="1" applyAlignment="1">
      <alignment horizontal="justify" vertical="center" wrapText="1"/>
    </xf>
    <xf numFmtId="0" fontId="41" fillId="0" borderId="12" xfId="0" applyFont="1" applyBorder="1" applyAlignment="1">
      <alignment horizontal="justify" vertical="center" wrapText="1"/>
    </xf>
    <xf numFmtId="0" fontId="41" fillId="0" borderId="11" xfId="0" applyFont="1" applyBorder="1" applyAlignment="1">
      <alignment horizontal="justify" vertical="center" wrapText="1"/>
    </xf>
    <xf numFmtId="0" fontId="41" fillId="0" borderId="10" xfId="0" applyFont="1" applyBorder="1" applyAlignment="1">
      <alignment horizontal="justify" vertical="center" wrapText="1"/>
    </xf>
    <xf numFmtId="0" fontId="49" fillId="5" borderId="1" xfId="0" applyFont="1" applyFill="1" applyBorder="1" applyAlignment="1">
      <alignment horizontal="left" vertical="center" indent="1"/>
    </xf>
    <xf numFmtId="0" fontId="54" fillId="0" borderId="1" xfId="0" applyFont="1" applyBorder="1" applyAlignment="1">
      <alignment horizontal="center" vertical="center"/>
    </xf>
    <xf numFmtId="0" fontId="49" fillId="5" borderId="5" xfId="0" applyFont="1" applyFill="1" applyBorder="1" applyAlignment="1">
      <alignment horizontal="left" vertical="center" wrapText="1" indent="1"/>
    </xf>
    <xf numFmtId="0" fontId="49" fillId="5" borderId="13" xfId="0" applyFont="1" applyFill="1" applyBorder="1" applyAlignment="1">
      <alignment horizontal="left" vertical="center" wrapText="1" indent="1"/>
    </xf>
    <xf numFmtId="0" fontId="49" fillId="5" borderId="9" xfId="0" applyFont="1" applyFill="1" applyBorder="1" applyAlignment="1">
      <alignment horizontal="left" vertical="center" wrapText="1" indent="1"/>
    </xf>
    <xf numFmtId="0" fontId="49" fillId="5" borderId="12" xfId="0" applyFont="1" applyFill="1" applyBorder="1" applyAlignment="1">
      <alignment horizontal="left" vertical="center" wrapText="1" indent="1"/>
    </xf>
    <xf numFmtId="0" fontId="49" fillId="5" borderId="11" xfId="0" applyFont="1" applyFill="1" applyBorder="1" applyAlignment="1">
      <alignment horizontal="left" vertical="center" wrapText="1" indent="1"/>
    </xf>
    <xf numFmtId="0" fontId="49" fillId="5" borderId="10" xfId="0" applyFont="1" applyFill="1" applyBorder="1" applyAlignment="1">
      <alignment horizontal="left" vertical="center" wrapText="1" indent="1"/>
    </xf>
    <xf numFmtId="0" fontId="41" fillId="4" borderId="2" xfId="0" applyFont="1" applyFill="1" applyBorder="1" applyAlignment="1">
      <alignment horizontal="left" vertical="center" wrapText="1"/>
    </xf>
    <xf numFmtId="0" fontId="60" fillId="0" borderId="3" xfId="0" applyFont="1" applyBorder="1" applyAlignment="1">
      <alignment horizontal="center" vertical="center"/>
    </xf>
    <xf numFmtId="0" fontId="60" fillId="0" borderId="8" xfId="0" applyFont="1" applyBorder="1" applyAlignment="1">
      <alignment horizontal="center" vertical="center"/>
    </xf>
    <xf numFmtId="0" fontId="60" fillId="0" borderId="2" xfId="0" applyFont="1" applyBorder="1" applyAlignment="1">
      <alignment horizontal="center" vertical="center"/>
    </xf>
    <xf numFmtId="0" fontId="59" fillId="13" borderId="4" xfId="0" applyFont="1" applyFill="1" applyBorder="1" applyAlignment="1">
      <alignment horizontal="center" vertical="center"/>
    </xf>
    <xf numFmtId="0" fontId="59" fillId="13" borderId="6" xfId="0" applyFont="1" applyFill="1" applyBorder="1" applyAlignment="1">
      <alignment horizontal="center" vertical="center"/>
    </xf>
    <xf numFmtId="0" fontId="59" fillId="13" borderId="7" xfId="0" applyFont="1" applyFill="1" applyBorder="1" applyAlignment="1">
      <alignment horizontal="center" vertical="center"/>
    </xf>
    <xf numFmtId="0" fontId="59" fillId="5" borderId="4" xfId="0" applyFont="1" applyFill="1" applyBorder="1" applyAlignment="1">
      <alignment horizontal="center" vertical="center"/>
    </xf>
    <xf numFmtId="0" fontId="59" fillId="5" borderId="7" xfId="0" applyFont="1" applyFill="1" applyBorder="1" applyAlignment="1">
      <alignment horizontal="center" vertical="center"/>
    </xf>
    <xf numFmtId="0" fontId="57" fillId="8" borderId="6" xfId="0" applyFont="1" applyFill="1" applyBorder="1" applyAlignment="1">
      <alignment horizontal="center" vertical="center"/>
    </xf>
    <xf numFmtId="0" fontId="57" fillId="8" borderId="7" xfId="0" applyFont="1" applyFill="1" applyBorder="1" applyAlignment="1">
      <alignment horizontal="center" vertical="center"/>
    </xf>
    <xf numFmtId="0" fontId="54" fillId="0" borderId="4"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88" fillId="2" borderId="26" xfId="0" applyFont="1" applyFill="1" applyBorder="1" applyAlignment="1">
      <alignment horizontal="center" vertical="center"/>
    </xf>
    <xf numFmtId="0" fontId="5" fillId="0" borderId="0" xfId="0" applyFont="1"/>
    <xf numFmtId="0" fontId="5" fillId="0" borderId="27" xfId="0" applyFont="1" applyBorder="1"/>
    <xf numFmtId="0" fontId="5" fillId="0" borderId="26" xfId="0" applyFont="1" applyBorder="1"/>
    <xf numFmtId="0" fontId="89" fillId="2" borderId="26" xfId="0" applyFont="1" applyFill="1" applyBorder="1" applyAlignment="1">
      <alignment horizontal="center" vertical="center"/>
    </xf>
    <xf numFmtId="0" fontId="7" fillId="0" borderId="0" xfId="0" applyFont="1" applyAlignment="1">
      <alignment vertical="center"/>
    </xf>
    <xf numFmtId="0" fontId="7" fillId="0" borderId="27" xfId="0" applyFont="1" applyBorder="1" applyAlignment="1">
      <alignment vertical="center"/>
    </xf>
    <xf numFmtId="0" fontId="7" fillId="0" borderId="26" xfId="0" applyFont="1" applyBorder="1" applyAlignment="1">
      <alignment vertical="center"/>
    </xf>
    <xf numFmtId="0" fontId="43" fillId="24" borderId="26" xfId="0" applyFont="1" applyFill="1" applyBorder="1" applyAlignment="1">
      <alignment horizontal="center"/>
    </xf>
    <xf numFmtId="0" fontId="12" fillId="0" borderId="1" xfId="88" applyFont="1" applyBorder="1" applyAlignment="1">
      <alignment horizontal="left" vertical="center"/>
    </xf>
    <xf numFmtId="0" fontId="45" fillId="4" borderId="4" xfId="88" applyFont="1" applyFill="1" applyBorder="1" applyAlignment="1">
      <alignment horizontal="center" vertical="center"/>
    </xf>
    <xf numFmtId="0" fontId="45" fillId="4" borderId="6" xfId="88" applyFont="1" applyFill="1" applyBorder="1" applyAlignment="1">
      <alignment horizontal="center" vertical="center"/>
    </xf>
    <xf numFmtId="0" fontId="45" fillId="20" borderId="6" xfId="88" applyFont="1" applyFill="1" applyBorder="1" applyAlignment="1">
      <alignment horizontal="center" vertical="center"/>
    </xf>
    <xf numFmtId="0" fontId="45" fillId="20" borderId="7" xfId="88" applyFont="1" applyFill="1" applyBorder="1" applyAlignment="1">
      <alignment horizontal="center" vertical="center"/>
    </xf>
    <xf numFmtId="0" fontId="44" fillId="0" borderId="1" xfId="88" applyFont="1" applyBorder="1" applyAlignment="1">
      <alignment horizontal="left" vertical="center"/>
    </xf>
    <xf numFmtId="0" fontId="0" fillId="0" borderId="1" xfId="0" applyBorder="1" applyAlignment="1">
      <alignment horizontal="left" vertical="center"/>
    </xf>
    <xf numFmtId="0" fontId="45" fillId="0" borderId="1" xfId="88" applyFont="1" applyBorder="1" applyAlignment="1">
      <alignment horizontal="left" vertical="center"/>
    </xf>
    <xf numFmtId="0" fontId="44" fillId="0" borderId="1" xfId="88" quotePrefix="1" applyFont="1" applyBorder="1" applyAlignment="1">
      <alignment horizontal="left" vertical="center"/>
    </xf>
    <xf numFmtId="0" fontId="45" fillId="4" borderId="1" xfId="88" applyFont="1" applyFill="1" applyBorder="1" applyAlignment="1">
      <alignment horizontal="center" vertical="center"/>
    </xf>
    <xf numFmtId="0" fontId="45" fillId="19" borderId="6" xfId="88" applyFont="1" applyFill="1" applyBorder="1" applyAlignment="1">
      <alignment horizontal="center" vertical="center"/>
    </xf>
    <xf numFmtId="0" fontId="45" fillId="19" borderId="7" xfId="88" applyFont="1" applyFill="1" applyBorder="1" applyAlignment="1">
      <alignment horizontal="center" vertical="center"/>
    </xf>
    <xf numFmtId="0" fontId="45" fillId="17" borderId="4" xfId="88" applyFont="1" applyFill="1" applyBorder="1" applyAlignment="1">
      <alignment horizontal="center" vertical="center"/>
    </xf>
    <xf numFmtId="0" fontId="45" fillId="17" borderId="6" xfId="88" applyFont="1" applyFill="1" applyBorder="1" applyAlignment="1">
      <alignment horizontal="center" vertical="center"/>
    </xf>
    <xf numFmtId="0" fontId="45" fillId="17" borderId="7" xfId="88" applyFont="1" applyFill="1" applyBorder="1" applyAlignment="1">
      <alignment horizontal="center" vertical="center"/>
    </xf>
    <xf numFmtId="0" fontId="44" fillId="0" borderId="4" xfId="88" applyFont="1" applyBorder="1" applyAlignment="1">
      <alignment horizontal="left" vertical="center"/>
    </xf>
    <xf numFmtId="0" fontId="44" fillId="0" borderId="6" xfId="88" applyFont="1" applyBorder="1" applyAlignment="1">
      <alignment horizontal="left" vertical="center"/>
    </xf>
    <xf numFmtId="0" fontId="44" fillId="0" borderId="7" xfId="88" applyFont="1" applyBorder="1" applyAlignment="1">
      <alignment horizontal="left" vertical="center"/>
    </xf>
    <xf numFmtId="0" fontId="0" fillId="4" borderId="1" xfId="0" applyFill="1" applyBorder="1" applyAlignment="1">
      <alignment horizontal="center" vertical="center"/>
    </xf>
    <xf numFmtId="0" fontId="44" fillId="0" borderId="0" xfId="88" applyFont="1" applyAlignment="1">
      <alignment horizontal="center" vertical="center"/>
    </xf>
    <xf numFmtId="0" fontId="12" fillId="0" borderId="4" xfId="88" applyFont="1" applyBorder="1" applyAlignment="1">
      <alignment horizontal="center" vertical="center" wrapText="1"/>
    </xf>
    <xf numFmtId="0" fontId="12" fillId="0" borderId="6" xfId="88" applyFont="1" applyBorder="1" applyAlignment="1">
      <alignment horizontal="center" vertical="center" wrapText="1"/>
    </xf>
    <xf numFmtId="0" fontId="45" fillId="0" borderId="4" xfId="88" applyFont="1" applyBorder="1" applyAlignment="1">
      <alignment horizontal="center" vertical="center" wrapText="1"/>
    </xf>
    <xf numFmtId="0" fontId="45" fillId="0" borderId="6" xfId="88" applyFont="1" applyBorder="1" applyAlignment="1">
      <alignment horizontal="center" vertical="center" wrapText="1"/>
    </xf>
    <xf numFmtId="0" fontId="45" fillId="0" borderId="6" xfId="88" applyFont="1" applyBorder="1" applyAlignment="1">
      <alignment horizontal="left" vertical="center"/>
    </xf>
    <xf numFmtId="0" fontId="69" fillId="4" borderId="1" xfId="88" applyFont="1" applyFill="1" applyBorder="1" applyAlignment="1">
      <alignment horizontal="center" vertical="center" wrapText="1"/>
    </xf>
    <xf numFmtId="0" fontId="75" fillId="14" borderId="1" xfId="88" applyFont="1" applyFill="1" applyBorder="1" applyAlignment="1">
      <alignment horizontal="center" vertical="center"/>
    </xf>
    <xf numFmtId="0" fontId="45" fillId="18" borderId="4" xfId="88" applyFont="1" applyFill="1" applyBorder="1" applyAlignment="1">
      <alignment horizontal="center" vertical="center"/>
    </xf>
    <xf numFmtId="0" fontId="45" fillId="18" borderId="6" xfId="88" applyFont="1" applyFill="1" applyBorder="1" applyAlignment="1">
      <alignment horizontal="center" vertical="center"/>
    </xf>
    <xf numFmtId="0" fontId="45" fillId="18" borderId="7" xfId="88" applyFont="1" applyFill="1" applyBorder="1" applyAlignment="1">
      <alignment horizontal="center" vertical="center"/>
    </xf>
    <xf numFmtId="0" fontId="45" fillId="4" borderId="7" xfId="88"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45" fillId="9" borderId="6" xfId="88" applyFont="1" applyFill="1" applyBorder="1" applyAlignment="1">
      <alignment horizontal="center" vertical="center"/>
    </xf>
    <xf numFmtId="0" fontId="45" fillId="9" borderId="7" xfId="88" applyFont="1" applyFill="1" applyBorder="1" applyAlignment="1">
      <alignment horizontal="center" vertical="center"/>
    </xf>
    <xf numFmtId="0" fontId="45" fillId="0" borderId="1" xfId="88" applyFont="1" applyBorder="1" applyAlignment="1">
      <alignment horizontal="center" vertical="center"/>
    </xf>
    <xf numFmtId="0" fontId="0" fillId="0" borderId="1" xfId="0" applyBorder="1" applyAlignment="1">
      <alignment horizontal="center" vertical="center"/>
    </xf>
    <xf numFmtId="0" fontId="11" fillId="0" borderId="1" xfId="88" applyFont="1" applyBorder="1" applyAlignment="1">
      <alignment horizontal="left" vertical="center"/>
    </xf>
    <xf numFmtId="0" fontId="66" fillId="0" borderId="1" xfId="0" applyFont="1" applyBorder="1" applyAlignment="1">
      <alignment horizontal="left" vertical="center"/>
    </xf>
    <xf numFmtId="0" fontId="11" fillId="3" borderId="1" xfId="88" applyFont="1" applyFill="1" applyBorder="1" applyAlignment="1">
      <alignment horizontal="left" vertical="center"/>
    </xf>
    <xf numFmtId="0" fontId="12" fillId="4" borderId="1" xfId="88" applyFont="1" applyFill="1" applyBorder="1" applyAlignment="1">
      <alignment horizontal="center" vertical="center"/>
    </xf>
    <xf numFmtId="0" fontId="75" fillId="0" borderId="6" xfId="88" applyFont="1" applyBorder="1" applyAlignment="1">
      <alignment horizontal="left" vertical="center" wrapText="1"/>
    </xf>
    <xf numFmtId="0" fontId="45" fillId="4" borderId="1" xfId="88" applyFont="1" applyFill="1" applyBorder="1" applyAlignment="1">
      <alignment horizontal="left" vertical="center"/>
    </xf>
    <xf numFmtId="0" fontId="45" fillId="0" borderId="4" xfId="88" applyFont="1" applyBorder="1" applyAlignment="1">
      <alignment horizontal="center" vertical="center"/>
    </xf>
    <xf numFmtId="0" fontId="45" fillId="0" borderId="7" xfId="88" applyFont="1" applyBorder="1" applyAlignment="1">
      <alignment horizontal="center" vertical="center"/>
    </xf>
    <xf numFmtId="10" fontId="12" fillId="31" borderId="4" xfId="524" applyNumberFormat="1" applyFont="1" applyFill="1" applyBorder="1" applyAlignment="1" applyProtection="1">
      <alignment horizontal="center" vertical="center"/>
      <protection locked="0"/>
    </xf>
    <xf numFmtId="10" fontId="12" fillId="31" borderId="7" xfId="524" applyNumberFormat="1" applyFont="1" applyFill="1" applyBorder="1" applyAlignment="1" applyProtection="1">
      <alignment horizontal="center" vertical="center"/>
      <protection locked="0"/>
    </xf>
    <xf numFmtId="0" fontId="135" fillId="31" borderId="1" xfId="88" applyFont="1" applyFill="1" applyBorder="1" applyAlignment="1">
      <alignment horizontal="left" vertical="center"/>
    </xf>
    <xf numFmtId="0" fontId="44" fillId="32" borderId="4" xfId="88" applyFont="1" applyFill="1" applyBorder="1" applyAlignment="1">
      <alignment horizontal="center" vertical="center"/>
    </xf>
    <xf numFmtId="0" fontId="44" fillId="32" borderId="7" xfId="88" applyFont="1" applyFill="1" applyBorder="1" applyAlignment="1">
      <alignment horizontal="center" vertical="center"/>
    </xf>
    <xf numFmtId="0" fontId="44" fillId="10" borderId="4" xfId="88" applyFont="1" applyFill="1" applyBorder="1" applyAlignment="1">
      <alignment horizontal="center" vertical="center"/>
    </xf>
    <xf numFmtId="0" fontId="44" fillId="10" borderId="7" xfId="88" applyFont="1" applyFill="1" applyBorder="1" applyAlignment="1">
      <alignment horizontal="center" vertical="center"/>
    </xf>
    <xf numFmtId="9" fontId="44" fillId="0" borderId="4" xfId="524" applyFont="1" applyFill="1" applyBorder="1" applyAlignment="1" applyProtection="1">
      <alignment horizontal="center" vertical="center"/>
    </xf>
    <xf numFmtId="9" fontId="44" fillId="0" borderId="7" xfId="524" applyFont="1" applyFill="1" applyBorder="1" applyAlignment="1" applyProtection="1">
      <alignment horizontal="center" vertical="center"/>
    </xf>
    <xf numFmtId="9" fontId="44" fillId="0" borderId="4" xfId="88" applyNumberFormat="1" applyFont="1" applyBorder="1" applyAlignment="1">
      <alignment horizontal="center" vertical="center"/>
    </xf>
    <xf numFmtId="9" fontId="44" fillId="0" borderId="7" xfId="88" applyNumberFormat="1" applyFont="1" applyBorder="1" applyAlignment="1">
      <alignment horizontal="center" vertical="center"/>
    </xf>
    <xf numFmtId="0" fontId="12" fillId="0" borderId="1" xfId="88" applyFont="1" applyBorder="1" applyAlignment="1">
      <alignment horizontal="center" vertical="center" wrapText="1"/>
    </xf>
    <xf numFmtId="10" fontId="44" fillId="0" borderId="4" xfId="88" applyNumberFormat="1" applyFont="1" applyBorder="1" applyAlignment="1">
      <alignment horizontal="center" vertical="center"/>
    </xf>
    <xf numFmtId="10" fontId="44" fillId="0" borderId="7" xfId="88" applyNumberFormat="1" applyFont="1" applyBorder="1" applyAlignment="1">
      <alignment horizontal="center" vertical="center"/>
    </xf>
    <xf numFmtId="0" fontId="45" fillId="4" borderId="1" xfId="88" applyFont="1" applyFill="1" applyBorder="1" applyAlignment="1">
      <alignment horizontal="center" vertical="center" wrapText="1"/>
    </xf>
    <xf numFmtId="0" fontId="91" fillId="0" borderId="1" xfId="88" applyFont="1" applyBorder="1" applyAlignment="1">
      <alignment horizontal="center" vertical="center" wrapText="1"/>
    </xf>
    <xf numFmtId="0" fontId="45" fillId="3" borderId="1" xfId="88" applyFont="1" applyFill="1" applyBorder="1" applyAlignment="1">
      <alignment horizontal="left" vertical="center" wrapText="1"/>
    </xf>
    <xf numFmtId="0" fontId="45" fillId="4" borderId="4" xfId="88" applyFont="1" applyFill="1" applyBorder="1" applyAlignment="1">
      <alignment horizontal="center" vertical="center" wrapText="1"/>
    </xf>
    <xf numFmtId="0" fontId="45" fillId="4" borderId="6" xfId="88" applyFont="1" applyFill="1" applyBorder="1" applyAlignment="1">
      <alignment horizontal="center" vertical="center" wrapText="1"/>
    </xf>
    <xf numFmtId="0" fontId="45" fillId="16" borderId="4" xfId="88" applyFont="1" applyFill="1" applyBorder="1" applyAlignment="1">
      <alignment horizontal="center" vertical="center"/>
    </xf>
    <xf numFmtId="0" fontId="45" fillId="16" borderId="6" xfId="88" applyFont="1" applyFill="1" applyBorder="1" applyAlignment="1">
      <alignment horizontal="center" vertical="center"/>
    </xf>
    <xf numFmtId="0" fontId="45" fillId="16" borderId="7" xfId="88" applyFont="1" applyFill="1" applyBorder="1" applyAlignment="1">
      <alignment horizontal="center" vertical="center"/>
    </xf>
    <xf numFmtId="0" fontId="78" fillId="0" borderId="13" xfId="88" applyFont="1" applyBorder="1" applyAlignment="1">
      <alignment horizontal="right" vertical="center"/>
    </xf>
    <xf numFmtId="0" fontId="78" fillId="0" borderId="0" xfId="88" applyFont="1" applyAlignment="1">
      <alignment horizontal="right" vertical="center"/>
    </xf>
    <xf numFmtId="0" fontId="78" fillId="0" borderId="11" xfId="88" applyFont="1" applyBorder="1" applyAlignment="1">
      <alignment horizontal="right" vertical="center"/>
    </xf>
    <xf numFmtId="10" fontId="45" fillId="4" borderId="4" xfId="88" applyNumberFormat="1" applyFont="1" applyFill="1" applyBorder="1" applyAlignment="1">
      <alignment horizontal="center" vertical="center"/>
    </xf>
    <xf numFmtId="10" fontId="45" fillId="4" borderId="7" xfId="88" applyNumberFormat="1" applyFont="1" applyFill="1" applyBorder="1" applyAlignment="1">
      <alignment horizontal="center" vertical="center"/>
    </xf>
    <xf numFmtId="10" fontId="12" fillId="31" borderId="4" xfId="88" applyNumberFormat="1" applyFont="1" applyFill="1" applyBorder="1" applyAlignment="1" applyProtection="1">
      <alignment horizontal="center" vertical="center"/>
      <protection locked="0"/>
    </xf>
    <xf numFmtId="10" fontId="12" fillId="31" borderId="7" xfId="88" applyNumberFormat="1" applyFont="1" applyFill="1" applyBorder="1" applyAlignment="1" applyProtection="1">
      <alignment horizontal="center" vertical="center"/>
      <protection locked="0"/>
    </xf>
    <xf numFmtId="10" fontId="44" fillId="4" borderId="4" xfId="88" applyNumberFormat="1" applyFont="1" applyFill="1" applyBorder="1" applyAlignment="1">
      <alignment horizontal="center" vertical="center"/>
    </xf>
    <xf numFmtId="10" fontId="44" fillId="4" borderId="7" xfId="88" applyNumberFormat="1" applyFont="1" applyFill="1" applyBorder="1" applyAlignment="1">
      <alignment horizontal="center" vertical="center"/>
    </xf>
    <xf numFmtId="167" fontId="12" fillId="31" borderId="4" xfId="88" applyNumberFormat="1" applyFont="1" applyFill="1" applyBorder="1" applyAlignment="1" applyProtection="1">
      <alignment horizontal="center" vertical="center"/>
      <protection locked="0"/>
    </xf>
    <xf numFmtId="167" fontId="12" fillId="31" borderId="7" xfId="88" applyNumberFormat="1" applyFont="1" applyFill="1" applyBorder="1" applyAlignment="1" applyProtection="1">
      <alignment horizontal="center" vertical="center"/>
      <protection locked="0"/>
    </xf>
    <xf numFmtId="10" fontId="45" fillId="31" borderId="4" xfId="88" applyNumberFormat="1" applyFont="1" applyFill="1" applyBorder="1" applyAlignment="1" applyProtection="1">
      <alignment horizontal="center" vertical="center"/>
      <protection locked="0"/>
    </xf>
    <xf numFmtId="10" fontId="45" fillId="31" borderId="7" xfId="88" applyNumberFormat="1" applyFont="1" applyFill="1" applyBorder="1" applyAlignment="1" applyProtection="1">
      <alignment horizontal="center" vertical="center"/>
      <protection locked="0"/>
    </xf>
    <xf numFmtId="10" fontId="11" fillId="0" borderId="4" xfId="88" applyNumberFormat="1" applyFont="1" applyBorder="1" applyAlignment="1">
      <alignment horizontal="center" vertical="center"/>
    </xf>
    <xf numFmtId="10" fontId="11" fillId="0" borderId="7" xfId="88" applyNumberFormat="1" applyFont="1" applyBorder="1" applyAlignment="1">
      <alignment horizontal="center" vertical="center"/>
    </xf>
    <xf numFmtId="168" fontId="73" fillId="0" borderId="32" xfId="0" applyNumberFormat="1" applyFont="1" applyBorder="1" applyAlignment="1" applyProtection="1">
      <alignment horizontal="center" vertical="center"/>
    </xf>
    <xf numFmtId="0" fontId="73" fillId="0" borderId="32" xfId="0" applyFont="1" applyBorder="1" applyAlignment="1" applyProtection="1">
      <alignment horizontal="center" vertical="center"/>
    </xf>
    <xf numFmtId="0" fontId="103" fillId="30" borderId="1" xfId="0" applyFont="1" applyFill="1" applyBorder="1" applyAlignment="1" applyProtection="1">
      <alignment horizontal="center" vertical="center"/>
    </xf>
    <xf numFmtId="0" fontId="102" fillId="30" borderId="1" xfId="0" applyFont="1" applyFill="1" applyBorder="1" applyAlignment="1" applyProtection="1">
      <alignment horizontal="center" vertical="center" textRotation="90" wrapText="1"/>
    </xf>
    <xf numFmtId="168" fontId="73" fillId="0" borderId="8" xfId="0" applyNumberFormat="1" applyFont="1" applyBorder="1" applyAlignment="1" applyProtection="1">
      <alignment horizontal="center" vertical="center"/>
    </xf>
    <xf numFmtId="168" fontId="73" fillId="0" borderId="2" xfId="0" applyNumberFormat="1" applyFont="1" applyBorder="1" applyAlignment="1" applyProtection="1">
      <alignment horizontal="center" vertical="center"/>
    </xf>
    <xf numFmtId="0" fontId="101" fillId="0" borderId="32" xfId="0" applyFont="1" applyBorder="1" applyAlignment="1" applyProtection="1">
      <alignment horizontal="center" vertical="center"/>
    </xf>
    <xf numFmtId="0" fontId="95" fillId="0" borderId="33" xfId="0" applyFont="1" applyBorder="1" applyAlignment="1" applyProtection="1">
      <alignment horizontal="center" vertical="center"/>
    </xf>
    <xf numFmtId="0" fontId="95" fillId="0" borderId="32" xfId="0" applyFont="1" applyBorder="1" applyAlignment="1" applyProtection="1">
      <alignment horizontal="center" vertical="center"/>
    </xf>
    <xf numFmtId="0" fontId="84" fillId="0" borderId="15" xfId="0" applyFont="1" applyBorder="1" applyAlignment="1" applyProtection="1">
      <alignment horizontal="center" vertical="center"/>
    </xf>
    <xf numFmtId="0" fontId="84" fillId="0" borderId="8" xfId="0" applyFont="1" applyBorder="1" applyAlignment="1" applyProtection="1">
      <alignment horizontal="center" vertical="center"/>
    </xf>
    <xf numFmtId="0" fontId="84" fillId="0" borderId="8" xfId="0" applyFont="1" applyBorder="1" applyAlignment="1" applyProtection="1">
      <alignment horizontal="center" vertical="center" wrapText="1"/>
    </xf>
    <xf numFmtId="0" fontId="84" fillId="0" borderId="11" xfId="0" applyFont="1" applyBorder="1" applyAlignment="1" applyProtection="1">
      <alignment horizontal="center" vertical="center" wrapText="1"/>
    </xf>
    <xf numFmtId="0" fontId="84" fillId="0" borderId="10" xfId="0" applyFont="1" applyBorder="1" applyAlignment="1" applyProtection="1">
      <alignment horizontal="center" vertical="center" wrapText="1"/>
    </xf>
    <xf numFmtId="0" fontId="84" fillId="25" borderId="11" xfId="0" applyFont="1" applyFill="1" applyBorder="1" applyAlignment="1" applyProtection="1">
      <alignment horizontal="center" vertical="center"/>
    </xf>
    <xf numFmtId="0" fontId="84" fillId="25" borderId="10" xfId="0" applyFont="1" applyFill="1" applyBorder="1" applyAlignment="1" applyProtection="1">
      <alignment horizontal="center" vertical="center"/>
    </xf>
    <xf numFmtId="0" fontId="103" fillId="7" borderId="34" xfId="0" applyFont="1" applyFill="1" applyBorder="1" applyAlignment="1" applyProtection="1">
      <alignment horizontal="center" vertical="center"/>
    </xf>
    <xf numFmtId="0" fontId="103" fillId="7" borderId="38" xfId="0" applyFont="1" applyFill="1" applyBorder="1" applyAlignment="1" applyProtection="1">
      <alignment horizontal="center" vertical="center"/>
    </xf>
    <xf numFmtId="0" fontId="102" fillId="7" borderId="35" xfId="0" applyFont="1" applyFill="1" applyBorder="1" applyAlignment="1" applyProtection="1">
      <alignment horizontal="center" vertical="center" textRotation="90" wrapText="1"/>
    </xf>
    <xf numFmtId="0" fontId="102" fillId="7" borderId="37" xfId="0" applyFont="1" applyFill="1" applyBorder="1" applyAlignment="1" applyProtection="1">
      <alignment horizontal="center" vertical="center" textRotation="90" wrapText="1"/>
    </xf>
    <xf numFmtId="0" fontId="102" fillId="7" borderId="39" xfId="0" applyFont="1" applyFill="1" applyBorder="1" applyAlignment="1" applyProtection="1">
      <alignment horizontal="center" vertical="center" textRotation="90" wrapText="1"/>
    </xf>
    <xf numFmtId="0" fontId="67" fillId="0" borderId="32" xfId="0" applyFont="1" applyBorder="1" applyAlignment="1" applyProtection="1">
      <alignment horizontal="center" vertical="center"/>
    </xf>
    <xf numFmtId="0" fontId="106" fillId="7" borderId="32" xfId="74" applyFont="1" applyFill="1" applyBorder="1" applyAlignment="1" applyProtection="1">
      <alignment horizontal="left" vertical="center" wrapText="1" shrinkToFit="1"/>
    </xf>
    <xf numFmtId="0" fontId="104" fillId="7" borderId="32" xfId="74" applyFont="1" applyFill="1" applyBorder="1" applyAlignment="1" applyProtection="1">
      <alignment horizontal="left" vertical="center" wrapText="1" shrinkToFit="1"/>
    </xf>
    <xf numFmtId="0" fontId="67" fillId="7" borderId="32" xfId="0" applyFont="1" applyFill="1" applyBorder="1" applyAlignment="1" applyProtection="1">
      <alignment horizontal="center" vertical="center"/>
    </xf>
    <xf numFmtId="0" fontId="110" fillId="7" borderId="32" xfId="0" applyFont="1" applyFill="1" applyBorder="1" applyAlignment="1" applyProtection="1">
      <alignment horizontal="center" vertical="center"/>
    </xf>
    <xf numFmtId="168" fontId="67" fillId="7" borderId="32" xfId="0" applyNumberFormat="1" applyFont="1" applyFill="1" applyBorder="1" applyAlignment="1" applyProtection="1">
      <alignment horizontal="center" vertical="center"/>
    </xf>
    <xf numFmtId="2" fontId="67" fillId="7" borderId="32" xfId="0" applyNumberFormat="1" applyFont="1" applyFill="1" applyBorder="1" applyAlignment="1" applyProtection="1">
      <alignment horizontal="center" vertical="center"/>
    </xf>
    <xf numFmtId="168" fontId="105" fillId="27" borderId="32" xfId="0" applyNumberFormat="1" applyFont="1" applyFill="1" applyBorder="1" applyAlignment="1" applyProtection="1">
      <alignment horizontal="center" vertical="center"/>
    </xf>
    <xf numFmtId="168" fontId="105" fillId="27" borderId="36" xfId="0" applyNumberFormat="1" applyFont="1" applyFill="1" applyBorder="1" applyAlignment="1" applyProtection="1">
      <alignment horizontal="center" vertical="center"/>
    </xf>
    <xf numFmtId="168" fontId="73" fillId="7" borderId="36" xfId="0" applyNumberFormat="1" applyFont="1" applyFill="1" applyBorder="1" applyAlignment="1" applyProtection="1">
      <alignment horizontal="center" vertical="center"/>
    </xf>
    <xf numFmtId="0" fontId="73" fillId="7" borderId="36" xfId="0" applyFont="1" applyFill="1" applyBorder="1" applyAlignment="1" applyProtection="1">
      <alignment horizontal="center" vertical="center"/>
    </xf>
    <xf numFmtId="0" fontId="105" fillId="7" borderId="32" xfId="0" applyFont="1" applyFill="1" applyBorder="1" applyAlignment="1" applyProtection="1">
      <alignment horizontal="center" vertical="center"/>
    </xf>
    <xf numFmtId="0" fontId="105" fillId="20" borderId="32" xfId="0" applyFont="1" applyFill="1" applyBorder="1" applyAlignment="1" applyProtection="1">
      <alignment horizontal="center" vertical="center"/>
    </xf>
    <xf numFmtId="168" fontId="67" fillId="20" borderId="32" xfId="0" applyNumberFormat="1" applyFont="1" applyFill="1" applyBorder="1" applyAlignment="1" applyProtection="1">
      <alignment horizontal="center" vertical="center"/>
    </xf>
    <xf numFmtId="0" fontId="103" fillId="20" borderId="36" xfId="0" applyFont="1" applyFill="1" applyBorder="1" applyAlignment="1" applyProtection="1">
      <alignment horizontal="center" vertical="center"/>
    </xf>
    <xf numFmtId="0" fontId="103" fillId="20" borderId="42" xfId="0" applyFont="1" applyFill="1" applyBorder="1" applyAlignment="1" applyProtection="1">
      <alignment horizontal="center" vertical="center"/>
    </xf>
    <xf numFmtId="0" fontId="102" fillId="20" borderId="47" xfId="0" applyFont="1" applyFill="1" applyBorder="1" applyAlignment="1" applyProtection="1">
      <alignment horizontal="center" vertical="center" textRotation="90"/>
    </xf>
    <xf numFmtId="0" fontId="102" fillId="20" borderId="48" xfId="0" applyFont="1" applyFill="1" applyBorder="1" applyAlignment="1" applyProtection="1">
      <alignment horizontal="center" vertical="center" textRotation="90"/>
    </xf>
    <xf numFmtId="0" fontId="102" fillId="20" borderId="49" xfId="0" applyFont="1" applyFill="1" applyBorder="1" applyAlignment="1" applyProtection="1">
      <alignment horizontal="center" vertical="center" textRotation="90"/>
    </xf>
    <xf numFmtId="0" fontId="104" fillId="20" borderId="34" xfId="0" applyFont="1" applyFill="1" applyBorder="1" applyAlignment="1" applyProtection="1">
      <alignment horizontal="left" vertical="center" wrapText="1"/>
    </xf>
    <xf numFmtId="0" fontId="104" fillId="20" borderId="38" xfId="0" applyFont="1" applyFill="1" applyBorder="1" applyAlignment="1" applyProtection="1">
      <alignment horizontal="left" vertical="center" wrapText="1"/>
    </xf>
    <xf numFmtId="0" fontId="104" fillId="20" borderId="33" xfId="0" applyFont="1" applyFill="1" applyBorder="1" applyAlignment="1" applyProtection="1">
      <alignment horizontal="left" vertical="center" wrapText="1"/>
    </xf>
    <xf numFmtId="0" fontId="106" fillId="20" borderId="32" xfId="74" applyFont="1" applyFill="1" applyBorder="1" applyAlignment="1" applyProtection="1">
      <alignment horizontal="left" vertical="center" wrapText="1" shrinkToFit="1"/>
    </xf>
    <xf numFmtId="0" fontId="104" fillId="20" borderId="32" xfId="74" applyFont="1" applyFill="1" applyBorder="1" applyAlignment="1" applyProtection="1">
      <alignment horizontal="left" vertical="center" wrapText="1" shrinkToFit="1"/>
    </xf>
    <xf numFmtId="2" fontId="67" fillId="20" borderId="32" xfId="0" applyNumberFormat="1" applyFont="1" applyFill="1" applyBorder="1" applyAlignment="1" applyProtection="1">
      <alignment horizontal="center" vertical="center"/>
    </xf>
    <xf numFmtId="168" fontId="105" fillId="28" borderId="32" xfId="0" applyNumberFormat="1" applyFont="1" applyFill="1" applyBorder="1" applyAlignment="1" applyProtection="1">
      <alignment horizontal="center" vertical="center"/>
    </xf>
    <xf numFmtId="0" fontId="67" fillId="20" borderId="34" xfId="0" applyFont="1" applyFill="1" applyBorder="1" applyAlignment="1" applyProtection="1">
      <alignment vertical="center"/>
    </xf>
    <xf numFmtId="0" fontId="67" fillId="20" borderId="38" xfId="0" applyFont="1" applyFill="1" applyBorder="1" applyAlignment="1" applyProtection="1">
      <alignment vertical="center"/>
    </xf>
    <xf numFmtId="0" fontId="67" fillId="20" borderId="33" xfId="0" applyFont="1" applyFill="1" applyBorder="1" applyAlignment="1" applyProtection="1">
      <alignment vertical="center"/>
    </xf>
    <xf numFmtId="168" fontId="105" fillId="28" borderId="36" xfId="0" applyNumberFormat="1" applyFont="1" applyFill="1" applyBorder="1" applyAlignment="1" applyProtection="1">
      <alignment horizontal="center" vertical="center"/>
    </xf>
    <xf numFmtId="168" fontId="73" fillId="20" borderId="32" xfId="0" applyNumberFormat="1" applyFont="1" applyFill="1" applyBorder="1" applyAlignment="1" applyProtection="1">
      <alignment horizontal="center" vertical="center"/>
    </xf>
    <xf numFmtId="0" fontId="73" fillId="20" borderId="32" xfId="0" applyFont="1" applyFill="1" applyBorder="1" applyAlignment="1" applyProtection="1">
      <alignment horizontal="center" vertical="center"/>
    </xf>
    <xf numFmtId="0" fontId="67" fillId="20" borderId="32" xfId="0" applyFont="1" applyFill="1" applyBorder="1" applyAlignment="1" applyProtection="1">
      <alignment horizontal="center" vertical="center"/>
    </xf>
    <xf numFmtId="0" fontId="67" fillId="20" borderId="34" xfId="0" applyFont="1" applyFill="1" applyBorder="1" applyAlignment="1" applyProtection="1">
      <alignment horizontal="center" vertical="center"/>
    </xf>
    <xf numFmtId="0" fontId="105" fillId="20" borderId="34" xfId="0" applyFont="1" applyFill="1" applyBorder="1" applyAlignment="1" applyProtection="1">
      <alignment horizontal="center" vertical="center"/>
    </xf>
    <xf numFmtId="0" fontId="104" fillId="20" borderId="32" xfId="0" applyFont="1" applyFill="1" applyBorder="1" applyAlignment="1" applyProtection="1">
      <alignment horizontal="left" vertical="center" wrapText="1"/>
    </xf>
    <xf numFmtId="0" fontId="104" fillId="20" borderId="40" xfId="0" applyFont="1" applyFill="1" applyBorder="1" applyAlignment="1" applyProtection="1">
      <alignment horizontal="left" vertical="center" wrapText="1"/>
    </xf>
    <xf numFmtId="0" fontId="106" fillId="20" borderId="38" xfId="74" applyFont="1" applyFill="1" applyBorder="1" applyAlignment="1" applyProtection="1">
      <alignment horizontal="left" vertical="center" wrapText="1" shrinkToFit="1"/>
    </xf>
    <xf numFmtId="0" fontId="104" fillId="20" borderId="38" xfId="74" applyFont="1" applyFill="1" applyBorder="1" applyAlignment="1" applyProtection="1">
      <alignment horizontal="left" vertical="center" wrapText="1" shrinkToFit="1"/>
    </xf>
    <xf numFmtId="0" fontId="104" fillId="20" borderId="33" xfId="74" applyFont="1" applyFill="1" applyBorder="1" applyAlignment="1" applyProtection="1">
      <alignment horizontal="left" vertical="center" wrapText="1" shrinkToFit="1"/>
    </xf>
    <xf numFmtId="0" fontId="67" fillId="20" borderId="33" xfId="0" applyFont="1" applyFill="1" applyBorder="1" applyAlignment="1" applyProtection="1">
      <alignment horizontal="center" vertical="center"/>
    </xf>
    <xf numFmtId="0" fontId="105" fillId="20" borderId="33" xfId="0" applyFont="1" applyFill="1" applyBorder="1" applyAlignment="1" applyProtection="1">
      <alignment horizontal="center" vertical="center"/>
    </xf>
    <xf numFmtId="0" fontId="104" fillId="20" borderId="34" xfId="74" applyFont="1" applyFill="1" applyBorder="1" applyAlignment="1" applyProtection="1">
      <alignment horizontal="left" vertical="center" wrapText="1" shrinkToFit="1"/>
    </xf>
    <xf numFmtId="0" fontId="104" fillId="20" borderId="51" xfId="74" applyFont="1" applyFill="1" applyBorder="1" applyAlignment="1" applyProtection="1">
      <alignment horizontal="left" vertical="center" wrapText="1" shrinkToFit="1"/>
    </xf>
    <xf numFmtId="0" fontId="104" fillId="10" borderId="41" xfId="74" applyFont="1" applyFill="1" applyBorder="1" applyAlignment="1" applyProtection="1">
      <alignment horizontal="left" vertical="center" wrapText="1" shrinkToFit="1"/>
    </xf>
    <xf numFmtId="0" fontId="67" fillId="10" borderId="33" xfId="0" applyFont="1" applyFill="1" applyBorder="1" applyAlignment="1" applyProtection="1">
      <alignment horizontal="center" vertical="center"/>
    </xf>
    <xf numFmtId="0" fontId="67" fillId="10" borderId="32" xfId="0" applyFont="1" applyFill="1" applyBorder="1" applyAlignment="1" applyProtection="1">
      <alignment horizontal="center" vertical="center"/>
    </xf>
    <xf numFmtId="0" fontId="105" fillId="10" borderId="32" xfId="0" applyFont="1" applyFill="1" applyBorder="1" applyAlignment="1" applyProtection="1">
      <alignment horizontal="center" vertical="center"/>
    </xf>
    <xf numFmtId="168" fontId="67" fillId="10" borderId="32" xfId="0" applyNumberFormat="1" applyFont="1" applyFill="1" applyBorder="1" applyAlignment="1" applyProtection="1">
      <alignment horizontal="center" vertical="center"/>
    </xf>
    <xf numFmtId="168" fontId="105" fillId="29" borderId="32" xfId="0" applyNumberFormat="1" applyFont="1" applyFill="1" applyBorder="1" applyAlignment="1" applyProtection="1">
      <alignment horizontal="center" vertical="center"/>
    </xf>
    <xf numFmtId="168" fontId="105" fillId="29" borderId="36" xfId="0" applyNumberFormat="1" applyFont="1" applyFill="1" applyBorder="1" applyAlignment="1" applyProtection="1">
      <alignment horizontal="center" vertical="center"/>
    </xf>
    <xf numFmtId="168" fontId="73" fillId="10" borderId="36" xfId="0" applyNumberFormat="1" applyFont="1" applyFill="1" applyBorder="1" applyAlignment="1" applyProtection="1">
      <alignment horizontal="center" vertical="center"/>
    </xf>
    <xf numFmtId="0" fontId="73" fillId="10" borderId="36" xfId="0" applyFont="1" applyFill="1" applyBorder="1" applyAlignment="1" applyProtection="1">
      <alignment horizontal="center" vertical="center"/>
    </xf>
    <xf numFmtId="0" fontId="73" fillId="10" borderId="41" xfId="0" applyFont="1" applyFill="1" applyBorder="1" applyAlignment="1" applyProtection="1">
      <alignment horizontal="center" vertical="center"/>
    </xf>
    <xf numFmtId="168" fontId="73" fillId="0" borderId="32" xfId="0" quotePrefix="1" applyNumberFormat="1" applyFont="1" applyBorder="1" applyAlignment="1" applyProtection="1">
      <alignment horizontal="center" vertical="center"/>
    </xf>
    <xf numFmtId="0" fontId="105" fillId="10" borderId="40" xfId="0" applyFont="1" applyFill="1" applyBorder="1" applyAlignment="1" applyProtection="1">
      <alignment horizontal="center" vertical="center"/>
    </xf>
    <xf numFmtId="0" fontId="105" fillId="10" borderId="35" xfId="0" applyFont="1" applyFill="1" applyBorder="1" applyAlignment="1" applyProtection="1">
      <alignment horizontal="center" vertical="center"/>
    </xf>
    <xf numFmtId="168" fontId="67" fillId="10" borderId="34" xfId="0" applyNumberFormat="1" applyFont="1" applyFill="1" applyBorder="1" applyAlignment="1" applyProtection="1">
      <alignment horizontal="center" vertical="center"/>
    </xf>
    <xf numFmtId="2" fontId="67" fillId="10" borderId="32" xfId="0" applyNumberFormat="1" applyFont="1" applyFill="1" applyBorder="1" applyAlignment="1" applyProtection="1">
      <alignment horizontal="center" vertical="center"/>
    </xf>
    <xf numFmtId="0" fontId="104" fillId="10" borderId="40" xfId="74" applyFont="1" applyFill="1" applyBorder="1" applyAlignment="1" applyProtection="1">
      <alignment horizontal="left" vertical="center" wrapText="1" shrinkToFit="1"/>
    </xf>
    <xf numFmtId="0" fontId="67" fillId="10" borderId="34" xfId="0" applyFont="1" applyFill="1" applyBorder="1" applyAlignment="1" applyProtection="1">
      <alignment horizontal="center" vertical="center"/>
    </xf>
    <xf numFmtId="2" fontId="67" fillId="10" borderId="34" xfId="0" applyNumberFormat="1" applyFont="1" applyFill="1" applyBorder="1" applyAlignment="1" applyProtection="1">
      <alignment horizontal="center" vertical="center"/>
    </xf>
    <xf numFmtId="168" fontId="105" fillId="29" borderId="34" xfId="0" applyNumberFormat="1" applyFont="1" applyFill="1" applyBorder="1" applyAlignment="1" applyProtection="1">
      <alignment horizontal="center" vertical="center"/>
    </xf>
    <xf numFmtId="168" fontId="105" fillId="29" borderId="42" xfId="0" applyNumberFormat="1" applyFont="1" applyFill="1" applyBorder="1" applyAlignment="1" applyProtection="1">
      <alignment horizontal="center" vertical="center"/>
    </xf>
    <xf numFmtId="0" fontId="105" fillId="10" borderId="33" xfId="0" applyFont="1" applyFill="1" applyBorder="1" applyAlignment="1" applyProtection="1">
      <alignment horizontal="center" vertical="center"/>
    </xf>
    <xf numFmtId="0" fontId="104" fillId="10" borderId="45" xfId="74" applyFont="1" applyFill="1" applyBorder="1" applyAlignment="1" applyProtection="1">
      <alignment horizontal="left" vertical="center" wrapText="1" shrinkToFit="1"/>
    </xf>
    <xf numFmtId="168" fontId="67" fillId="10" borderId="33" xfId="0" applyNumberFormat="1" applyFont="1" applyFill="1" applyBorder="1" applyAlignment="1" applyProtection="1">
      <alignment horizontal="center" vertical="center"/>
    </xf>
    <xf numFmtId="2" fontId="67" fillId="10" borderId="33" xfId="0" applyNumberFormat="1" applyFont="1" applyFill="1" applyBorder="1" applyAlignment="1" applyProtection="1">
      <alignment horizontal="center" vertical="center"/>
    </xf>
    <xf numFmtId="168" fontId="105" fillId="29" borderId="33" xfId="0" applyNumberFormat="1" applyFont="1" applyFill="1" applyBorder="1" applyAlignment="1" applyProtection="1">
      <alignment horizontal="center" vertical="center"/>
    </xf>
    <xf numFmtId="168" fontId="105" fillId="29" borderId="44" xfId="0" applyNumberFormat="1" applyFont="1" applyFill="1" applyBorder="1" applyAlignment="1" applyProtection="1">
      <alignment horizontal="center" vertical="center"/>
    </xf>
    <xf numFmtId="0" fontId="104" fillId="10" borderId="37" xfId="74" applyFont="1" applyFill="1" applyBorder="1" applyAlignment="1" applyProtection="1">
      <alignment horizontal="left" vertical="center" wrapText="1" shrinkToFit="1"/>
    </xf>
    <xf numFmtId="0" fontId="104" fillId="10" borderId="39" xfId="74" applyFont="1" applyFill="1" applyBorder="1" applyAlignment="1" applyProtection="1">
      <alignment horizontal="left" vertical="center" wrapText="1" shrinkToFit="1"/>
    </xf>
    <xf numFmtId="0" fontId="104" fillId="10" borderId="35" xfId="74" applyFont="1" applyFill="1" applyBorder="1" applyAlignment="1" applyProtection="1">
      <alignment horizontal="left" vertical="center" wrapText="1" shrinkToFit="1"/>
    </xf>
    <xf numFmtId="0" fontId="67" fillId="10" borderId="38" xfId="0" applyFont="1" applyFill="1" applyBorder="1" applyAlignment="1" applyProtection="1">
      <alignment horizontal="center" vertical="center"/>
    </xf>
    <xf numFmtId="0" fontId="105" fillId="10" borderId="34" xfId="0" applyFont="1" applyFill="1" applyBorder="1" applyAlignment="1" applyProtection="1">
      <alignment horizontal="center" vertical="center"/>
    </xf>
    <xf numFmtId="0" fontId="105" fillId="10" borderId="38" xfId="0" applyFont="1" applyFill="1" applyBorder="1" applyAlignment="1" applyProtection="1">
      <alignment horizontal="center" vertical="center"/>
    </xf>
    <xf numFmtId="168" fontId="67" fillId="10" borderId="38" xfId="0" applyNumberFormat="1" applyFont="1" applyFill="1" applyBorder="1" applyAlignment="1" applyProtection="1">
      <alignment horizontal="center" vertical="center"/>
    </xf>
    <xf numFmtId="2" fontId="67" fillId="10" borderId="38" xfId="0" applyNumberFormat="1" applyFont="1" applyFill="1" applyBorder="1" applyAlignment="1" applyProtection="1">
      <alignment horizontal="center" vertical="center"/>
    </xf>
    <xf numFmtId="168" fontId="105" fillId="29" borderId="38" xfId="0" applyNumberFormat="1" applyFont="1" applyFill="1" applyBorder="1" applyAlignment="1" applyProtection="1">
      <alignment horizontal="center" vertical="center"/>
    </xf>
    <xf numFmtId="168" fontId="105" fillId="29" borderId="43" xfId="0" applyNumberFormat="1" applyFont="1" applyFill="1" applyBorder="1" applyAlignment="1" applyProtection="1">
      <alignment horizontal="center" vertical="center"/>
    </xf>
    <xf numFmtId="0" fontId="127" fillId="18" borderId="42" xfId="0" applyFont="1" applyFill="1" applyBorder="1" applyAlignment="1" applyProtection="1">
      <alignment horizontal="center" vertical="center"/>
    </xf>
    <xf numFmtId="0" fontId="127" fillId="18" borderId="43" xfId="0" applyFont="1" applyFill="1" applyBorder="1" applyAlignment="1" applyProtection="1">
      <alignment horizontal="center" vertical="center"/>
    </xf>
    <xf numFmtId="0" fontId="102" fillId="18" borderId="33" xfId="0" applyFont="1" applyFill="1" applyBorder="1" applyAlignment="1" applyProtection="1">
      <alignment horizontal="center" vertical="center" textRotation="90" wrapText="1"/>
    </xf>
    <xf numFmtId="0" fontId="102" fillId="18" borderId="32" xfId="0" applyFont="1" applyFill="1" applyBorder="1" applyAlignment="1" applyProtection="1">
      <alignment horizontal="center" vertical="center" textRotation="90" wrapText="1"/>
    </xf>
    <xf numFmtId="0" fontId="102" fillId="18" borderId="34" xfId="0" applyFont="1" applyFill="1" applyBorder="1" applyAlignment="1" applyProtection="1">
      <alignment horizontal="center" vertical="center" textRotation="90" wrapText="1"/>
    </xf>
    <xf numFmtId="0" fontId="104" fillId="18" borderId="40" xfId="74" applyFont="1" applyFill="1" applyBorder="1" applyAlignment="1" applyProtection="1">
      <alignment horizontal="left" vertical="center" wrapText="1" shrinkToFit="1"/>
    </xf>
    <xf numFmtId="0" fontId="67" fillId="18" borderId="33" xfId="0" applyFont="1" applyFill="1" applyBorder="1" applyAlignment="1" applyProtection="1">
      <alignment horizontal="center" vertical="center"/>
    </xf>
    <xf numFmtId="0" fontId="67" fillId="18" borderId="32" xfId="0" applyFont="1" applyFill="1" applyBorder="1" applyAlignment="1" applyProtection="1">
      <alignment horizontal="center" vertical="center"/>
    </xf>
    <xf numFmtId="0" fontId="67" fillId="18" borderId="34" xfId="0" applyFont="1" applyFill="1" applyBorder="1" applyAlignment="1" applyProtection="1">
      <alignment horizontal="center" vertical="center"/>
    </xf>
    <xf numFmtId="168" fontId="67" fillId="10" borderId="40" xfId="0" applyNumberFormat="1" applyFont="1" applyFill="1" applyBorder="1" applyAlignment="1" applyProtection="1">
      <alignment horizontal="center" vertical="center"/>
    </xf>
    <xf numFmtId="0" fontId="127" fillId="10" borderId="42" xfId="0" applyFont="1" applyFill="1" applyBorder="1" applyAlignment="1" applyProtection="1">
      <alignment horizontal="center" vertical="center"/>
    </xf>
    <xf numFmtId="0" fontId="127" fillId="10" borderId="43" xfId="0" applyFont="1" applyFill="1" applyBorder="1" applyAlignment="1" applyProtection="1">
      <alignment horizontal="center" vertical="center"/>
    </xf>
    <xf numFmtId="0" fontId="127" fillId="10" borderId="44" xfId="0" applyFont="1" applyFill="1" applyBorder="1" applyAlignment="1" applyProtection="1">
      <alignment horizontal="center" vertical="center"/>
    </xf>
    <xf numFmtId="0" fontId="102" fillId="10" borderId="33" xfId="0" applyFont="1" applyFill="1" applyBorder="1" applyAlignment="1" applyProtection="1">
      <alignment horizontal="center" vertical="center" textRotation="90" wrapText="1"/>
    </xf>
    <xf numFmtId="0" fontId="102" fillId="10" borderId="32" xfId="0" applyFont="1" applyFill="1" applyBorder="1" applyAlignment="1" applyProtection="1">
      <alignment horizontal="center" vertical="center" textRotation="90" wrapText="1"/>
    </xf>
    <xf numFmtId="0" fontId="102" fillId="10" borderId="36" xfId="0" applyFont="1" applyFill="1" applyBorder="1" applyAlignment="1" applyProtection="1">
      <alignment horizontal="center" vertical="center" textRotation="90" wrapText="1"/>
    </xf>
    <xf numFmtId="168" fontId="105" fillId="12" borderId="32" xfId="0" applyNumberFormat="1" applyFont="1" applyFill="1" applyBorder="1" applyAlignment="1" applyProtection="1">
      <alignment horizontal="center" vertical="center"/>
    </xf>
    <xf numFmtId="168" fontId="105" fillId="12" borderId="36" xfId="0" applyNumberFormat="1" applyFont="1" applyFill="1" applyBorder="1" applyAlignment="1" applyProtection="1">
      <alignment horizontal="center" vertical="center"/>
    </xf>
    <xf numFmtId="0" fontId="104" fillId="18" borderId="35" xfId="74" applyFont="1" applyFill="1" applyBorder="1" applyAlignment="1" applyProtection="1">
      <alignment horizontal="left" vertical="center" wrapText="1" shrinkToFit="1"/>
    </xf>
    <xf numFmtId="0" fontId="67" fillId="18" borderId="50" xfId="0" applyFont="1" applyFill="1" applyBorder="1" applyAlignment="1" applyProtection="1">
      <alignment horizontal="center" vertical="center"/>
    </xf>
    <xf numFmtId="0" fontId="105" fillId="18" borderId="33" xfId="0" applyFont="1" applyFill="1" applyBorder="1" applyAlignment="1" applyProtection="1">
      <alignment horizontal="center" vertical="center"/>
    </xf>
    <xf numFmtId="0" fontId="105" fillId="18" borderId="32" xfId="0" applyFont="1" applyFill="1" applyBorder="1" applyAlignment="1" applyProtection="1">
      <alignment horizontal="center" vertical="center"/>
    </xf>
    <xf numFmtId="168" fontId="67" fillId="18" borderId="32" xfId="0" applyNumberFormat="1" applyFont="1" applyFill="1" applyBorder="1" applyAlignment="1" applyProtection="1">
      <alignment horizontal="center" vertical="center"/>
    </xf>
    <xf numFmtId="168" fontId="73" fillId="18" borderId="32" xfId="0" applyNumberFormat="1" applyFont="1" applyFill="1" applyBorder="1" applyAlignment="1" applyProtection="1">
      <alignment horizontal="center" vertical="center"/>
    </xf>
    <xf numFmtId="0" fontId="73" fillId="18" borderId="32" xfId="0" applyFont="1" applyFill="1" applyBorder="1" applyAlignment="1" applyProtection="1">
      <alignment horizontal="center" vertical="center"/>
    </xf>
    <xf numFmtId="0" fontId="73" fillId="18" borderId="50" xfId="0" applyFont="1" applyFill="1" applyBorder="1" applyAlignment="1" applyProtection="1">
      <alignment horizontal="center" vertical="center"/>
    </xf>
    <xf numFmtId="0" fontId="104" fillId="18" borderId="41" xfId="74" applyFont="1" applyFill="1" applyBorder="1" applyAlignment="1" applyProtection="1">
      <alignment horizontal="left" vertical="center" wrapText="1" shrinkToFit="1"/>
    </xf>
    <xf numFmtId="0" fontId="104" fillId="18" borderId="45" xfId="74" applyFont="1" applyFill="1" applyBorder="1" applyAlignment="1" applyProtection="1">
      <alignment horizontal="left" vertical="center" wrapText="1" shrinkToFit="1"/>
    </xf>
    <xf numFmtId="0" fontId="105" fillId="18" borderId="34" xfId="0" applyFont="1" applyFill="1" applyBorder="1" applyAlignment="1" applyProtection="1">
      <alignment horizontal="center" vertical="center"/>
    </xf>
    <xf numFmtId="2" fontId="67" fillId="18" borderId="32" xfId="0" applyNumberFormat="1" applyFont="1" applyFill="1" applyBorder="1" applyAlignment="1" applyProtection="1">
      <alignment horizontal="center" vertical="center"/>
    </xf>
    <xf numFmtId="0" fontId="104" fillId="18" borderId="32" xfId="74" applyFont="1" applyFill="1" applyBorder="1" applyAlignment="1" applyProtection="1">
      <alignment horizontal="left" vertical="center" wrapText="1" shrinkToFit="1"/>
    </xf>
    <xf numFmtId="0" fontId="105" fillId="18" borderId="40" xfId="0" applyFont="1" applyFill="1" applyBorder="1" applyAlignment="1" applyProtection="1">
      <alignment horizontal="center" vertical="center"/>
    </xf>
    <xf numFmtId="0" fontId="105" fillId="18" borderId="35" xfId="0" applyFont="1" applyFill="1" applyBorder="1" applyAlignment="1" applyProtection="1">
      <alignment horizontal="center" vertical="center"/>
    </xf>
    <xf numFmtId="0" fontId="104" fillId="18" borderId="39" xfId="74" applyFont="1" applyFill="1" applyBorder="1" applyAlignment="1" applyProtection="1">
      <alignment horizontal="left" vertical="center" wrapText="1" shrinkToFit="1"/>
    </xf>
    <xf numFmtId="0" fontId="104" fillId="18" borderId="46" xfId="74" applyFont="1" applyFill="1" applyBorder="1" applyAlignment="1" applyProtection="1">
      <alignment horizontal="left" vertical="center" wrapText="1" shrinkToFit="1"/>
    </xf>
    <xf numFmtId="0" fontId="104" fillId="18" borderId="37" xfId="74" applyFont="1" applyFill="1" applyBorder="1" applyAlignment="1" applyProtection="1">
      <alignment horizontal="left" vertical="center" wrapText="1" shrinkToFit="1"/>
    </xf>
    <xf numFmtId="0" fontId="104" fillId="18" borderId="34" xfId="74" applyFont="1" applyFill="1" applyBorder="1" applyAlignment="1" applyProtection="1">
      <alignment horizontal="left" vertical="center" wrapText="1" shrinkToFit="1"/>
    </xf>
    <xf numFmtId="0" fontId="104" fillId="18" borderId="38" xfId="74" applyFont="1" applyFill="1" applyBorder="1" applyAlignment="1" applyProtection="1">
      <alignment horizontal="left" vertical="center" wrapText="1" shrinkToFit="1"/>
    </xf>
    <xf numFmtId="0" fontId="104" fillId="18" borderId="33" xfId="74" applyFont="1" applyFill="1" applyBorder="1" applyAlignment="1" applyProtection="1">
      <alignment horizontal="left" vertical="center" wrapText="1" shrinkToFit="1"/>
    </xf>
    <xf numFmtId="2" fontId="67" fillId="30" borderId="32" xfId="0" applyNumberFormat="1" applyFont="1" applyFill="1" applyBorder="1" applyAlignment="1" applyProtection="1">
      <alignment horizontal="center" vertical="center"/>
    </xf>
    <xf numFmtId="0" fontId="106" fillId="30" borderId="41" xfId="74" applyFont="1" applyFill="1" applyBorder="1" applyAlignment="1" applyProtection="1">
      <alignment horizontal="left" vertical="center" wrapText="1" shrinkToFit="1"/>
    </xf>
    <xf numFmtId="0" fontId="106" fillId="30" borderId="45" xfId="74" applyFont="1" applyFill="1" applyBorder="1" applyAlignment="1" applyProtection="1">
      <alignment horizontal="left" vertical="center" wrapText="1" shrinkToFit="1"/>
    </xf>
    <xf numFmtId="0" fontId="104" fillId="30" borderId="34" xfId="74" applyFont="1" applyFill="1" applyBorder="1" applyAlignment="1" applyProtection="1">
      <alignment horizontal="left" vertical="center" wrapText="1" shrinkToFit="1"/>
    </xf>
    <xf numFmtId="0" fontId="104" fillId="30" borderId="38" xfId="74" applyFont="1" applyFill="1" applyBorder="1" applyAlignment="1" applyProtection="1">
      <alignment horizontal="left" vertical="center" wrapText="1" shrinkToFit="1"/>
    </xf>
    <xf numFmtId="0" fontId="104" fillId="30" borderId="33" xfId="74" applyFont="1" applyFill="1" applyBorder="1" applyAlignment="1" applyProtection="1">
      <alignment horizontal="left" vertical="center" wrapText="1" shrinkToFit="1"/>
    </xf>
    <xf numFmtId="0" fontId="67" fillId="30" borderId="32" xfId="0" applyFont="1" applyFill="1" applyBorder="1" applyAlignment="1" applyProtection="1">
      <alignment horizontal="center" vertical="center"/>
    </xf>
    <xf numFmtId="0" fontId="67" fillId="30" borderId="34" xfId="0" applyFont="1" applyFill="1" applyBorder="1" applyAlignment="1" applyProtection="1">
      <alignment horizontal="center" vertical="center"/>
    </xf>
    <xf numFmtId="0" fontId="110" fillId="30" borderId="34" xfId="0" applyFont="1" applyFill="1" applyBorder="1" applyAlignment="1" applyProtection="1">
      <alignment horizontal="center" vertical="center"/>
    </xf>
    <xf numFmtId="0" fontId="110" fillId="30" borderId="38" xfId="0" applyFont="1" applyFill="1" applyBorder="1" applyAlignment="1" applyProtection="1">
      <alignment horizontal="center" vertical="center"/>
    </xf>
    <xf numFmtId="0" fontId="110" fillId="30" borderId="33" xfId="0" applyFont="1" applyFill="1" applyBorder="1" applyAlignment="1" applyProtection="1">
      <alignment horizontal="center" vertical="center"/>
    </xf>
    <xf numFmtId="0" fontId="104" fillId="30" borderId="41" xfId="74" applyFont="1" applyFill="1" applyBorder="1" applyAlignment="1" applyProtection="1">
      <alignment horizontal="left" vertical="center" wrapText="1" shrinkToFit="1"/>
    </xf>
    <xf numFmtId="0" fontId="104" fillId="30" borderId="45" xfId="74" applyFont="1" applyFill="1" applyBorder="1" applyAlignment="1" applyProtection="1">
      <alignment horizontal="left" vertical="center" wrapText="1" shrinkToFit="1"/>
    </xf>
    <xf numFmtId="0" fontId="105" fillId="30" borderId="32" xfId="0" applyFont="1" applyFill="1" applyBorder="1" applyAlignment="1" applyProtection="1">
      <alignment horizontal="center" vertical="center"/>
    </xf>
    <xf numFmtId="168" fontId="67" fillId="30" borderId="32" xfId="0" applyNumberFormat="1" applyFont="1" applyFill="1" applyBorder="1" applyAlignment="1" applyProtection="1">
      <alignment horizontal="center" vertical="center"/>
    </xf>
    <xf numFmtId="168" fontId="67" fillId="30" borderId="34" xfId="0" applyNumberFormat="1" applyFont="1" applyFill="1" applyBorder="1" applyAlignment="1" applyProtection="1">
      <alignment horizontal="center" vertical="center"/>
    </xf>
    <xf numFmtId="2" fontId="67" fillId="30" borderId="34" xfId="0" applyNumberFormat="1" applyFont="1" applyFill="1" applyBorder="1" applyAlignment="1" applyProtection="1">
      <alignment horizontal="center" vertical="center"/>
    </xf>
    <xf numFmtId="168" fontId="105" fillId="14" borderId="32" xfId="0" applyNumberFormat="1" applyFont="1" applyFill="1" applyBorder="1" applyAlignment="1" applyProtection="1">
      <alignment horizontal="center" vertical="center"/>
    </xf>
    <xf numFmtId="168" fontId="105" fillId="14" borderId="36" xfId="0" applyNumberFormat="1" applyFont="1" applyFill="1" applyBorder="1" applyAlignment="1" applyProtection="1">
      <alignment horizontal="center" vertical="center"/>
    </xf>
    <xf numFmtId="168" fontId="73" fillId="30" borderId="8" xfId="0" applyNumberFormat="1" applyFont="1" applyFill="1" applyBorder="1" applyAlignment="1" applyProtection="1">
      <alignment horizontal="center" vertical="center"/>
    </xf>
    <xf numFmtId="168" fontId="73" fillId="30" borderId="2" xfId="0" applyNumberFormat="1" applyFont="1" applyFill="1" applyBorder="1" applyAlignment="1" applyProtection="1">
      <alignment horizontal="center" vertical="center"/>
    </xf>
    <xf numFmtId="168" fontId="105" fillId="14" borderId="34" xfId="0" applyNumberFormat="1" applyFont="1" applyFill="1" applyBorder="1" applyAlignment="1" applyProtection="1">
      <alignment horizontal="center" vertical="center"/>
    </xf>
    <xf numFmtId="168" fontId="105" fillId="14" borderId="42" xfId="0" applyNumberFormat="1" applyFont="1" applyFill="1" applyBorder="1" applyAlignment="1" applyProtection="1">
      <alignment horizontal="center" vertical="center"/>
    </xf>
    <xf numFmtId="0" fontId="67" fillId="30" borderId="33" xfId="0" applyFont="1" applyFill="1" applyBorder="1" applyAlignment="1" applyProtection="1">
      <alignment horizontal="center" vertical="center"/>
    </xf>
    <xf numFmtId="0" fontId="105" fillId="30" borderId="33" xfId="0" applyFont="1" applyFill="1" applyBorder="1" applyAlignment="1" applyProtection="1">
      <alignment horizontal="center" vertical="center"/>
    </xf>
    <xf numFmtId="168" fontId="67" fillId="30" borderId="33" xfId="0" applyNumberFormat="1" applyFont="1" applyFill="1" applyBorder="1" applyAlignment="1" applyProtection="1">
      <alignment horizontal="center" vertical="center"/>
    </xf>
    <xf numFmtId="2" fontId="67" fillId="30" borderId="33" xfId="0" applyNumberFormat="1" applyFont="1" applyFill="1" applyBorder="1" applyAlignment="1" applyProtection="1">
      <alignment horizontal="center" vertical="center"/>
    </xf>
    <xf numFmtId="168" fontId="105" fillId="14" borderId="33" xfId="0" applyNumberFormat="1" applyFont="1" applyFill="1" applyBorder="1" applyAlignment="1" applyProtection="1">
      <alignment horizontal="center" vertical="center"/>
    </xf>
    <xf numFmtId="168" fontId="105" fillId="14" borderId="44" xfId="0" applyNumberFormat="1" applyFont="1" applyFill="1" applyBorder="1" applyAlignment="1" applyProtection="1">
      <alignment horizontal="center" vertical="center"/>
    </xf>
    <xf numFmtId="0" fontId="106" fillId="30" borderId="37" xfId="74" applyFont="1" applyFill="1" applyBorder="1" applyAlignment="1" applyProtection="1">
      <alignment horizontal="left" vertical="center" wrapText="1" shrinkToFit="1"/>
    </xf>
    <xf numFmtId="0" fontId="106" fillId="30" borderId="39" xfId="74" applyFont="1" applyFill="1" applyBorder="1" applyAlignment="1" applyProtection="1">
      <alignment horizontal="left" vertical="center" wrapText="1" shrinkToFit="1"/>
    </xf>
    <xf numFmtId="0" fontId="104" fillId="30" borderId="35" xfId="74" applyFont="1" applyFill="1" applyBorder="1" applyAlignment="1" applyProtection="1">
      <alignment horizontal="left" vertical="center" wrapText="1" shrinkToFit="1"/>
    </xf>
    <xf numFmtId="0" fontId="104" fillId="30" borderId="37" xfId="74" applyFont="1" applyFill="1" applyBorder="1" applyAlignment="1" applyProtection="1">
      <alignment horizontal="left" vertical="center" wrapText="1" shrinkToFit="1"/>
    </xf>
    <xf numFmtId="0" fontId="104" fillId="30" borderId="39" xfId="74" applyFont="1" applyFill="1" applyBorder="1" applyAlignment="1" applyProtection="1">
      <alignment horizontal="left" vertical="center" wrapText="1" shrinkToFit="1"/>
    </xf>
    <xf numFmtId="0" fontId="67" fillId="30" borderId="38" xfId="0" applyFont="1" applyFill="1" applyBorder="1" applyAlignment="1" applyProtection="1">
      <alignment horizontal="center" vertical="center"/>
    </xf>
    <xf numFmtId="0" fontId="105" fillId="30" borderId="34" xfId="0" applyFont="1" applyFill="1" applyBorder="1" applyAlignment="1" applyProtection="1">
      <alignment horizontal="center" vertical="center"/>
    </xf>
    <xf numFmtId="0" fontId="105" fillId="30" borderId="38" xfId="0" applyFont="1" applyFill="1" applyBorder="1" applyAlignment="1" applyProtection="1">
      <alignment horizontal="center" vertical="center"/>
    </xf>
    <xf numFmtId="168" fontId="67" fillId="30" borderId="38" xfId="0" applyNumberFormat="1" applyFont="1" applyFill="1" applyBorder="1" applyAlignment="1" applyProtection="1">
      <alignment horizontal="center" vertical="center"/>
    </xf>
    <xf numFmtId="0" fontId="106" fillId="30" borderId="40" xfId="74" applyFont="1" applyFill="1" applyBorder="1" applyAlignment="1" applyProtection="1">
      <alignment horizontal="left" vertical="center" wrapText="1" shrinkToFit="1"/>
    </xf>
    <xf numFmtId="0" fontId="104" fillId="30" borderId="40" xfId="74" applyFont="1" applyFill="1" applyBorder="1" applyAlignment="1" applyProtection="1">
      <alignment horizontal="left" vertical="center" wrapText="1" shrinkToFit="1"/>
    </xf>
    <xf numFmtId="0" fontId="105" fillId="30" borderId="40" xfId="0" applyFont="1" applyFill="1" applyBorder="1" applyAlignment="1" applyProtection="1">
      <alignment horizontal="center" vertical="center"/>
    </xf>
    <xf numFmtId="2" fontId="67" fillId="30" borderId="38" xfId="0" applyNumberFormat="1" applyFont="1" applyFill="1" applyBorder="1" applyAlignment="1" applyProtection="1">
      <alignment horizontal="center" vertical="center"/>
    </xf>
    <xf numFmtId="168" fontId="105" fillId="14" borderId="38" xfId="0" applyNumberFormat="1" applyFont="1" applyFill="1" applyBorder="1" applyAlignment="1" applyProtection="1">
      <alignment horizontal="center" vertical="center"/>
    </xf>
    <xf numFmtId="168" fontId="105" fillId="14" borderId="43" xfId="0" applyNumberFormat="1" applyFont="1" applyFill="1" applyBorder="1" applyAlignment="1" applyProtection="1">
      <alignment horizontal="center" vertical="center"/>
    </xf>
    <xf numFmtId="168" fontId="67" fillId="30" borderId="40" xfId="0" applyNumberFormat="1" applyFont="1" applyFill="1" applyBorder="1" applyAlignment="1" applyProtection="1">
      <alignment horizontal="center" vertical="center"/>
    </xf>
    <xf numFmtId="0" fontId="104" fillId="10" borderId="34" xfId="74" applyFont="1" applyFill="1" applyBorder="1" applyAlignment="1" applyProtection="1">
      <alignment horizontal="left" vertical="center" wrapText="1" shrinkToFit="1"/>
    </xf>
    <xf numFmtId="0" fontId="104" fillId="10" borderId="38" xfId="74" applyFont="1" applyFill="1" applyBorder="1" applyAlignment="1" applyProtection="1">
      <alignment horizontal="left" vertical="center" wrapText="1" shrinkToFit="1"/>
    </xf>
    <xf numFmtId="0" fontId="104" fillId="10" borderId="33" xfId="74" applyFont="1" applyFill="1" applyBorder="1" applyAlignment="1" applyProtection="1">
      <alignment horizontal="left" vertical="center" wrapText="1" shrinkToFit="1"/>
    </xf>
    <xf numFmtId="0" fontId="113" fillId="0" borderId="3" xfId="74" applyFont="1" applyBorder="1" applyAlignment="1" applyProtection="1">
      <alignment horizontal="center" vertical="center"/>
    </xf>
    <xf numFmtId="0" fontId="113" fillId="0" borderId="8" xfId="74" applyFont="1" applyBorder="1" applyAlignment="1" applyProtection="1">
      <alignment horizontal="center" vertical="center"/>
    </xf>
    <xf numFmtId="0" fontId="113" fillId="0" borderId="2" xfId="74" applyFont="1" applyBorder="1" applyAlignment="1" applyProtection="1">
      <alignment horizontal="center" vertical="center"/>
    </xf>
    <xf numFmtId="0" fontId="113" fillId="0" borderId="3" xfId="74" applyFont="1" applyBorder="1" applyAlignment="1" applyProtection="1">
      <alignment horizontal="left" vertical="center" wrapText="1" shrinkToFit="1"/>
    </xf>
    <xf numFmtId="0" fontId="113" fillId="0" borderId="8" xfId="74" applyFont="1" applyBorder="1" applyAlignment="1" applyProtection="1">
      <alignment horizontal="left" vertical="center" wrapText="1" shrinkToFit="1"/>
    </xf>
    <xf numFmtId="0" fontId="113" fillId="0" borderId="2" xfId="74" applyFont="1" applyBorder="1" applyAlignment="1" applyProtection="1">
      <alignment horizontal="left" vertical="center" wrapText="1" shrinkToFit="1"/>
    </xf>
    <xf numFmtId="166" fontId="113" fillId="4" borderId="3" xfId="74" applyNumberFormat="1" applyFont="1" applyFill="1" applyBorder="1" applyAlignment="1" applyProtection="1">
      <alignment horizontal="center" vertical="center"/>
    </xf>
    <xf numFmtId="166" fontId="113" fillId="4" borderId="8" xfId="74" applyNumberFormat="1" applyFont="1" applyFill="1" applyBorder="1" applyAlignment="1" applyProtection="1">
      <alignment horizontal="center" vertical="center"/>
    </xf>
    <xf numFmtId="166" fontId="113" fillId="4" borderId="2" xfId="74" applyNumberFormat="1" applyFont="1" applyFill="1" applyBorder="1" applyAlignment="1" applyProtection="1">
      <alignment horizontal="center" vertical="center"/>
    </xf>
    <xf numFmtId="0" fontId="113" fillId="4" borderId="3" xfId="74" applyFont="1" applyFill="1" applyBorder="1" applyAlignment="1" applyProtection="1">
      <alignment horizontal="left" vertical="center" wrapText="1" shrinkToFit="1"/>
    </xf>
    <xf numFmtId="0" fontId="113" fillId="4" borderId="8" xfId="74" applyFont="1" applyFill="1" applyBorder="1" applyAlignment="1" applyProtection="1">
      <alignment horizontal="left" vertical="center" wrapText="1" shrinkToFit="1"/>
    </xf>
    <xf numFmtId="0" fontId="113" fillId="4" borderId="2" xfId="74" applyFont="1" applyFill="1" applyBorder="1" applyAlignment="1" applyProtection="1">
      <alignment horizontal="left" vertical="center" wrapText="1" shrinkToFit="1"/>
    </xf>
    <xf numFmtId="0" fontId="113" fillId="4" borderId="3" xfId="74" applyFont="1" applyFill="1" applyBorder="1" applyAlignment="1" applyProtection="1">
      <alignment horizontal="center" vertical="center"/>
    </xf>
    <xf numFmtId="0" fontId="113" fillId="4" borderId="8" xfId="74" applyFont="1" applyFill="1" applyBorder="1" applyAlignment="1" applyProtection="1">
      <alignment horizontal="center" vertical="center"/>
    </xf>
    <xf numFmtId="0" fontId="113" fillId="4" borderId="2" xfId="74" applyFont="1" applyFill="1" applyBorder="1" applyAlignment="1" applyProtection="1">
      <alignment horizontal="center" vertical="center"/>
    </xf>
    <xf numFmtId="44" fontId="113" fillId="4" borderId="3" xfId="6" applyFont="1" applyFill="1" applyBorder="1" applyAlignment="1" applyProtection="1">
      <alignment horizontal="center" vertical="center"/>
    </xf>
    <xf numFmtId="44" fontId="113" fillId="4" borderId="8" xfId="6" applyFont="1" applyFill="1" applyBorder="1" applyAlignment="1" applyProtection="1">
      <alignment horizontal="center" vertical="center"/>
    </xf>
    <xf numFmtId="44" fontId="113" fillId="4" borderId="2" xfId="6" applyFont="1" applyFill="1" applyBorder="1" applyAlignment="1" applyProtection="1">
      <alignment horizontal="center" vertical="center"/>
    </xf>
    <xf numFmtId="44" fontId="113" fillId="4" borderId="3" xfId="526" applyNumberFormat="1" applyFont="1" applyFill="1" applyBorder="1" applyAlignment="1" applyProtection="1">
      <alignment horizontal="center" vertical="center"/>
    </xf>
    <xf numFmtId="44" fontId="113" fillId="4" borderId="8" xfId="526" applyNumberFormat="1" applyFont="1" applyFill="1" applyBorder="1" applyAlignment="1" applyProtection="1">
      <alignment horizontal="center" vertical="center"/>
    </xf>
    <xf numFmtId="44" fontId="113" fillId="4" borderId="2" xfId="526" applyNumberFormat="1" applyFont="1" applyFill="1" applyBorder="1" applyAlignment="1" applyProtection="1">
      <alignment horizontal="center" vertical="center"/>
    </xf>
    <xf numFmtId="44" fontId="113" fillId="0" borderId="3" xfId="6" applyFont="1" applyFill="1" applyBorder="1" applyAlignment="1" applyProtection="1">
      <alignment horizontal="center" vertical="center"/>
    </xf>
    <xf numFmtId="44" fontId="113" fillId="0" borderId="8" xfId="6" applyFont="1" applyFill="1" applyBorder="1" applyAlignment="1" applyProtection="1">
      <alignment horizontal="center" vertical="center"/>
    </xf>
    <xf numFmtId="44" fontId="113" fillId="0" borderId="2" xfId="6" applyFont="1" applyFill="1" applyBorder="1" applyAlignment="1" applyProtection="1">
      <alignment horizontal="center" vertical="center"/>
    </xf>
    <xf numFmtId="44" fontId="113" fillId="0" borderId="3" xfId="526" applyNumberFormat="1" applyFont="1" applyFill="1" applyBorder="1" applyAlignment="1" applyProtection="1">
      <alignment horizontal="center" vertical="center"/>
    </xf>
    <xf numFmtId="44" fontId="113" fillId="0" borderId="8" xfId="526" applyNumberFormat="1" applyFont="1" applyFill="1" applyBorder="1" applyAlignment="1" applyProtection="1">
      <alignment horizontal="center" vertical="center"/>
    </xf>
    <xf numFmtId="44" fontId="113" fillId="0" borderId="2" xfId="526" applyNumberFormat="1" applyFont="1" applyFill="1" applyBorder="1" applyAlignment="1" applyProtection="1">
      <alignment horizontal="center" vertical="center"/>
    </xf>
    <xf numFmtId="166" fontId="115" fillId="0" borderId="3" xfId="74" applyNumberFormat="1" applyFont="1" applyBorder="1" applyAlignment="1" applyProtection="1">
      <alignment horizontal="center" vertical="center"/>
    </xf>
    <xf numFmtId="166" fontId="115" fillId="0" borderId="8" xfId="74" applyNumberFormat="1" applyFont="1" applyBorder="1" applyAlignment="1" applyProtection="1">
      <alignment horizontal="center" vertical="center"/>
    </xf>
    <xf numFmtId="166" fontId="115" fillId="0" borderId="2" xfId="74" applyNumberFormat="1" applyFont="1" applyBorder="1" applyAlignment="1" applyProtection="1">
      <alignment horizontal="center" vertical="center"/>
    </xf>
    <xf numFmtId="39" fontId="115" fillId="4" borderId="3" xfId="74" applyNumberFormat="1" applyFont="1" applyFill="1" applyBorder="1" applyAlignment="1" applyProtection="1">
      <alignment horizontal="center" vertical="center"/>
    </xf>
    <xf numFmtId="39" fontId="115" fillId="4" borderId="8" xfId="74" applyNumberFormat="1" applyFont="1" applyFill="1" applyBorder="1" applyAlignment="1" applyProtection="1">
      <alignment horizontal="center" vertical="center"/>
    </xf>
    <xf numFmtId="39" fontId="115" fillId="4" borderId="2" xfId="74" applyNumberFormat="1" applyFont="1" applyFill="1" applyBorder="1" applyAlignment="1" applyProtection="1">
      <alignment horizontal="center" vertical="center"/>
    </xf>
    <xf numFmtId="39" fontId="115" fillId="0" borderId="3" xfId="74" applyNumberFormat="1" applyFont="1" applyBorder="1" applyAlignment="1" applyProtection="1">
      <alignment horizontal="center" vertical="center"/>
    </xf>
    <xf numFmtId="39" fontId="115" fillId="0" borderId="8" xfId="74" applyNumberFormat="1" applyFont="1" applyBorder="1" applyAlignment="1" applyProtection="1">
      <alignment horizontal="center" vertical="center"/>
    </xf>
    <xf numFmtId="39" fontId="115" fillId="0" borderId="2" xfId="74" applyNumberFormat="1" applyFont="1" applyBorder="1" applyAlignment="1" applyProtection="1">
      <alignment horizontal="center" vertical="center"/>
    </xf>
    <xf numFmtId="10" fontId="113" fillId="4" borderId="3" xfId="526" applyNumberFormat="1" applyFont="1" applyFill="1" applyBorder="1" applyAlignment="1" applyProtection="1">
      <alignment horizontal="center" vertical="center"/>
    </xf>
    <xf numFmtId="10" fontId="113" fillId="4" borderId="8" xfId="526" applyNumberFormat="1" applyFont="1" applyFill="1" applyBorder="1" applyAlignment="1" applyProtection="1">
      <alignment horizontal="center" vertical="center"/>
    </xf>
    <xf numFmtId="10" fontId="113" fillId="4" borderId="2" xfId="526" applyNumberFormat="1" applyFont="1" applyFill="1" applyBorder="1" applyAlignment="1" applyProtection="1">
      <alignment horizontal="center" vertical="center"/>
    </xf>
    <xf numFmtId="10" fontId="113" fillId="0" borderId="3" xfId="526" applyNumberFormat="1" applyFont="1" applyFill="1" applyBorder="1" applyAlignment="1" applyProtection="1">
      <alignment horizontal="center" vertical="center"/>
    </xf>
    <xf numFmtId="10" fontId="113" fillId="0" borderId="8" xfId="526" applyNumberFormat="1" applyFont="1" applyFill="1" applyBorder="1" applyAlignment="1" applyProtection="1">
      <alignment horizontal="center" vertical="center"/>
    </xf>
    <xf numFmtId="10" fontId="113" fillId="0" borderId="2" xfId="526" applyNumberFormat="1" applyFont="1" applyFill="1" applyBorder="1" applyAlignment="1" applyProtection="1">
      <alignment horizontal="center" vertical="center"/>
    </xf>
    <xf numFmtId="166" fontId="113" fillId="0" borderId="3" xfId="74" applyNumberFormat="1" applyFont="1" applyBorder="1" applyAlignment="1" applyProtection="1">
      <alignment horizontal="center" vertical="center"/>
    </xf>
    <xf numFmtId="166" fontId="113" fillId="0" borderId="8" xfId="74" applyNumberFormat="1" applyFont="1" applyBorder="1" applyAlignment="1" applyProtection="1">
      <alignment horizontal="center" vertical="center"/>
    </xf>
    <xf numFmtId="166" fontId="113" fillId="0" borderId="2" xfId="74" applyNumberFormat="1" applyFont="1" applyBorder="1" applyAlignment="1" applyProtection="1">
      <alignment horizontal="center" vertical="center"/>
    </xf>
    <xf numFmtId="39" fontId="12" fillId="0" borderId="20" xfId="74" applyNumberFormat="1" applyFont="1" applyBorder="1" applyAlignment="1" applyProtection="1">
      <alignment horizontal="right" vertical="center"/>
    </xf>
    <xf numFmtId="39" fontId="12" fillId="0" borderId="6" xfId="74" applyNumberFormat="1" applyFont="1" applyBorder="1" applyAlignment="1" applyProtection="1">
      <alignment horizontal="right" vertical="center"/>
    </xf>
    <xf numFmtId="39" fontId="12" fillId="0" borderId="7" xfId="74" applyNumberFormat="1" applyFont="1" applyBorder="1" applyAlignment="1" applyProtection="1">
      <alignment horizontal="right" vertical="center"/>
    </xf>
    <xf numFmtId="0" fontId="113" fillId="0" borderId="3" xfId="74" applyFont="1" applyBorder="1" applyAlignment="1" applyProtection="1">
      <alignment horizontal="left" vertical="top" wrapText="1" shrinkToFit="1"/>
    </xf>
    <xf numFmtId="0" fontId="113" fillId="0" borderId="8" xfId="74" applyFont="1" applyBorder="1" applyAlignment="1" applyProtection="1">
      <alignment horizontal="left" vertical="top" wrapText="1" shrinkToFit="1"/>
    </xf>
    <xf numFmtId="0" fontId="113" fillId="0" borderId="2" xfId="74" applyFont="1" applyBorder="1" applyAlignment="1" applyProtection="1">
      <alignment horizontal="left" vertical="top" wrapText="1" shrinkToFit="1"/>
    </xf>
    <xf numFmtId="166" fontId="115" fillId="4" borderId="3" xfId="74" applyNumberFormat="1" applyFont="1" applyFill="1" applyBorder="1" applyAlignment="1" applyProtection="1">
      <alignment horizontal="center" vertical="center"/>
    </xf>
    <xf numFmtId="166" fontId="115" fillId="4" borderId="8" xfId="74" applyNumberFormat="1" applyFont="1" applyFill="1" applyBorder="1" applyAlignment="1" applyProtection="1">
      <alignment horizontal="center" vertical="center"/>
    </xf>
    <xf numFmtId="166" fontId="115" fillId="4" borderId="2" xfId="74" applyNumberFormat="1" applyFont="1" applyFill="1" applyBorder="1" applyAlignment="1" applyProtection="1">
      <alignment horizontal="center" vertical="center"/>
    </xf>
    <xf numFmtId="10" fontId="113" fillId="3" borderId="3" xfId="526" applyNumberFormat="1" applyFont="1" applyFill="1" applyBorder="1" applyAlignment="1" applyProtection="1">
      <alignment horizontal="center" vertical="center"/>
    </xf>
    <xf numFmtId="10" fontId="113" fillId="3" borderId="8" xfId="526" applyNumberFormat="1" applyFont="1" applyFill="1" applyBorder="1" applyAlignment="1" applyProtection="1">
      <alignment horizontal="center" vertical="center"/>
    </xf>
    <xf numFmtId="10" fontId="113" fillId="3" borderId="2" xfId="526" applyNumberFormat="1" applyFont="1" applyFill="1" applyBorder="1" applyAlignment="1" applyProtection="1">
      <alignment horizontal="center" vertical="center"/>
    </xf>
    <xf numFmtId="44" fontId="50" fillId="5" borderId="16" xfId="6" applyFont="1" applyFill="1" applyBorder="1" applyAlignment="1" applyProtection="1">
      <alignment horizontal="center" vertical="center" wrapText="1"/>
    </xf>
    <xf numFmtId="44" fontId="50" fillId="5" borderId="2" xfId="6" applyFont="1" applyFill="1" applyBorder="1" applyAlignment="1" applyProtection="1">
      <alignment horizontal="center" vertical="center" wrapText="1"/>
    </xf>
    <xf numFmtId="0" fontId="50" fillId="5" borderId="16" xfId="74" applyFont="1" applyFill="1" applyBorder="1" applyAlignment="1" applyProtection="1">
      <alignment horizontal="center" vertical="center"/>
    </xf>
    <xf numFmtId="0" fontId="50" fillId="5" borderId="2" xfId="74" applyFont="1" applyFill="1" applyBorder="1" applyAlignment="1" applyProtection="1">
      <alignment horizontal="center" vertical="center"/>
    </xf>
    <xf numFmtId="0" fontId="16" fillId="0" borderId="0" xfId="89" applyFont="1" applyAlignment="1" applyProtection="1">
      <alignment horizontal="center" vertical="center" wrapText="1"/>
    </xf>
    <xf numFmtId="0" fontId="16" fillId="0" borderId="0" xfId="89" applyFont="1" applyAlignment="1" applyProtection="1">
      <alignment vertical="center" wrapText="1"/>
    </xf>
    <xf numFmtId="0" fontId="16" fillId="0" borderId="0" xfId="260" applyFont="1" applyAlignment="1" applyProtection="1">
      <alignment horizontal="center" vertical="center" wrapText="1"/>
    </xf>
    <xf numFmtId="0" fontId="93" fillId="5" borderId="17" xfId="74" applyFont="1" applyFill="1" applyBorder="1" applyAlignment="1" applyProtection="1">
      <alignment horizontal="center" vertical="center"/>
    </xf>
    <xf numFmtId="0" fontId="93" fillId="5" borderId="18" xfId="74" applyFont="1" applyFill="1" applyBorder="1" applyAlignment="1" applyProtection="1">
      <alignment horizontal="center" vertical="center"/>
    </xf>
    <xf numFmtId="0" fontId="93" fillId="5" borderId="19" xfId="74" applyFont="1" applyFill="1" applyBorder="1" applyAlignment="1" applyProtection="1">
      <alignment horizontal="center" vertical="center"/>
    </xf>
    <xf numFmtId="4" fontId="50" fillId="5" borderId="16" xfId="74" applyNumberFormat="1" applyFont="1" applyFill="1" applyBorder="1" applyAlignment="1" applyProtection="1">
      <alignment horizontal="center" vertical="center" wrapText="1"/>
    </xf>
    <xf numFmtId="4" fontId="50" fillId="5" borderId="2" xfId="74" applyNumberFormat="1" applyFont="1" applyFill="1" applyBorder="1" applyAlignment="1" applyProtection="1">
      <alignment horizontal="center" vertical="center" wrapText="1"/>
    </xf>
    <xf numFmtId="0" fontId="50" fillId="5" borderId="21" xfId="74" applyFont="1" applyFill="1" applyBorder="1" applyAlignment="1" applyProtection="1">
      <alignment horizontal="center" vertical="center" wrapText="1"/>
    </xf>
    <xf numFmtId="0" fontId="50" fillId="5" borderId="22" xfId="74" applyFont="1" applyFill="1" applyBorder="1" applyAlignment="1" applyProtection="1">
      <alignment horizontal="center" vertical="center" wrapText="1"/>
    </xf>
    <xf numFmtId="0" fontId="50" fillId="5" borderId="16" xfId="74" applyFont="1" applyFill="1" applyBorder="1" applyAlignment="1" applyProtection="1">
      <alignment horizontal="center" vertical="center" wrapText="1"/>
    </xf>
    <xf numFmtId="0" fontId="50" fillId="5" borderId="2" xfId="74" applyFont="1" applyFill="1" applyBorder="1" applyAlignment="1" applyProtection="1">
      <alignment horizontal="center" vertical="center" wrapText="1"/>
    </xf>
    <xf numFmtId="2" fontId="50" fillId="5" borderId="16" xfId="74" applyNumberFormat="1" applyFont="1" applyFill="1" applyBorder="1" applyAlignment="1" applyProtection="1">
      <alignment horizontal="center" vertical="center" wrapText="1"/>
    </xf>
    <xf numFmtId="2" fontId="50" fillId="5" borderId="2" xfId="74" applyNumberFormat="1" applyFont="1" applyFill="1" applyBorder="1" applyAlignment="1" applyProtection="1">
      <alignment horizontal="center" vertical="center" wrapText="1"/>
    </xf>
    <xf numFmtId="39" fontId="115" fillId="3" borderId="3" xfId="74" applyNumberFormat="1" applyFont="1" applyFill="1" applyBorder="1" applyAlignment="1" applyProtection="1">
      <alignment horizontal="center" vertical="center"/>
    </xf>
    <xf numFmtId="39" fontId="115" fillId="3" borderId="8" xfId="74" applyNumberFormat="1" applyFont="1" applyFill="1" applyBorder="1" applyAlignment="1" applyProtection="1">
      <alignment horizontal="center" vertical="center"/>
    </xf>
    <xf numFmtId="39" fontId="115" fillId="3" borderId="2" xfId="74" applyNumberFormat="1" applyFont="1" applyFill="1" applyBorder="1" applyAlignment="1" applyProtection="1">
      <alignment horizontal="center" vertical="center"/>
    </xf>
    <xf numFmtId="44" fontId="113" fillId="3" borderId="3" xfId="6" applyFont="1" applyFill="1" applyBorder="1" applyAlignment="1" applyProtection="1">
      <alignment horizontal="center" vertical="center"/>
    </xf>
    <xf numFmtId="44" fontId="113" fillId="3" borderId="8" xfId="6" applyFont="1" applyFill="1" applyBorder="1" applyAlignment="1" applyProtection="1">
      <alignment horizontal="center" vertical="center"/>
    </xf>
    <xf numFmtId="44" fontId="113" fillId="3" borderId="2" xfId="6" applyFont="1" applyFill="1" applyBorder="1" applyAlignment="1" applyProtection="1">
      <alignment horizontal="center" vertical="center"/>
    </xf>
    <xf numFmtId="39" fontId="115" fillId="0" borderId="1" xfId="74" applyNumberFormat="1" applyFont="1" applyBorder="1" applyAlignment="1" applyProtection="1">
      <alignment horizontal="center" vertical="center"/>
    </xf>
    <xf numFmtId="39" fontId="92" fillId="11" borderId="20" xfId="74" applyNumberFormat="1" applyFont="1" applyFill="1" applyBorder="1" applyAlignment="1" applyProtection="1">
      <alignment horizontal="right" vertical="center"/>
    </xf>
    <xf numFmtId="39" fontId="92" fillId="11" borderId="6" xfId="74" applyNumberFormat="1" applyFont="1" applyFill="1" applyBorder="1" applyAlignment="1" applyProtection="1">
      <alignment horizontal="right" vertical="center"/>
    </xf>
    <xf numFmtId="39" fontId="92" fillId="11" borderId="7" xfId="74" applyNumberFormat="1" applyFont="1" applyFill="1" applyBorder="1" applyAlignment="1" applyProtection="1">
      <alignment horizontal="right" vertical="center"/>
    </xf>
    <xf numFmtId="44" fontId="51" fillId="5" borderId="4" xfId="0" applyNumberFormat="1" applyFont="1" applyFill="1" applyBorder="1" applyAlignment="1">
      <alignment horizontal="center" vertical="center"/>
    </xf>
    <xf numFmtId="44" fontId="51" fillId="5" borderId="7" xfId="0" applyNumberFormat="1" applyFont="1" applyFill="1" applyBorder="1" applyAlignment="1">
      <alignment horizontal="center" vertical="center"/>
    </xf>
    <xf numFmtId="0" fontId="49" fillId="5" borderId="14" xfId="0" applyFont="1" applyFill="1" applyBorder="1" applyAlignment="1">
      <alignment horizontal="left" vertical="center"/>
    </xf>
    <xf numFmtId="0" fontId="49" fillId="5" borderId="15" xfId="0" applyFont="1" applyFill="1" applyBorder="1" applyAlignment="1">
      <alignment horizontal="left" vertical="center"/>
    </xf>
    <xf numFmtId="0" fontId="95" fillId="0" borderId="1" xfId="0" applyFont="1" applyBorder="1" applyAlignment="1">
      <alignment horizontal="center" vertical="center"/>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84" fillId="12" borderId="4" xfId="0" applyFont="1" applyFill="1" applyBorder="1" applyAlignment="1">
      <alignment horizontal="center" vertical="center"/>
    </xf>
    <xf numFmtId="0" fontId="84" fillId="12" borderId="6" xfId="0" applyFont="1" applyFill="1" applyBorder="1" applyAlignment="1">
      <alignment horizontal="center" vertical="center"/>
    </xf>
    <xf numFmtId="0" fontId="84" fillId="12" borderId="7" xfId="0" applyFont="1" applyFill="1" applyBorder="1" applyAlignment="1">
      <alignment horizontal="center" vertical="center"/>
    </xf>
    <xf numFmtId="0" fontId="40" fillId="12" borderId="3" xfId="0" applyFont="1" applyFill="1" applyBorder="1" applyAlignment="1">
      <alignment horizontal="center" vertical="center" wrapText="1"/>
    </xf>
    <xf numFmtId="0" fontId="40" fillId="12" borderId="2" xfId="0" applyFont="1" applyFill="1" applyBorder="1" applyAlignment="1">
      <alignment horizontal="center" vertical="center" wrapText="1"/>
    </xf>
    <xf numFmtId="0" fontId="40" fillId="18" borderId="3" xfId="0" applyFont="1" applyFill="1" applyBorder="1" applyAlignment="1">
      <alignment horizontal="center" vertical="center"/>
    </xf>
    <xf numFmtId="0" fontId="40" fillId="18" borderId="2"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0" fillId="12" borderId="2" xfId="0" applyFont="1" applyFill="1" applyBorder="1" applyAlignment="1">
      <alignment horizontal="center" vertical="center"/>
    </xf>
    <xf numFmtId="0" fontId="40" fillId="12" borderId="3" xfId="0" applyFont="1" applyFill="1" applyBorder="1" applyAlignment="1">
      <alignment horizontal="center" vertical="center"/>
    </xf>
    <xf numFmtId="0" fontId="40" fillId="18" borderId="9" xfId="0" applyFont="1" applyFill="1" applyBorder="1" applyAlignment="1">
      <alignment horizontal="center" vertical="center"/>
    </xf>
    <xf numFmtId="0" fontId="40" fillId="21" borderId="7" xfId="0" applyFont="1" applyFill="1" applyBorder="1" applyAlignment="1">
      <alignment horizontal="center" vertical="center"/>
    </xf>
    <xf numFmtId="0" fontId="40" fillId="21" borderId="1" xfId="0" applyFont="1" applyFill="1" applyBorder="1" applyAlignment="1">
      <alignment horizontal="center" vertical="center"/>
    </xf>
    <xf numFmtId="0" fontId="40" fillId="21" borderId="3" xfId="0" applyFont="1" applyFill="1" applyBorder="1" applyAlignment="1">
      <alignment horizontal="center" vertical="center"/>
    </xf>
    <xf numFmtId="0" fontId="40" fillId="21" borderId="2" xfId="0" applyFont="1" applyFill="1" applyBorder="1" applyAlignment="1">
      <alignment horizontal="center" vertical="center"/>
    </xf>
    <xf numFmtId="0" fontId="0" fillId="0" borderId="3" xfId="0" applyBorder="1" applyAlignment="1">
      <alignment horizontal="left" vertical="center" wrapText="1"/>
    </xf>
    <xf numFmtId="0" fontId="0" fillId="0" borderId="2" xfId="0" applyBorder="1" applyAlignment="1">
      <alignment horizontal="left" vertical="center" wrapText="1"/>
    </xf>
    <xf numFmtId="0" fontId="95" fillId="12" borderId="1" xfId="0" applyFont="1" applyFill="1" applyBorder="1" applyAlignment="1">
      <alignment horizontal="center"/>
    </xf>
    <xf numFmtId="0" fontId="94" fillId="18" borderId="1" xfId="0" applyFont="1" applyFill="1" applyBorder="1" applyAlignment="1">
      <alignment horizontal="center" vertical="center"/>
    </xf>
    <xf numFmtId="0" fontId="95" fillId="18" borderId="1" xfId="0" applyFont="1" applyFill="1" applyBorder="1" applyAlignment="1">
      <alignment horizontal="center"/>
    </xf>
    <xf numFmtId="0" fontId="0" fillId="10" borderId="1" xfId="0" applyFill="1" applyBorder="1" applyAlignment="1">
      <alignment horizontal="center"/>
    </xf>
    <xf numFmtId="0" fontId="65" fillId="0" borderId="14" xfId="0" applyFont="1" applyBorder="1" applyAlignment="1">
      <alignment horizontal="center" vertical="center"/>
    </xf>
    <xf numFmtId="0" fontId="65" fillId="0" borderId="0" xfId="0" applyFont="1" applyAlignment="1">
      <alignment horizontal="center" vertical="center"/>
    </xf>
    <xf numFmtId="0" fontId="40" fillId="21" borderId="5" xfId="0" applyFont="1" applyFill="1" applyBorder="1" applyAlignment="1">
      <alignment horizontal="center" vertical="center"/>
    </xf>
    <xf numFmtId="0" fontId="40" fillId="21" borderId="13" xfId="0" applyFont="1" applyFill="1" applyBorder="1" applyAlignment="1">
      <alignment horizontal="center" vertical="center"/>
    </xf>
    <xf numFmtId="0" fontId="40" fillId="21" borderId="9" xfId="0" applyFont="1" applyFill="1" applyBorder="1" applyAlignment="1">
      <alignment horizontal="center" vertical="center"/>
    </xf>
    <xf numFmtId="0" fontId="40" fillId="21" borderId="12" xfId="0" applyFont="1" applyFill="1" applyBorder="1" applyAlignment="1">
      <alignment horizontal="center" vertical="center"/>
    </xf>
    <xf numFmtId="0" fontId="40" fillId="21" borderId="11" xfId="0" applyFont="1" applyFill="1" applyBorder="1" applyAlignment="1">
      <alignment horizontal="center" vertical="center"/>
    </xf>
    <xf numFmtId="0" fontId="40" fillId="21" borderId="10" xfId="0" applyFont="1" applyFill="1"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95" fillId="21" borderId="2" xfId="0" applyFont="1" applyFill="1" applyBorder="1" applyAlignment="1">
      <alignment horizontal="center"/>
    </xf>
    <xf numFmtId="0" fontId="95" fillId="21" borderId="12" xfId="0" applyFont="1" applyFill="1" applyBorder="1" applyAlignment="1">
      <alignment horizontal="center"/>
    </xf>
    <xf numFmtId="0" fontId="40" fillId="21" borderId="5" xfId="0" applyFont="1" applyFill="1" applyBorder="1" applyAlignment="1">
      <alignment horizontal="center" vertical="center" wrapText="1"/>
    </xf>
    <xf numFmtId="0" fontId="40" fillId="21" borderId="12" xfId="0" applyFont="1" applyFill="1" applyBorder="1" applyAlignment="1">
      <alignment horizontal="center" vertical="center" wrapText="1"/>
    </xf>
    <xf numFmtId="0" fontId="95" fillId="0" borderId="1" xfId="0" applyFont="1" applyBorder="1" applyAlignment="1">
      <alignment horizontal="center" vertical="center" wrapText="1"/>
    </xf>
  </cellXfs>
  <cellStyles count="537">
    <cellStyle name="Hiperlink 2" xfId="535"/>
    <cellStyle name="Hyperlink" xfId="1" builtinId="8"/>
    <cellStyle name="Hyperlink 2" xfId="2"/>
    <cellStyle name="Hyperlink 3" xfId="3"/>
    <cellStyle name="Moeda" xfId="4" builtinId="4"/>
    <cellStyle name="Moeda 2" xfId="5"/>
    <cellStyle name="Moeda 2 2" xfId="6"/>
    <cellStyle name="Moeda 2 3" xfId="536"/>
    <cellStyle name="Moeda 3" xfId="7"/>
    <cellStyle name="Moeda 3 10" xfId="8"/>
    <cellStyle name="Moeda 3 2" xfId="9"/>
    <cellStyle name="Moeda 3 2 2" xfId="10"/>
    <cellStyle name="Moeda 3 2 2 2" xfId="11"/>
    <cellStyle name="Moeda 3 2 2 2 2" xfId="12"/>
    <cellStyle name="Moeda 3 2 2 2 3" xfId="13"/>
    <cellStyle name="Moeda 3 2 2 3" xfId="14"/>
    <cellStyle name="Moeda 3 2 2 4" xfId="15"/>
    <cellStyle name="Moeda 3 2 3" xfId="16"/>
    <cellStyle name="Moeda 3 2 3 2" xfId="17"/>
    <cellStyle name="Moeda 3 2 3 2 2" xfId="18"/>
    <cellStyle name="Moeda 3 2 3 2 3" xfId="19"/>
    <cellStyle name="Moeda 3 2 3 3" xfId="20"/>
    <cellStyle name="Moeda 3 2 3 4" xfId="21"/>
    <cellStyle name="Moeda 3 2 4" xfId="22"/>
    <cellStyle name="Moeda 3 2 4 2" xfId="23"/>
    <cellStyle name="Moeda 3 2 4 2 2" xfId="24"/>
    <cellStyle name="Moeda 3 2 4 2 3" xfId="25"/>
    <cellStyle name="Moeda 3 2 4 3" xfId="26"/>
    <cellStyle name="Moeda 3 2 4 4" xfId="27"/>
    <cellStyle name="Moeda 3 2 5" xfId="28"/>
    <cellStyle name="Moeda 3 2 5 2" xfId="29"/>
    <cellStyle name="Moeda 3 2 5 2 2" xfId="30"/>
    <cellStyle name="Moeda 3 2 5 2 3" xfId="31"/>
    <cellStyle name="Moeda 3 2 5 3" xfId="32"/>
    <cellStyle name="Moeda 3 2 5 4" xfId="33"/>
    <cellStyle name="Moeda 3 2 6" xfId="34"/>
    <cellStyle name="Moeda 3 2 6 2" xfId="35"/>
    <cellStyle name="Moeda 3 2 6 3" xfId="36"/>
    <cellStyle name="Moeda 3 2 7" xfId="37"/>
    <cellStyle name="Moeda 3 2 7 2" xfId="38"/>
    <cellStyle name="Moeda 3 2 7 3" xfId="39"/>
    <cellStyle name="Moeda 3 2 8" xfId="40"/>
    <cellStyle name="Moeda 3 2 9" xfId="41"/>
    <cellStyle name="Moeda 3 3" xfId="42"/>
    <cellStyle name="Moeda 3 3 2" xfId="43"/>
    <cellStyle name="Moeda 3 3 2 2" xfId="44"/>
    <cellStyle name="Moeda 3 3 2 3" xfId="45"/>
    <cellStyle name="Moeda 3 3 3" xfId="46"/>
    <cellStyle name="Moeda 3 3 4" xfId="47"/>
    <cellStyle name="Moeda 3 4" xfId="48"/>
    <cellStyle name="Moeda 3 4 2" xfId="49"/>
    <cellStyle name="Moeda 3 4 2 2" xfId="50"/>
    <cellStyle name="Moeda 3 4 2 3" xfId="51"/>
    <cellStyle name="Moeda 3 4 3" xfId="52"/>
    <cellStyle name="Moeda 3 4 4" xfId="53"/>
    <cellStyle name="Moeda 3 5" xfId="54"/>
    <cellStyle name="Moeda 3 5 2" xfId="55"/>
    <cellStyle name="Moeda 3 5 2 2" xfId="56"/>
    <cellStyle name="Moeda 3 5 2 3" xfId="57"/>
    <cellStyle name="Moeda 3 5 3" xfId="58"/>
    <cellStyle name="Moeda 3 5 4" xfId="59"/>
    <cellStyle name="Moeda 3 6" xfId="60"/>
    <cellStyle name="Moeda 3 6 2" xfId="61"/>
    <cellStyle name="Moeda 3 6 2 2" xfId="62"/>
    <cellStyle name="Moeda 3 6 2 3" xfId="63"/>
    <cellStyle name="Moeda 3 6 3" xfId="64"/>
    <cellStyle name="Moeda 3 6 4" xfId="65"/>
    <cellStyle name="Moeda 3 7" xfId="66"/>
    <cellStyle name="Moeda 3 7 2" xfId="67"/>
    <cellStyle name="Moeda 3 7 3" xfId="68"/>
    <cellStyle name="Moeda 3 8" xfId="69"/>
    <cellStyle name="Moeda 3 8 2" xfId="70"/>
    <cellStyle name="Moeda 3 8 3" xfId="71"/>
    <cellStyle name="Moeda 3 9" xfId="72"/>
    <cellStyle name="Moeda 4" xfId="73"/>
    <cellStyle name="Normal" xfId="0" builtinId="0"/>
    <cellStyle name="Normal 10" xfId="74"/>
    <cellStyle name="Normal 11" xfId="75"/>
    <cellStyle name="Normal 11 2" xfId="76"/>
    <cellStyle name="Normal 11 2 2" xfId="77"/>
    <cellStyle name="Normal 11 2 3" xfId="78"/>
    <cellStyle name="Normal 11 3" xfId="79"/>
    <cellStyle name="Normal 11 4" xfId="80"/>
    <cellStyle name="Normal 12" xfId="81"/>
    <cellStyle name="Normal 12 2" xfId="82"/>
    <cellStyle name="Normal 12 2 2" xfId="83"/>
    <cellStyle name="Normal 12 2 3" xfId="84"/>
    <cellStyle name="Normal 12 3" xfId="85"/>
    <cellStyle name="Normal 12 4" xfId="86"/>
    <cellStyle name="Normal 18" xfId="87"/>
    <cellStyle name="Normal 2" xfId="88"/>
    <cellStyle name="Normal 2 2" xfId="89"/>
    <cellStyle name="Normal 2 2 2" xfId="90"/>
    <cellStyle name="Normal 2 2 2 2" xfId="91"/>
    <cellStyle name="Normal 2 2 2 2 2" xfId="92"/>
    <cellStyle name="Normal 2 2 2 2 3" xfId="93"/>
    <cellStyle name="Normal 2 2 2 3" xfId="94"/>
    <cellStyle name="Normal 2 2 2 4" xfId="95"/>
    <cellStyle name="Normal 2 2 3" xfId="96"/>
    <cellStyle name="Normal 2 2 3 2" xfId="97"/>
    <cellStyle name="Normal 2 2 3 2 2" xfId="98"/>
    <cellStyle name="Normal 2 2 3 2 3" xfId="99"/>
    <cellStyle name="Normal 2 2 3 3" xfId="100"/>
    <cellStyle name="Normal 2 2 3 4" xfId="101"/>
    <cellStyle name="Normal 2 2 4" xfId="102"/>
    <cellStyle name="Normal 2 2 4 2" xfId="103"/>
    <cellStyle name="Normal 2 2 4 2 2" xfId="104"/>
    <cellStyle name="Normal 2 2 4 2 3" xfId="105"/>
    <cellStyle name="Normal 2 2 4 3" xfId="106"/>
    <cellStyle name="Normal 2 2 4 4" xfId="107"/>
    <cellStyle name="Normal 2 2 5" xfId="108"/>
    <cellStyle name="Normal 2 2 5 2" xfId="109"/>
    <cellStyle name="Normal 2 2 5 2 2" xfId="110"/>
    <cellStyle name="Normal 2 2 5 2 3" xfId="111"/>
    <cellStyle name="Normal 2 2 5 3" xfId="112"/>
    <cellStyle name="Normal 2 2 5 4" xfId="113"/>
    <cellStyle name="Normal 2 2 6" xfId="114"/>
    <cellStyle name="Normal 2 2 6 2" xfId="115"/>
    <cellStyle name="Normal 2 2 6 3" xfId="116"/>
    <cellStyle name="Normal 2 2 7" xfId="117"/>
    <cellStyle name="Normal 2 2 7 2" xfId="118"/>
    <cellStyle name="Normal 2 2 7 3" xfId="119"/>
    <cellStyle name="Normal 2 2 8" xfId="120"/>
    <cellStyle name="Normal 2 2 9" xfId="121"/>
    <cellStyle name="Normal 2 3" xfId="122"/>
    <cellStyle name="Normal 2 4" xfId="123"/>
    <cellStyle name="Normal 2 5" xfId="124"/>
    <cellStyle name="Normal 3" xfId="125"/>
    <cellStyle name="Normal 3 10" xfId="126"/>
    <cellStyle name="Normal 3 2" xfId="127"/>
    <cellStyle name="Normal 3 2 2" xfId="128"/>
    <cellStyle name="Normal 3 2 2 2" xfId="129"/>
    <cellStyle name="Normal 3 2 2 2 2" xfId="130"/>
    <cellStyle name="Normal 3 2 2 2 3" xfId="131"/>
    <cellStyle name="Normal 3 2 2 3" xfId="132"/>
    <cellStyle name="Normal 3 2 2 4" xfId="133"/>
    <cellStyle name="Normal 3 2 3" xfId="134"/>
    <cellStyle name="Normal 3 2 3 2" xfId="135"/>
    <cellStyle name="Normal 3 2 3 2 2" xfId="136"/>
    <cellStyle name="Normal 3 2 3 2 3" xfId="137"/>
    <cellStyle name="Normal 3 2 3 3" xfId="138"/>
    <cellStyle name="Normal 3 2 3 4" xfId="139"/>
    <cellStyle name="Normal 3 2 4" xfId="140"/>
    <cellStyle name="Normal 3 2 4 2" xfId="141"/>
    <cellStyle name="Normal 3 2 4 2 2" xfId="142"/>
    <cellStyle name="Normal 3 2 4 2 3" xfId="143"/>
    <cellStyle name="Normal 3 2 4 3" xfId="144"/>
    <cellStyle name="Normal 3 2 4 4" xfId="145"/>
    <cellStyle name="Normal 3 2 5" xfId="146"/>
    <cellStyle name="Normal 3 2 5 2" xfId="147"/>
    <cellStyle name="Normal 3 2 5 2 2" xfId="148"/>
    <cellStyle name="Normal 3 2 5 2 3" xfId="149"/>
    <cellStyle name="Normal 3 2 5 3" xfId="150"/>
    <cellStyle name="Normal 3 2 5 4" xfId="151"/>
    <cellStyle name="Normal 3 2 6" xfId="152"/>
    <cellStyle name="Normal 3 2 6 2" xfId="153"/>
    <cellStyle name="Normal 3 2 6 3" xfId="154"/>
    <cellStyle name="Normal 3 2 7" xfId="155"/>
    <cellStyle name="Normal 3 2 7 2" xfId="156"/>
    <cellStyle name="Normal 3 2 7 3" xfId="157"/>
    <cellStyle name="Normal 3 2 8" xfId="158"/>
    <cellStyle name="Normal 3 2 9" xfId="159"/>
    <cellStyle name="Normal 3 3" xfId="160"/>
    <cellStyle name="Normal 3 3 2" xfId="161"/>
    <cellStyle name="Normal 3 3 2 2" xfId="162"/>
    <cellStyle name="Normal 3 3 2 3" xfId="163"/>
    <cellStyle name="Normal 3 3 3" xfId="164"/>
    <cellStyle name="Normal 3 3 4" xfId="165"/>
    <cellStyle name="Normal 3 4" xfId="166"/>
    <cellStyle name="Normal 3 4 2" xfId="167"/>
    <cellStyle name="Normal 3 4 2 2" xfId="168"/>
    <cellStyle name="Normal 3 4 2 3" xfId="169"/>
    <cellStyle name="Normal 3 4 3" xfId="170"/>
    <cellStyle name="Normal 3 4 4" xfId="171"/>
    <cellStyle name="Normal 3 5" xfId="172"/>
    <cellStyle name="Normal 3 5 2" xfId="173"/>
    <cellStyle name="Normal 3 5 2 2" xfId="174"/>
    <cellStyle name="Normal 3 5 2 3" xfId="175"/>
    <cellStyle name="Normal 3 5 3" xfId="176"/>
    <cellStyle name="Normal 3 5 4" xfId="177"/>
    <cellStyle name="Normal 3 6" xfId="178"/>
    <cellStyle name="Normal 3 6 2" xfId="179"/>
    <cellStyle name="Normal 3 6 2 2" xfId="180"/>
    <cellStyle name="Normal 3 6 2 3" xfId="181"/>
    <cellStyle name="Normal 3 6 3" xfId="182"/>
    <cellStyle name="Normal 3 6 4" xfId="183"/>
    <cellStyle name="Normal 3 7" xfId="184"/>
    <cellStyle name="Normal 3 7 2" xfId="185"/>
    <cellStyle name="Normal 3 7 3" xfId="186"/>
    <cellStyle name="Normal 3 8" xfId="187"/>
    <cellStyle name="Normal 3 8 2" xfId="188"/>
    <cellStyle name="Normal 3 8 3" xfId="189"/>
    <cellStyle name="Normal 3 9" xfId="190"/>
    <cellStyle name="Normal 4" xfId="191"/>
    <cellStyle name="Normal 4 10" xfId="192"/>
    <cellStyle name="Normal 4 11" xfId="193"/>
    <cellStyle name="Normal 4 2" xfId="194"/>
    <cellStyle name="Normal 4 2 2" xfId="195"/>
    <cellStyle name="Normal 4 2 2 2" xfId="196"/>
    <cellStyle name="Normal 4 2 2 2 2" xfId="197"/>
    <cellStyle name="Normal 4 2 2 2 3" xfId="198"/>
    <cellStyle name="Normal 4 2 2 3" xfId="199"/>
    <cellStyle name="Normal 4 2 2 4" xfId="200"/>
    <cellStyle name="Normal 4 2 3" xfId="201"/>
    <cellStyle name="Normal 4 2 3 2" xfId="202"/>
    <cellStyle name="Normal 4 2 3 2 2" xfId="203"/>
    <cellStyle name="Normal 4 2 3 2 3" xfId="204"/>
    <cellStyle name="Normal 4 2 3 3" xfId="205"/>
    <cellStyle name="Normal 4 2 3 4" xfId="206"/>
    <cellStyle name="Normal 4 2 4" xfId="207"/>
    <cellStyle name="Normal 4 2 4 2" xfId="208"/>
    <cellStyle name="Normal 4 2 4 2 2" xfId="209"/>
    <cellStyle name="Normal 4 2 4 2 3" xfId="210"/>
    <cellStyle name="Normal 4 2 4 3" xfId="211"/>
    <cellStyle name="Normal 4 2 4 4" xfId="212"/>
    <cellStyle name="Normal 4 2 5" xfId="213"/>
    <cellStyle name="Normal 4 2 5 2" xfId="214"/>
    <cellStyle name="Normal 4 2 5 2 2" xfId="215"/>
    <cellStyle name="Normal 4 2 5 2 3" xfId="216"/>
    <cellStyle name="Normal 4 2 5 3" xfId="217"/>
    <cellStyle name="Normal 4 2 5 4" xfId="218"/>
    <cellStyle name="Normal 4 2 6" xfId="219"/>
    <cellStyle name="Normal 4 2 6 2" xfId="220"/>
    <cellStyle name="Normal 4 2 6 3" xfId="221"/>
    <cellStyle name="Normal 4 2 7" xfId="222"/>
    <cellStyle name="Normal 4 2 7 2" xfId="223"/>
    <cellStyle name="Normal 4 2 7 3" xfId="224"/>
    <cellStyle name="Normal 4 2 8" xfId="225"/>
    <cellStyle name="Normal 4 2 9" xfId="226"/>
    <cellStyle name="Normal 4 3" xfId="227"/>
    <cellStyle name="Normal 4 3 2" xfId="228"/>
    <cellStyle name="Normal 4 3 2 2" xfId="229"/>
    <cellStyle name="Normal 4 3 2 3" xfId="230"/>
    <cellStyle name="Normal 4 3 3" xfId="231"/>
    <cellStyle name="Normal 4 3 4" xfId="232"/>
    <cellStyle name="Normal 4 4" xfId="233"/>
    <cellStyle name="Normal 4 4 2" xfId="234"/>
    <cellStyle name="Normal 4 4 2 2" xfId="235"/>
    <cellStyle name="Normal 4 4 2 3" xfId="236"/>
    <cellStyle name="Normal 4 4 3" xfId="237"/>
    <cellStyle name="Normal 4 4 4" xfId="238"/>
    <cellStyle name="Normal 4 5" xfId="239"/>
    <cellStyle name="Normal 4 5 2" xfId="240"/>
    <cellStyle name="Normal 4 5 2 2" xfId="241"/>
    <cellStyle name="Normal 4 5 2 3" xfId="242"/>
    <cellStyle name="Normal 4 5 3" xfId="243"/>
    <cellStyle name="Normal 4 5 4" xfId="244"/>
    <cellStyle name="Normal 4 6" xfId="245"/>
    <cellStyle name="Normal 4 6 2" xfId="246"/>
    <cellStyle name="Normal 4 6 2 2" xfId="247"/>
    <cellStyle name="Normal 4 6 2 3" xfId="248"/>
    <cellStyle name="Normal 4 6 3" xfId="249"/>
    <cellStyle name="Normal 4 6 4" xfId="250"/>
    <cellStyle name="Normal 4 7" xfId="251"/>
    <cellStyle name="Normal 4 7 2" xfId="252"/>
    <cellStyle name="Normal 4 7 3" xfId="253"/>
    <cellStyle name="Normal 4 8" xfId="254"/>
    <cellStyle name="Normal 4 8 2" xfId="255"/>
    <cellStyle name="Normal 4 8 3" xfId="256"/>
    <cellStyle name="Normal 4 9" xfId="257"/>
    <cellStyle name="Normal 5" xfId="258"/>
    <cellStyle name="Normal 5 10" xfId="259"/>
    <cellStyle name="Normal 5 2" xfId="260"/>
    <cellStyle name="Normal 5 2 2" xfId="261"/>
    <cellStyle name="Normal 5 2 2 2" xfId="262"/>
    <cellStyle name="Normal 5 2 2 2 2" xfId="263"/>
    <cellStyle name="Normal 5 2 2 2 3" xfId="264"/>
    <cellStyle name="Normal 5 2 2 3" xfId="265"/>
    <cellStyle name="Normal 5 2 2 4" xfId="266"/>
    <cellStyle name="Normal 5 2 3" xfId="267"/>
    <cellStyle name="Normal 5 2 3 2" xfId="268"/>
    <cellStyle name="Normal 5 2 3 2 2" xfId="269"/>
    <cellStyle name="Normal 5 2 3 2 3" xfId="270"/>
    <cellStyle name="Normal 5 2 3 3" xfId="271"/>
    <cellStyle name="Normal 5 2 3 4" xfId="272"/>
    <cellStyle name="Normal 5 2 4" xfId="273"/>
    <cellStyle name="Normal 5 2 4 2" xfId="274"/>
    <cellStyle name="Normal 5 2 4 2 2" xfId="275"/>
    <cellStyle name="Normal 5 2 4 2 3" xfId="276"/>
    <cellStyle name="Normal 5 2 4 3" xfId="277"/>
    <cellStyle name="Normal 5 2 4 4" xfId="278"/>
    <cellStyle name="Normal 5 2 5" xfId="279"/>
    <cellStyle name="Normal 5 2 5 2" xfId="280"/>
    <cellStyle name="Normal 5 2 5 2 2" xfId="281"/>
    <cellStyle name="Normal 5 2 5 2 3" xfId="282"/>
    <cellStyle name="Normal 5 2 5 3" xfId="283"/>
    <cellStyle name="Normal 5 2 5 4" xfId="284"/>
    <cellStyle name="Normal 5 2 6" xfId="285"/>
    <cellStyle name="Normal 5 2 6 2" xfId="286"/>
    <cellStyle name="Normal 5 2 6 3" xfId="287"/>
    <cellStyle name="Normal 5 2 7" xfId="288"/>
    <cellStyle name="Normal 5 2 7 2" xfId="289"/>
    <cellStyle name="Normal 5 2 7 3" xfId="290"/>
    <cellStyle name="Normal 5 2 8" xfId="291"/>
    <cellStyle name="Normal 5 2 9" xfId="292"/>
    <cellStyle name="Normal 5 3" xfId="293"/>
    <cellStyle name="Normal 5 3 2" xfId="294"/>
    <cellStyle name="Normal 5 3 2 2" xfId="295"/>
    <cellStyle name="Normal 5 3 2 3" xfId="296"/>
    <cellStyle name="Normal 5 3 3" xfId="297"/>
    <cellStyle name="Normal 5 3 4" xfId="298"/>
    <cellStyle name="Normal 5 4" xfId="299"/>
    <cellStyle name="Normal 5 4 2" xfId="300"/>
    <cellStyle name="Normal 5 4 2 2" xfId="301"/>
    <cellStyle name="Normal 5 4 2 3" xfId="302"/>
    <cellStyle name="Normal 5 4 3" xfId="303"/>
    <cellStyle name="Normal 5 4 4" xfId="304"/>
    <cellStyle name="Normal 5 5" xfId="305"/>
    <cellStyle name="Normal 5 5 2" xfId="306"/>
    <cellStyle name="Normal 5 5 2 2" xfId="307"/>
    <cellStyle name="Normal 5 5 2 3" xfId="308"/>
    <cellStyle name="Normal 5 5 3" xfId="309"/>
    <cellStyle name="Normal 5 5 4" xfId="310"/>
    <cellStyle name="Normal 5 6" xfId="311"/>
    <cellStyle name="Normal 5 6 2" xfId="312"/>
    <cellStyle name="Normal 5 6 2 2" xfId="313"/>
    <cellStyle name="Normal 5 6 2 3" xfId="314"/>
    <cellStyle name="Normal 5 6 3" xfId="315"/>
    <cellStyle name="Normal 5 6 4" xfId="316"/>
    <cellStyle name="Normal 5 7" xfId="317"/>
    <cellStyle name="Normal 5 7 2" xfId="318"/>
    <cellStyle name="Normal 5 7 3" xfId="319"/>
    <cellStyle name="Normal 5 8" xfId="320"/>
    <cellStyle name="Normal 5 8 2" xfId="321"/>
    <cellStyle name="Normal 5 8 3" xfId="322"/>
    <cellStyle name="Normal 5 9" xfId="323"/>
    <cellStyle name="Normal 6" xfId="324"/>
    <cellStyle name="Normal 6 10" xfId="325"/>
    <cellStyle name="Normal 6 2" xfId="326"/>
    <cellStyle name="Normal 6 2 2" xfId="327"/>
    <cellStyle name="Normal 6 2 2 2" xfId="328"/>
    <cellStyle name="Normal 6 2 2 2 2" xfId="329"/>
    <cellStyle name="Normal 6 2 2 2 3" xfId="330"/>
    <cellStyle name="Normal 6 2 2 3" xfId="331"/>
    <cellStyle name="Normal 6 2 2 4" xfId="332"/>
    <cellStyle name="Normal 6 2 3" xfId="333"/>
    <cellStyle name="Normal 6 2 3 2" xfId="334"/>
    <cellStyle name="Normal 6 2 3 2 2" xfId="335"/>
    <cellStyle name="Normal 6 2 3 2 3" xfId="336"/>
    <cellStyle name="Normal 6 2 3 3" xfId="337"/>
    <cellStyle name="Normal 6 2 3 4" xfId="338"/>
    <cellStyle name="Normal 6 2 4" xfId="339"/>
    <cellStyle name="Normal 6 2 4 2" xfId="340"/>
    <cellStyle name="Normal 6 2 4 2 2" xfId="341"/>
    <cellStyle name="Normal 6 2 4 2 3" xfId="342"/>
    <cellStyle name="Normal 6 2 4 3" xfId="343"/>
    <cellStyle name="Normal 6 2 4 4" xfId="344"/>
    <cellStyle name="Normal 6 2 5" xfId="345"/>
    <cellStyle name="Normal 6 2 5 2" xfId="346"/>
    <cellStyle name="Normal 6 2 5 2 2" xfId="347"/>
    <cellStyle name="Normal 6 2 5 2 3" xfId="348"/>
    <cellStyle name="Normal 6 2 5 3" xfId="349"/>
    <cellStyle name="Normal 6 2 5 4" xfId="350"/>
    <cellStyle name="Normal 6 2 6" xfId="351"/>
    <cellStyle name="Normal 6 2 6 2" xfId="352"/>
    <cellStyle name="Normal 6 2 6 3" xfId="353"/>
    <cellStyle name="Normal 6 2 7" xfId="354"/>
    <cellStyle name="Normal 6 2 7 2" xfId="355"/>
    <cellStyle name="Normal 6 2 7 3" xfId="356"/>
    <cellStyle name="Normal 6 2 8" xfId="357"/>
    <cellStyle name="Normal 6 2 9" xfId="358"/>
    <cellStyle name="Normal 6 3" xfId="359"/>
    <cellStyle name="Normal 6 3 2" xfId="360"/>
    <cellStyle name="Normal 6 3 2 2" xfId="361"/>
    <cellStyle name="Normal 6 3 2 3" xfId="362"/>
    <cellStyle name="Normal 6 3 3" xfId="363"/>
    <cellStyle name="Normal 6 3 4" xfId="364"/>
    <cellStyle name="Normal 6 4" xfId="365"/>
    <cellStyle name="Normal 6 4 2" xfId="366"/>
    <cellStyle name="Normal 6 4 2 2" xfId="367"/>
    <cellStyle name="Normal 6 4 2 3" xfId="368"/>
    <cellStyle name="Normal 6 4 3" xfId="369"/>
    <cellStyle name="Normal 6 4 4" xfId="370"/>
    <cellStyle name="Normal 6 5" xfId="371"/>
    <cellStyle name="Normal 6 5 2" xfId="372"/>
    <cellStyle name="Normal 6 5 2 2" xfId="373"/>
    <cellStyle name="Normal 6 5 2 3" xfId="374"/>
    <cellStyle name="Normal 6 5 3" xfId="375"/>
    <cellStyle name="Normal 6 5 4" xfId="376"/>
    <cellStyle name="Normal 6 6" xfId="377"/>
    <cellStyle name="Normal 6 6 2" xfId="378"/>
    <cellStyle name="Normal 6 6 2 2" xfId="379"/>
    <cellStyle name="Normal 6 6 2 3" xfId="380"/>
    <cellStyle name="Normal 6 6 3" xfId="381"/>
    <cellStyle name="Normal 6 6 4" xfId="382"/>
    <cellStyle name="Normal 6 7" xfId="383"/>
    <cellStyle name="Normal 6 7 2" xfId="384"/>
    <cellStyle name="Normal 6 7 3" xfId="385"/>
    <cellStyle name="Normal 6 8" xfId="386"/>
    <cellStyle name="Normal 6 8 2" xfId="387"/>
    <cellStyle name="Normal 6 8 3" xfId="388"/>
    <cellStyle name="Normal 6 9" xfId="389"/>
    <cellStyle name="Normal 7" xfId="390"/>
    <cellStyle name="Normal 7 10" xfId="391"/>
    <cellStyle name="Normal 7 2" xfId="392"/>
    <cellStyle name="Normal 7 2 2" xfId="393"/>
    <cellStyle name="Normal 7 2 2 2" xfId="394"/>
    <cellStyle name="Normal 7 2 2 2 2" xfId="395"/>
    <cellStyle name="Normal 7 2 2 2 3" xfId="396"/>
    <cellStyle name="Normal 7 2 2 3" xfId="397"/>
    <cellStyle name="Normal 7 2 2 4" xfId="398"/>
    <cellStyle name="Normal 7 2 3" xfId="399"/>
    <cellStyle name="Normal 7 2 3 2" xfId="400"/>
    <cellStyle name="Normal 7 2 3 2 2" xfId="401"/>
    <cellStyle name="Normal 7 2 3 2 3" xfId="402"/>
    <cellStyle name="Normal 7 2 3 3" xfId="403"/>
    <cellStyle name="Normal 7 2 3 4" xfId="404"/>
    <cellStyle name="Normal 7 2 4" xfId="405"/>
    <cellStyle name="Normal 7 2 4 2" xfId="406"/>
    <cellStyle name="Normal 7 2 4 2 2" xfId="407"/>
    <cellStyle name="Normal 7 2 4 2 3" xfId="408"/>
    <cellStyle name="Normal 7 2 4 3" xfId="409"/>
    <cellStyle name="Normal 7 2 4 4" xfId="410"/>
    <cellStyle name="Normal 7 2 5" xfId="411"/>
    <cellStyle name="Normal 7 2 5 2" xfId="412"/>
    <cellStyle name="Normal 7 2 5 2 2" xfId="413"/>
    <cellStyle name="Normal 7 2 5 2 3" xfId="414"/>
    <cellStyle name="Normal 7 2 5 3" xfId="415"/>
    <cellStyle name="Normal 7 2 5 4" xfId="416"/>
    <cellStyle name="Normal 7 2 6" xfId="417"/>
    <cellStyle name="Normal 7 2 6 2" xfId="418"/>
    <cellStyle name="Normal 7 2 6 3" xfId="419"/>
    <cellStyle name="Normal 7 2 7" xfId="420"/>
    <cellStyle name="Normal 7 2 7 2" xfId="421"/>
    <cellStyle name="Normal 7 2 7 3" xfId="422"/>
    <cellStyle name="Normal 7 2 8" xfId="423"/>
    <cellStyle name="Normal 7 2 9" xfId="424"/>
    <cellStyle name="Normal 7 3" xfId="425"/>
    <cellStyle name="Normal 7 3 2" xfId="426"/>
    <cellStyle name="Normal 7 3 2 2" xfId="427"/>
    <cellStyle name="Normal 7 3 2 3" xfId="428"/>
    <cellStyle name="Normal 7 3 3" xfId="429"/>
    <cellStyle name="Normal 7 3 4" xfId="430"/>
    <cellStyle name="Normal 7 4" xfId="431"/>
    <cellStyle name="Normal 7 4 2" xfId="432"/>
    <cellStyle name="Normal 7 4 2 2" xfId="433"/>
    <cellStyle name="Normal 7 4 2 3" xfId="434"/>
    <cellStyle name="Normal 7 4 3" xfId="435"/>
    <cellStyle name="Normal 7 4 4" xfId="436"/>
    <cellStyle name="Normal 7 5" xfId="437"/>
    <cellStyle name="Normal 7 5 2" xfId="438"/>
    <cellStyle name="Normal 7 5 2 2" xfId="439"/>
    <cellStyle name="Normal 7 5 2 3" xfId="440"/>
    <cellStyle name="Normal 7 5 3" xfId="441"/>
    <cellStyle name="Normal 7 5 4" xfId="442"/>
    <cellStyle name="Normal 7 6" xfId="443"/>
    <cellStyle name="Normal 7 6 2" xfId="444"/>
    <cellStyle name="Normal 7 6 2 2" xfId="445"/>
    <cellStyle name="Normal 7 6 2 3" xfId="446"/>
    <cellStyle name="Normal 7 6 3" xfId="447"/>
    <cellStyle name="Normal 7 6 4" xfId="448"/>
    <cellStyle name="Normal 7 7" xfId="449"/>
    <cellStyle name="Normal 7 7 2" xfId="450"/>
    <cellStyle name="Normal 7 7 3" xfId="451"/>
    <cellStyle name="Normal 7 8" xfId="452"/>
    <cellStyle name="Normal 7 8 2" xfId="453"/>
    <cellStyle name="Normal 7 8 3" xfId="454"/>
    <cellStyle name="Normal 7 9" xfId="455"/>
    <cellStyle name="Normal 8" xfId="456"/>
    <cellStyle name="Normal 9" xfId="457"/>
    <cellStyle name="Normal 9 10" xfId="458"/>
    <cellStyle name="Normal 9 2" xfId="459"/>
    <cellStyle name="Normal 9 2 2" xfId="460"/>
    <cellStyle name="Normal 9 2 2 2" xfId="461"/>
    <cellStyle name="Normal 9 2 2 2 2" xfId="462"/>
    <cellStyle name="Normal 9 2 2 2 3" xfId="463"/>
    <cellStyle name="Normal 9 2 2 3" xfId="464"/>
    <cellStyle name="Normal 9 2 2 4" xfId="465"/>
    <cellStyle name="Normal 9 2 3" xfId="466"/>
    <cellStyle name="Normal 9 2 3 2" xfId="467"/>
    <cellStyle name="Normal 9 2 3 2 2" xfId="468"/>
    <cellStyle name="Normal 9 2 3 2 3" xfId="469"/>
    <cellStyle name="Normal 9 2 3 3" xfId="470"/>
    <cellStyle name="Normal 9 2 3 4" xfId="471"/>
    <cellStyle name="Normal 9 2 4" xfId="472"/>
    <cellStyle name="Normal 9 2 4 2" xfId="473"/>
    <cellStyle name="Normal 9 2 4 2 2" xfId="474"/>
    <cellStyle name="Normal 9 2 4 2 3" xfId="475"/>
    <cellStyle name="Normal 9 2 4 3" xfId="476"/>
    <cellStyle name="Normal 9 2 4 4" xfId="477"/>
    <cellStyle name="Normal 9 2 5" xfId="478"/>
    <cellStyle name="Normal 9 2 5 2" xfId="479"/>
    <cellStyle name="Normal 9 2 5 2 2" xfId="480"/>
    <cellStyle name="Normal 9 2 5 2 3" xfId="481"/>
    <cellStyle name="Normal 9 2 5 3" xfId="482"/>
    <cellStyle name="Normal 9 2 5 4" xfId="483"/>
    <cellStyle name="Normal 9 2 6" xfId="484"/>
    <cellStyle name="Normal 9 2 6 2" xfId="485"/>
    <cellStyle name="Normal 9 2 6 3" xfId="486"/>
    <cellStyle name="Normal 9 2 7" xfId="487"/>
    <cellStyle name="Normal 9 2 7 2" xfId="488"/>
    <cellStyle name="Normal 9 2 7 3" xfId="489"/>
    <cellStyle name="Normal 9 2 8" xfId="490"/>
    <cellStyle name="Normal 9 2 9" xfId="491"/>
    <cellStyle name="Normal 9 3" xfId="492"/>
    <cellStyle name="Normal 9 3 2" xfId="493"/>
    <cellStyle name="Normal 9 3 2 2" xfId="494"/>
    <cellStyle name="Normal 9 3 2 3" xfId="495"/>
    <cellStyle name="Normal 9 3 3" xfId="496"/>
    <cellStyle name="Normal 9 3 4" xfId="497"/>
    <cellStyle name="Normal 9 4" xfId="498"/>
    <cellStyle name="Normal 9 4 2" xfId="499"/>
    <cellStyle name="Normal 9 4 2 2" xfId="500"/>
    <cellStyle name="Normal 9 4 2 3" xfId="501"/>
    <cellStyle name="Normal 9 4 3" xfId="502"/>
    <cellStyle name="Normal 9 4 4" xfId="503"/>
    <cellStyle name="Normal 9 5" xfId="504"/>
    <cellStyle name="Normal 9 5 2" xfId="505"/>
    <cellStyle name="Normal 9 5 2 2" xfId="506"/>
    <cellStyle name="Normal 9 5 2 3" xfId="507"/>
    <cellStyle name="Normal 9 5 3" xfId="508"/>
    <cellStyle name="Normal 9 5 4" xfId="509"/>
    <cellStyle name="Normal 9 6" xfId="510"/>
    <cellStyle name="Normal 9 6 2" xfId="511"/>
    <cellStyle name="Normal 9 6 2 2" xfId="512"/>
    <cellStyle name="Normal 9 6 2 3" xfId="513"/>
    <cellStyle name="Normal 9 6 3" xfId="514"/>
    <cellStyle name="Normal 9 6 4" xfId="515"/>
    <cellStyle name="Normal 9 7" xfId="516"/>
    <cellStyle name="Normal 9 7 2" xfId="517"/>
    <cellStyle name="Normal 9 7 3" xfId="518"/>
    <cellStyle name="Normal 9 8" xfId="519"/>
    <cellStyle name="Normal 9 8 2" xfId="520"/>
    <cellStyle name="Normal 9 8 3" xfId="521"/>
    <cellStyle name="Normal 9 9" xfId="522"/>
    <cellStyle name="Porcentagem" xfId="523" builtinId="5"/>
    <cellStyle name="Porcentagem 2" xfId="524"/>
    <cellStyle name="Porcentagem 2 2" xfId="525"/>
    <cellStyle name="Porcentagem 3" xfId="526"/>
    <cellStyle name="Porcentagem 4" xfId="527"/>
    <cellStyle name="Porcentagem 4 2" xfId="528"/>
    <cellStyle name="Separador de milhares" xfId="533" builtinId="3"/>
    <cellStyle name="Separador de milhares 2" xfId="529"/>
    <cellStyle name="Separador de milhares 3" xfId="530"/>
    <cellStyle name="Separador de milhares 4" xfId="531"/>
    <cellStyle name="Separador de milhares 4 2" xfId="532"/>
    <cellStyle name="Vírgula 2" xfId="534"/>
  </cellStyles>
  <dxfs count="0"/>
  <tableStyles count="0" defaultTableStyle="TableStyleMedium9" defaultPivotStyle="PivotStyleLight16"/>
  <colors>
    <mruColors>
      <color rgb="FFFFFF99"/>
      <color rgb="FFFFFF66"/>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1933575</xdr:colOff>
      <xdr:row>5</xdr:row>
      <xdr:rowOff>133350</xdr:rowOff>
    </xdr:to>
    <xdr:pic>
      <xdr:nvPicPr>
        <xdr:cNvPr id="82115" name="Picture 174">
          <a:extLst>
            <a:ext uri="{FF2B5EF4-FFF2-40B4-BE49-F238E27FC236}">
              <a16:creationId xmlns="" xmlns:a16="http://schemas.microsoft.com/office/drawing/2014/main" id="{00000000-0008-0000-0100-0000C34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3357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38100</xdr:colOff>
      <xdr:row>10</xdr:row>
      <xdr:rowOff>142875</xdr:rowOff>
    </xdr:from>
    <xdr:to>
      <xdr:col>6</xdr:col>
      <xdr:colOff>371475</xdr:colOff>
      <xdr:row>17</xdr:row>
      <xdr:rowOff>95250</xdr:rowOff>
    </xdr:to>
    <xdr:pic>
      <xdr:nvPicPr>
        <xdr:cNvPr id="57004" name="Picture 174">
          <a:extLst>
            <a:ext uri="{FF2B5EF4-FFF2-40B4-BE49-F238E27FC236}">
              <a16:creationId xmlns="" xmlns:a16="http://schemas.microsoft.com/office/drawing/2014/main" id="{00000000-0008-0000-0B00-0000ACD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638300" y="1657350"/>
          <a:ext cx="193357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228600</xdr:colOff>
      <xdr:row>0</xdr:row>
      <xdr:rowOff>12700</xdr:rowOff>
    </xdr:from>
    <xdr:to>
      <xdr:col>0</xdr:col>
      <xdr:colOff>2263775</xdr:colOff>
      <xdr:row>5</xdr:row>
      <xdr:rowOff>158750</xdr:rowOff>
    </xdr:to>
    <xdr:pic>
      <xdr:nvPicPr>
        <xdr:cNvPr id="2" name="Picture 174">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8600" y="12700"/>
          <a:ext cx="203517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1</xdr:col>
      <xdr:colOff>600075</xdr:colOff>
      <xdr:row>6</xdr:row>
      <xdr:rowOff>50800</xdr:rowOff>
    </xdr:to>
    <xdr:pic>
      <xdr:nvPicPr>
        <xdr:cNvPr id="2" name="Picture 174">
          <a:extLst>
            <a:ext uri="{FF2B5EF4-FFF2-40B4-BE49-F238E27FC236}">
              <a16:creationId xmlns=""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88900"/>
          <a:ext cx="2035175" cy="1066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714375</xdr:colOff>
      <xdr:row>6</xdr:row>
      <xdr:rowOff>0</xdr:rowOff>
    </xdr:to>
    <xdr:pic>
      <xdr:nvPicPr>
        <xdr:cNvPr id="59031" name="Picture 174">
          <a:extLst>
            <a:ext uri="{FF2B5EF4-FFF2-40B4-BE49-F238E27FC236}">
              <a16:creationId xmlns="" xmlns:a16="http://schemas.microsoft.com/office/drawing/2014/main" id="{00000000-0008-0000-0200-000097E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0"/>
          <a:ext cx="193357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142875</xdr:colOff>
      <xdr:row>13</xdr:row>
      <xdr:rowOff>60325</xdr:rowOff>
    </xdr:from>
    <xdr:to>
      <xdr:col>6</xdr:col>
      <xdr:colOff>476250</xdr:colOff>
      <xdr:row>19</xdr:row>
      <xdr:rowOff>158750</xdr:rowOff>
    </xdr:to>
    <xdr:pic>
      <xdr:nvPicPr>
        <xdr:cNvPr id="84159" name="Picture 174">
          <a:extLst>
            <a:ext uri="{FF2B5EF4-FFF2-40B4-BE49-F238E27FC236}">
              <a16:creationId xmlns="" xmlns:a16="http://schemas.microsoft.com/office/drawing/2014/main" id="{00000000-0008-0000-0400-0000BF48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43075" y="2098675"/>
          <a:ext cx="1933575" cy="1089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257175</xdr:colOff>
      <xdr:row>0</xdr:row>
      <xdr:rowOff>9525</xdr:rowOff>
    </xdr:from>
    <xdr:to>
      <xdr:col>9</xdr:col>
      <xdr:colOff>247651</xdr:colOff>
      <xdr:row>5</xdr:row>
      <xdr:rowOff>142875</xdr:rowOff>
    </xdr:to>
    <xdr:pic>
      <xdr:nvPicPr>
        <xdr:cNvPr id="94307" name="Picture 174">
          <a:extLst>
            <a:ext uri="{FF2B5EF4-FFF2-40B4-BE49-F238E27FC236}">
              <a16:creationId xmlns="" xmlns:a16="http://schemas.microsoft.com/office/drawing/2014/main" id="{00000000-0008-0000-0500-0000637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925050" y="9525"/>
          <a:ext cx="193357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161925</xdr:colOff>
      <xdr:row>11</xdr:row>
      <xdr:rowOff>76200</xdr:rowOff>
    </xdr:from>
    <xdr:to>
      <xdr:col>6</xdr:col>
      <xdr:colOff>495300</xdr:colOff>
      <xdr:row>18</xdr:row>
      <xdr:rowOff>28575</xdr:rowOff>
    </xdr:to>
    <xdr:pic>
      <xdr:nvPicPr>
        <xdr:cNvPr id="85183" name="Picture 174">
          <a:extLst>
            <a:ext uri="{FF2B5EF4-FFF2-40B4-BE49-F238E27FC236}">
              <a16:creationId xmlns="" xmlns:a16="http://schemas.microsoft.com/office/drawing/2014/main" id="{00000000-0008-0000-0600-0000BF4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762125" y="1752600"/>
          <a:ext cx="193357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197566</xdr:colOff>
      <xdr:row>0</xdr:row>
      <xdr:rowOff>217714</xdr:rowOff>
    </xdr:from>
    <xdr:to>
      <xdr:col>3</xdr:col>
      <xdr:colOff>300266</xdr:colOff>
      <xdr:row>5</xdr:row>
      <xdr:rowOff>40822</xdr:rowOff>
    </xdr:to>
    <xdr:pic>
      <xdr:nvPicPr>
        <xdr:cNvPr id="2" name="Picture 174">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97566" y="217714"/>
          <a:ext cx="2381896" cy="126546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85725</xdr:colOff>
      <xdr:row>11</xdr:row>
      <xdr:rowOff>123825</xdr:rowOff>
    </xdr:from>
    <xdr:to>
      <xdr:col>6</xdr:col>
      <xdr:colOff>419100</xdr:colOff>
      <xdr:row>18</xdr:row>
      <xdr:rowOff>76200</xdr:rowOff>
    </xdr:to>
    <xdr:pic>
      <xdr:nvPicPr>
        <xdr:cNvPr id="90303" name="Picture 174">
          <a:extLst>
            <a:ext uri="{FF2B5EF4-FFF2-40B4-BE49-F238E27FC236}">
              <a16:creationId xmlns="" xmlns:a16="http://schemas.microsoft.com/office/drawing/2014/main" id="{00000000-0008-0000-0800-0000BF6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685925" y="1800225"/>
          <a:ext cx="1933575" cy="108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0</xdr:colOff>
      <xdr:row>3</xdr:row>
      <xdr:rowOff>104775</xdr:rowOff>
    </xdr:to>
    <xdr:pic>
      <xdr:nvPicPr>
        <xdr:cNvPr id="83331" name="Picture 1" descr="Resultado de imagem para JUSTIÃA FEDERAL PNG">
          <a:extLst>
            <a:ext uri="{FF2B5EF4-FFF2-40B4-BE49-F238E27FC236}">
              <a16:creationId xmlns="" xmlns:a16="http://schemas.microsoft.com/office/drawing/2014/main" id="{00000000-0008-0000-0900-0000834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0" y="438150"/>
          <a:ext cx="0" cy="323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1304925</xdr:colOff>
      <xdr:row>4</xdr:row>
      <xdr:rowOff>142875</xdr:rowOff>
    </xdr:to>
    <xdr:pic>
      <xdr:nvPicPr>
        <xdr:cNvPr id="83332" name="Picture 174">
          <a:extLst>
            <a:ext uri="{FF2B5EF4-FFF2-40B4-BE49-F238E27FC236}">
              <a16:creationId xmlns="" xmlns:a16="http://schemas.microsoft.com/office/drawing/2014/main" id="{00000000-0008-0000-0900-00008445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0"/>
          <a:ext cx="1771650" cy="1019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1</xdr:col>
      <xdr:colOff>2495550</xdr:colOff>
      <xdr:row>4</xdr:row>
      <xdr:rowOff>179251</xdr:rowOff>
    </xdr:to>
    <xdr:pic>
      <xdr:nvPicPr>
        <xdr:cNvPr id="3" name="Picture 174">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14425" y="142875"/>
          <a:ext cx="1771650" cy="94125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249977111117893"/>
  </sheetPr>
  <dimension ref="A1:M35"/>
  <sheetViews>
    <sheetView topLeftCell="A16" zoomScaleNormal="100" zoomScaleSheetLayoutView="90" workbookViewId="0">
      <selection activeCell="J21" sqref="J21"/>
    </sheetView>
  </sheetViews>
  <sheetFormatPr defaultRowHeight="15"/>
  <cols>
    <col min="1" max="1" width="6.7109375" customWidth="1"/>
    <col min="2" max="2" width="6.140625" customWidth="1"/>
    <col min="5" max="5" width="33.140625" customWidth="1"/>
    <col min="6" max="7" width="7.28515625" customWidth="1"/>
    <col min="8" max="8" width="12.5703125" bestFit="1" customWidth="1"/>
    <col min="9" max="9" width="17.5703125" customWidth="1"/>
    <col min="10" max="10" width="12" customWidth="1"/>
    <col min="11" max="11" width="12.5703125" customWidth="1"/>
    <col min="12" max="12" width="14.7109375" customWidth="1"/>
    <col min="13" max="13" width="18" customWidth="1"/>
  </cols>
  <sheetData>
    <row r="1" spans="1:12">
      <c r="A1" s="419"/>
      <c r="B1" s="419"/>
      <c r="C1" s="419"/>
      <c r="D1" s="419"/>
      <c r="E1" s="419"/>
      <c r="F1" s="419"/>
      <c r="G1" s="419"/>
      <c r="H1" s="419"/>
      <c r="I1" s="419"/>
    </row>
    <row r="2" spans="1:12" ht="15.75">
      <c r="A2" s="420" t="s">
        <v>0</v>
      </c>
      <c r="B2" s="420"/>
      <c r="C2" s="420"/>
      <c r="D2" s="420"/>
      <c r="E2" s="420"/>
      <c r="F2" s="420"/>
      <c r="G2" s="420"/>
      <c r="H2" s="420"/>
      <c r="I2" s="420"/>
    </row>
    <row r="3" spans="1:12" ht="15.75">
      <c r="A3" s="420" t="s">
        <v>633</v>
      </c>
      <c r="B3" s="420"/>
      <c r="C3" s="420"/>
      <c r="D3" s="420"/>
      <c r="E3" s="420"/>
      <c r="F3" s="420"/>
      <c r="G3" s="420"/>
      <c r="H3" s="420"/>
      <c r="I3" s="420"/>
    </row>
    <row r="4" spans="1:12" ht="6" customHeight="1">
      <c r="A4" s="421"/>
      <c r="B4" s="422"/>
      <c r="C4" s="422"/>
      <c r="D4" s="422"/>
      <c r="E4" s="422"/>
      <c r="F4" s="422"/>
      <c r="G4" s="422"/>
      <c r="H4" s="422"/>
      <c r="I4" s="422"/>
    </row>
    <row r="5" spans="1:12" ht="15.75">
      <c r="A5" s="420" t="s">
        <v>634</v>
      </c>
      <c r="B5" s="420"/>
      <c r="C5" s="420"/>
      <c r="D5" s="420"/>
      <c r="E5" s="420"/>
      <c r="F5" s="420"/>
      <c r="G5" s="420"/>
      <c r="H5" s="420"/>
      <c r="I5" s="420"/>
    </row>
    <row r="6" spans="1:12" ht="6" customHeight="1">
      <c r="A6" s="423"/>
      <c r="B6" s="423"/>
      <c r="C6" s="423"/>
      <c r="D6" s="423"/>
      <c r="E6" s="423"/>
      <c r="F6" s="423"/>
      <c r="G6" s="423"/>
      <c r="H6" s="423"/>
      <c r="I6" s="423"/>
    </row>
    <row r="7" spans="1:12" ht="15.75" customHeight="1">
      <c r="A7" s="424" t="s">
        <v>1</v>
      </c>
      <c r="B7" s="413"/>
      <c r="C7" s="413"/>
      <c r="D7" s="413"/>
      <c r="E7" s="413"/>
      <c r="F7" s="413"/>
      <c r="G7" s="413"/>
      <c r="H7" s="413"/>
      <c r="I7" s="413"/>
    </row>
    <row r="8" spans="1:12" ht="15.75" customHeight="1">
      <c r="A8" s="410" t="s">
        <v>2</v>
      </c>
      <c r="B8" s="410"/>
      <c r="C8" s="411"/>
      <c r="D8" s="411"/>
      <c r="E8" s="411"/>
      <c r="F8" s="411"/>
      <c r="G8" s="411"/>
      <c r="H8" s="411"/>
      <c r="I8" s="411"/>
    </row>
    <row r="9" spans="1:12" ht="15.75" customHeight="1">
      <c r="A9" s="410" t="s">
        <v>3</v>
      </c>
      <c r="B9" s="410"/>
      <c r="C9" s="411"/>
      <c r="D9" s="411"/>
      <c r="E9" s="411"/>
      <c r="F9" s="411"/>
      <c r="G9" s="411"/>
      <c r="H9" s="411"/>
      <c r="I9" s="411"/>
    </row>
    <row r="10" spans="1:12" ht="15.75" customHeight="1">
      <c r="A10" s="410" t="s">
        <v>4</v>
      </c>
      <c r="B10" s="410"/>
      <c r="C10" s="411"/>
      <c r="D10" s="411"/>
      <c r="E10" s="411"/>
      <c r="F10" s="411"/>
      <c r="G10" s="411"/>
      <c r="H10" s="411"/>
      <c r="I10" s="411"/>
    </row>
    <row r="11" spans="1:12" ht="15" customHeight="1">
      <c r="A11" s="410" t="s">
        <v>5</v>
      </c>
      <c r="B11" s="410"/>
      <c r="C11" s="411"/>
      <c r="D11" s="411"/>
      <c r="E11" s="411"/>
      <c r="F11" s="73" t="s">
        <v>6</v>
      </c>
      <c r="G11" s="73"/>
      <c r="H11" s="412"/>
      <c r="I11" s="412"/>
    </row>
    <row r="12" spans="1:12" ht="15.75" customHeight="1">
      <c r="A12" s="413" t="s">
        <v>7</v>
      </c>
      <c r="B12" s="413"/>
      <c r="C12" s="413"/>
      <c r="D12" s="413"/>
      <c r="E12" s="413"/>
      <c r="F12" s="413"/>
      <c r="G12" s="413"/>
      <c r="H12" s="413"/>
      <c r="I12" s="413"/>
    </row>
    <row r="13" spans="1:12" ht="15.75" customHeight="1">
      <c r="A13" s="414" t="s">
        <v>8</v>
      </c>
      <c r="B13" s="414"/>
      <c r="C13" s="411"/>
      <c r="D13" s="411"/>
      <c r="E13" s="411"/>
      <c r="F13" s="411"/>
      <c r="G13" s="411"/>
      <c r="H13" s="411"/>
      <c r="I13" s="411"/>
    </row>
    <row r="14" spans="1:12" ht="15.75" customHeight="1">
      <c r="A14" s="415" t="s">
        <v>9</v>
      </c>
      <c r="B14" s="415"/>
      <c r="C14" s="416"/>
      <c r="D14" s="416"/>
      <c r="E14" s="416"/>
      <c r="F14" s="416"/>
      <c r="G14" s="416"/>
      <c r="H14" s="416"/>
      <c r="I14" s="416"/>
    </row>
    <row r="15" spans="1:12" ht="101.25" customHeight="1">
      <c r="A15" s="417" t="s">
        <v>704</v>
      </c>
      <c r="B15" s="418"/>
      <c r="C15" s="418"/>
      <c r="D15" s="418"/>
      <c r="E15" s="418"/>
      <c r="F15" s="418"/>
      <c r="G15" s="418"/>
      <c r="H15" s="418"/>
      <c r="I15" s="418"/>
    </row>
    <row r="16" spans="1:12">
      <c r="A16" s="409"/>
      <c r="B16" s="409"/>
      <c r="C16" s="409"/>
      <c r="D16" s="409"/>
      <c r="E16" s="409"/>
      <c r="F16" s="409"/>
      <c r="G16" s="409"/>
      <c r="H16" s="409"/>
      <c r="I16" s="409"/>
      <c r="L16" s="71"/>
    </row>
    <row r="17" spans="1:13" ht="18.75">
      <c r="A17" s="399" t="s">
        <v>664</v>
      </c>
      <c r="B17" s="399"/>
      <c r="C17" s="399"/>
      <c r="D17" s="399"/>
      <c r="E17" s="399"/>
      <c r="F17" s="399"/>
      <c r="G17" s="399"/>
      <c r="H17" s="399"/>
      <c r="I17" s="400"/>
      <c r="J17" s="397"/>
      <c r="K17" s="397"/>
      <c r="L17" s="397"/>
    </row>
    <row r="18" spans="1:13" ht="18.75">
      <c r="A18" s="399" t="s">
        <v>665</v>
      </c>
      <c r="B18" s="399"/>
      <c r="C18" s="399"/>
      <c r="D18" s="399"/>
      <c r="E18" s="399"/>
      <c r="F18" s="399"/>
      <c r="G18" s="399"/>
      <c r="H18" s="399"/>
      <c r="I18" s="400"/>
      <c r="J18" s="139"/>
      <c r="K18" s="139"/>
      <c r="L18" s="139"/>
    </row>
    <row r="19" spans="1:13" ht="43.5" customHeight="1">
      <c r="A19" s="78" t="s">
        <v>10</v>
      </c>
      <c r="B19" s="78" t="s">
        <v>11</v>
      </c>
      <c r="C19" s="401" t="s">
        <v>12</v>
      </c>
      <c r="D19" s="401"/>
      <c r="E19" s="401"/>
      <c r="F19" s="140" t="s">
        <v>666</v>
      </c>
      <c r="G19" s="140" t="s">
        <v>13</v>
      </c>
      <c r="H19" s="140" t="s">
        <v>669</v>
      </c>
      <c r="I19" s="74" t="s">
        <v>670</v>
      </c>
      <c r="J19" s="80"/>
      <c r="K19" s="81"/>
      <c r="L19" s="81"/>
    </row>
    <row r="20" spans="1:13" ht="60.75" customHeight="1">
      <c r="A20" s="403">
        <v>1</v>
      </c>
      <c r="B20" s="83">
        <v>1</v>
      </c>
      <c r="C20" s="402" t="s">
        <v>706</v>
      </c>
      <c r="D20" s="402"/>
      <c r="E20" s="402"/>
      <c r="F20" s="84" t="s">
        <v>667</v>
      </c>
      <c r="G20" s="84">
        <v>36</v>
      </c>
      <c r="H20" s="85">
        <f>'Valor Global'!G71</f>
        <v>123049.68793040184</v>
      </c>
      <c r="I20" s="86">
        <f>H20*G20</f>
        <v>4429788.7654944658</v>
      </c>
      <c r="J20" s="82"/>
      <c r="K20" s="77"/>
      <c r="L20" s="77"/>
    </row>
    <row r="21" spans="1:13" ht="60.75" customHeight="1">
      <c r="A21" s="404"/>
      <c r="B21" s="83">
        <v>2</v>
      </c>
      <c r="C21" s="402" t="s">
        <v>671</v>
      </c>
      <c r="D21" s="402"/>
      <c r="E21" s="402"/>
      <c r="F21" s="84" t="s">
        <v>667</v>
      </c>
      <c r="G21" s="84">
        <v>36</v>
      </c>
      <c r="H21" s="85">
        <f>'Valor Global'!G72</f>
        <v>113591.4905795137</v>
      </c>
      <c r="I21" s="86">
        <f>H21*G21</f>
        <v>4089293.6608624933</v>
      </c>
      <c r="J21" s="82"/>
      <c r="K21" s="77"/>
      <c r="L21" s="77"/>
    </row>
    <row r="22" spans="1:13" ht="60.75" customHeight="1">
      <c r="A22" s="404"/>
      <c r="B22" s="83">
        <v>3</v>
      </c>
      <c r="C22" s="402" t="s">
        <v>707</v>
      </c>
      <c r="D22" s="402"/>
      <c r="E22" s="402"/>
      <c r="F22" s="84" t="s">
        <v>666</v>
      </c>
      <c r="G22" s="84">
        <v>93</v>
      </c>
      <c r="H22" s="85">
        <f>I22/93</f>
        <v>164.93817086215356</v>
      </c>
      <c r="I22" s="86">
        <f>'Estimativa Custos Eventuais'!I17</f>
        <v>15339.249890180281</v>
      </c>
      <c r="J22" s="82"/>
      <c r="K22" s="77"/>
      <c r="L22" s="77"/>
    </row>
    <row r="23" spans="1:13" ht="60.75" customHeight="1">
      <c r="A23" s="405"/>
      <c r="B23" s="83">
        <v>4</v>
      </c>
      <c r="C23" s="402" t="s">
        <v>705</v>
      </c>
      <c r="D23" s="402"/>
      <c r="E23" s="402"/>
      <c r="F23" s="84" t="s">
        <v>666</v>
      </c>
      <c r="G23" s="84">
        <v>180</v>
      </c>
      <c r="H23" s="85">
        <f>I23/180</f>
        <v>181.18596694908899</v>
      </c>
      <c r="I23" s="86">
        <f>'Estimativa Custos Eventuais'!I19</f>
        <v>32613.474050836019</v>
      </c>
      <c r="J23" s="82"/>
      <c r="K23" s="77"/>
      <c r="L23" s="77"/>
    </row>
    <row r="24" spans="1:13" ht="23.25" customHeight="1">
      <c r="A24" s="406"/>
      <c r="B24" s="407"/>
      <c r="C24" s="407"/>
      <c r="D24" s="407"/>
      <c r="E24" s="407"/>
      <c r="F24" s="407"/>
      <c r="G24" s="407"/>
      <c r="H24" s="407"/>
      <c r="I24" s="408"/>
      <c r="J24" s="82"/>
      <c r="K24" s="77"/>
      <c r="L24" s="77"/>
    </row>
    <row r="25" spans="1:13" ht="23.25" customHeight="1">
      <c r="A25" s="428" t="s">
        <v>20</v>
      </c>
      <c r="B25" s="428"/>
      <c r="C25" s="428"/>
      <c r="D25" s="428"/>
      <c r="E25" s="428"/>
      <c r="F25" s="428"/>
      <c r="G25" s="428"/>
      <c r="H25" s="428"/>
      <c r="I25" s="130">
        <f>I27/36</f>
        <v>237973.19861938825</v>
      </c>
      <c r="K25" s="398"/>
      <c r="L25" s="398"/>
      <c r="M25" s="79"/>
    </row>
    <row r="26" spans="1:13" ht="23.25" customHeight="1">
      <c r="A26" s="426" t="s">
        <v>21</v>
      </c>
      <c r="B26" s="426"/>
      <c r="C26" s="426"/>
      <c r="D26" s="426"/>
      <c r="E26" s="426"/>
      <c r="F26" s="426"/>
      <c r="G26" s="426"/>
      <c r="H26" s="426"/>
      <c r="I26" s="131">
        <f>I27/3</f>
        <v>2855678.3834326589</v>
      </c>
      <c r="K26" s="398"/>
      <c r="L26" s="398"/>
      <c r="M26" s="79"/>
    </row>
    <row r="27" spans="1:13" ht="23.25" customHeight="1">
      <c r="A27" s="427" t="s">
        <v>22</v>
      </c>
      <c r="B27" s="427"/>
      <c r="C27" s="427"/>
      <c r="D27" s="427"/>
      <c r="E27" s="427"/>
      <c r="F27" s="427"/>
      <c r="G27" s="427"/>
      <c r="H27" s="427"/>
      <c r="I27" s="129">
        <f>SUM(I20:I23)</f>
        <v>8567035.150297977</v>
      </c>
      <c r="K27" s="398"/>
      <c r="L27" s="398"/>
      <c r="M27" s="79"/>
    </row>
    <row r="28" spans="1:13">
      <c r="A28" s="72"/>
      <c r="B28" s="72"/>
      <c r="C28" s="72"/>
      <c r="D28" s="72"/>
      <c r="E28" s="72"/>
      <c r="F28" s="72"/>
      <c r="G28" s="72"/>
      <c r="H28" s="72"/>
      <c r="I28" s="72"/>
    </row>
    <row r="29" spans="1:13">
      <c r="A29" s="72"/>
      <c r="B29" s="72"/>
      <c r="C29" s="72"/>
      <c r="D29" s="72"/>
      <c r="E29" s="72"/>
      <c r="F29" s="72"/>
      <c r="G29" s="72"/>
      <c r="H29" s="72"/>
      <c r="I29" s="72"/>
    </row>
    <row r="30" spans="1:13">
      <c r="A30" s="425" t="s">
        <v>23</v>
      </c>
      <c r="B30" s="425"/>
      <c r="C30" s="425"/>
      <c r="D30" s="425"/>
      <c r="E30" s="425"/>
      <c r="F30" s="425"/>
      <c r="G30" s="425"/>
      <c r="H30" s="425"/>
      <c r="I30" s="425"/>
    </row>
    <row r="31" spans="1:13">
      <c r="A31" s="425" t="s">
        <v>635</v>
      </c>
      <c r="B31" s="425"/>
      <c r="C31" s="425"/>
      <c r="D31" s="425"/>
      <c r="E31" s="425"/>
      <c r="F31" s="425"/>
      <c r="G31" s="425"/>
      <c r="H31" s="425"/>
      <c r="I31" s="425"/>
    </row>
    <row r="32" spans="1:13">
      <c r="A32" s="425" t="s">
        <v>668</v>
      </c>
      <c r="B32" s="425"/>
      <c r="C32" s="425"/>
      <c r="D32" s="425"/>
      <c r="E32" s="425"/>
      <c r="F32" s="425"/>
      <c r="G32" s="425"/>
      <c r="H32" s="425"/>
      <c r="I32" s="425"/>
    </row>
    <row r="33" spans="1:9">
      <c r="A33" s="425" t="s">
        <v>636</v>
      </c>
      <c r="B33" s="425"/>
      <c r="C33" s="425"/>
      <c r="D33" s="425"/>
      <c r="E33" s="425"/>
      <c r="F33" s="425"/>
      <c r="G33" s="425"/>
      <c r="H33" s="425"/>
      <c r="I33" s="425"/>
    </row>
    <row r="34" spans="1:9">
      <c r="A34" s="425" t="s">
        <v>637</v>
      </c>
      <c r="B34" s="425"/>
      <c r="C34" s="425"/>
      <c r="D34" s="425"/>
      <c r="E34" s="425"/>
      <c r="F34" s="425"/>
      <c r="G34" s="425"/>
      <c r="H34" s="425"/>
      <c r="I34" s="425"/>
    </row>
    <row r="35" spans="1:9">
      <c r="A35" s="425" t="s">
        <v>638</v>
      </c>
      <c r="B35" s="425"/>
      <c r="C35" s="425"/>
      <c r="D35" s="425"/>
      <c r="E35" s="425"/>
      <c r="F35" s="425"/>
      <c r="G35" s="425"/>
      <c r="H35" s="425"/>
      <c r="I35" s="425"/>
    </row>
  </sheetData>
  <sheetProtection password="EBCE" sheet="1" objects="1" scenarios="1" selectLockedCells="1"/>
  <mergeCells count="45">
    <mergeCell ref="A32:I32"/>
    <mergeCell ref="A35:I35"/>
    <mergeCell ref="A26:H26"/>
    <mergeCell ref="A27:H27"/>
    <mergeCell ref="A25:H25"/>
    <mergeCell ref="A34:I34"/>
    <mergeCell ref="A30:I30"/>
    <mergeCell ref="A31:I31"/>
    <mergeCell ref="A33:I33"/>
    <mergeCell ref="A10:B10"/>
    <mergeCell ref="C10:I10"/>
    <mergeCell ref="A1:I1"/>
    <mergeCell ref="A2:I2"/>
    <mergeCell ref="A3:I3"/>
    <mergeCell ref="A4:I4"/>
    <mergeCell ref="A5:I5"/>
    <mergeCell ref="A6:I6"/>
    <mergeCell ref="A7:I7"/>
    <mergeCell ref="A8:B8"/>
    <mergeCell ref="C8:I8"/>
    <mergeCell ref="A9:B9"/>
    <mergeCell ref="C9:I9"/>
    <mergeCell ref="A16:I16"/>
    <mergeCell ref="A11:B11"/>
    <mergeCell ref="C11:E11"/>
    <mergeCell ref="H11:I11"/>
    <mergeCell ref="A12:I12"/>
    <mergeCell ref="A13:B13"/>
    <mergeCell ref="C13:I13"/>
    <mergeCell ref="A14:B14"/>
    <mergeCell ref="C14:I14"/>
    <mergeCell ref="A15:I15"/>
    <mergeCell ref="J17:L17"/>
    <mergeCell ref="K25:L25"/>
    <mergeCell ref="K26:L26"/>
    <mergeCell ref="K27:L27"/>
    <mergeCell ref="A17:I17"/>
    <mergeCell ref="C19:E19"/>
    <mergeCell ref="C20:E20"/>
    <mergeCell ref="C21:E21"/>
    <mergeCell ref="C22:E22"/>
    <mergeCell ref="A18:I18"/>
    <mergeCell ref="C23:E23"/>
    <mergeCell ref="A20:A23"/>
    <mergeCell ref="A24:I24"/>
  </mergeCells>
  <phoneticPr fontId="30" type="noConversion"/>
  <pageMargins left="0.23622047244094491" right="0.23622047244094491" top="0.59055118110236227" bottom="0.3937007874015748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sheetPr>
    <tabColor rgb="FFFFFF00"/>
  </sheetPr>
  <dimension ref="A2:R27"/>
  <sheetViews>
    <sheetView zoomScaleNormal="100" zoomScaleSheetLayoutView="90" workbookViewId="0">
      <selection activeCell="T31" sqref="T30:T31"/>
    </sheetView>
  </sheetViews>
  <sheetFormatPr defaultRowHeight="15"/>
  <cols>
    <col min="1" max="1" width="5.85546875" style="29" customWidth="1"/>
    <col min="2" max="2" width="51.140625" customWidth="1"/>
    <col min="3" max="3" width="12.7109375" customWidth="1"/>
    <col min="4" max="4" width="10.28515625" style="29" customWidth="1"/>
    <col min="5" max="10" width="7.28515625" style="29" customWidth="1"/>
    <col min="11" max="16" width="12.140625" style="118" hidden="1" customWidth="1"/>
    <col min="17" max="17" width="0" hidden="1" customWidth="1"/>
    <col min="18" max="18" width="10.5703125" hidden="1" customWidth="1"/>
  </cols>
  <sheetData>
    <row r="2" spans="1:18" ht="18.75">
      <c r="C2" s="116" t="s">
        <v>24</v>
      </c>
    </row>
    <row r="3" spans="1:18" ht="18.75">
      <c r="C3" s="116" t="s">
        <v>25</v>
      </c>
    </row>
    <row r="4" spans="1:18" ht="18.75">
      <c r="C4" s="116" t="s">
        <v>657</v>
      </c>
    </row>
    <row r="7" spans="1:18">
      <c r="B7" s="115" t="s">
        <v>662</v>
      </c>
      <c r="C7" s="117" t="s">
        <v>672</v>
      </c>
      <c r="D7" s="128"/>
      <c r="E7" s="128"/>
      <c r="F7" s="128"/>
      <c r="G7" s="128"/>
      <c r="H7" s="128"/>
    </row>
    <row r="8" spans="1:18">
      <c r="C8" s="29"/>
      <c r="Q8" s="29"/>
    </row>
    <row r="9" spans="1:18">
      <c r="A9" s="31" t="s">
        <v>11</v>
      </c>
      <c r="B9" s="30" t="s">
        <v>12</v>
      </c>
      <c r="C9" s="31" t="s">
        <v>375</v>
      </c>
      <c r="D9" s="31" t="s">
        <v>631</v>
      </c>
      <c r="E9" s="31" t="s">
        <v>127</v>
      </c>
      <c r="F9" s="31" t="s">
        <v>370</v>
      </c>
      <c r="G9" s="31" t="s">
        <v>371</v>
      </c>
      <c r="H9" s="31" t="s">
        <v>372</v>
      </c>
      <c r="I9" s="31" t="s">
        <v>373</v>
      </c>
      <c r="J9" s="31" t="s">
        <v>374</v>
      </c>
      <c r="L9" s="118" t="s">
        <v>639</v>
      </c>
      <c r="M9" s="118" t="s">
        <v>641</v>
      </c>
      <c r="N9" s="118" t="s">
        <v>640</v>
      </c>
      <c r="O9" s="118" t="s">
        <v>648</v>
      </c>
      <c r="P9" s="118" t="s">
        <v>649</v>
      </c>
      <c r="Q9" s="118" t="s">
        <v>650</v>
      </c>
      <c r="R9" s="118" t="s">
        <v>651</v>
      </c>
    </row>
    <row r="10" spans="1:18">
      <c r="A10" s="31"/>
      <c r="B10" s="30"/>
      <c r="C10" s="31" t="s">
        <v>377</v>
      </c>
      <c r="D10" s="31"/>
    </row>
    <row r="11" spans="1:18">
      <c r="A11" s="31">
        <v>1</v>
      </c>
      <c r="B11" s="76" t="s">
        <v>496</v>
      </c>
      <c r="C11" s="32"/>
      <c r="D11" s="31">
        <f>SUM(E11:J11)</f>
        <v>14</v>
      </c>
      <c r="E11" s="31">
        <v>4</v>
      </c>
      <c r="F11" s="31">
        <v>4</v>
      </c>
      <c r="G11" s="31">
        <v>1</v>
      </c>
      <c r="H11" s="31">
        <v>2</v>
      </c>
      <c r="I11" s="31">
        <v>1</v>
      </c>
      <c r="J11" s="31">
        <v>2</v>
      </c>
      <c r="K11" s="118" t="s">
        <v>642</v>
      </c>
      <c r="L11" s="118">
        <f>67.5+21.35</f>
        <v>88.85</v>
      </c>
      <c r="Q11" s="119">
        <f t="shared" ref="Q11:Q13" si="0">AVERAGE(L11:P11)</f>
        <v>88.85</v>
      </c>
      <c r="R11" s="119">
        <f t="shared" ref="R11:R13" si="1">Q11*D11</f>
        <v>1243.8999999999999</v>
      </c>
    </row>
    <row r="12" spans="1:18">
      <c r="A12" s="31">
        <v>2</v>
      </c>
      <c r="B12" s="76" t="s">
        <v>497</v>
      </c>
      <c r="C12" s="32"/>
      <c r="D12" s="31">
        <f>SUM(E12:J12)</f>
        <v>16</v>
      </c>
      <c r="E12" s="31">
        <v>4</v>
      </c>
      <c r="F12" s="31">
        <v>4</v>
      </c>
      <c r="G12" s="31">
        <v>2</v>
      </c>
      <c r="H12" s="31">
        <v>2</v>
      </c>
      <c r="I12" s="31">
        <v>2</v>
      </c>
      <c r="J12" s="31">
        <v>2</v>
      </c>
      <c r="K12" s="118" t="s">
        <v>642</v>
      </c>
      <c r="L12" s="118">
        <f>61.95+8.9</f>
        <v>70.850000000000009</v>
      </c>
      <c r="Q12" s="119">
        <f t="shared" si="0"/>
        <v>70.850000000000009</v>
      </c>
      <c r="R12" s="119">
        <f t="shared" si="1"/>
        <v>1133.6000000000001</v>
      </c>
    </row>
    <row r="13" spans="1:18">
      <c r="A13" s="31">
        <v>3</v>
      </c>
      <c r="B13" s="76" t="s">
        <v>643</v>
      </c>
      <c r="C13" s="32" t="s">
        <v>645</v>
      </c>
      <c r="D13" s="31">
        <f>SUM(E13:J13)</f>
        <v>28</v>
      </c>
      <c r="E13" s="31">
        <v>8</v>
      </c>
      <c r="F13" s="31">
        <v>8</v>
      </c>
      <c r="G13" s="31">
        <v>4</v>
      </c>
      <c r="H13" s="31">
        <v>2</v>
      </c>
      <c r="I13" s="31">
        <v>2</v>
      </c>
      <c r="J13" s="31">
        <v>4</v>
      </c>
      <c r="K13" s="118" t="s">
        <v>644</v>
      </c>
      <c r="L13" s="118">
        <v>20.73</v>
      </c>
      <c r="M13" s="118">
        <v>20.03</v>
      </c>
      <c r="O13" s="118">
        <v>21.59</v>
      </c>
      <c r="P13" s="118">
        <v>13.35</v>
      </c>
      <c r="Q13" s="119">
        <f t="shared" si="0"/>
        <v>18.925000000000001</v>
      </c>
      <c r="R13" s="119">
        <f t="shared" si="1"/>
        <v>529.9</v>
      </c>
    </row>
    <row r="14" spans="1:18">
      <c r="A14" s="31">
        <v>4</v>
      </c>
      <c r="B14" s="76" t="s">
        <v>498</v>
      </c>
      <c r="C14" s="32" t="s">
        <v>645</v>
      </c>
      <c r="D14" s="31">
        <f t="shared" ref="D14:D25" si="2">SUM(E14:J14)</f>
        <v>2</v>
      </c>
      <c r="E14" s="31">
        <v>1</v>
      </c>
      <c r="F14" s="31">
        <v>1</v>
      </c>
      <c r="G14" s="31"/>
      <c r="H14" s="31"/>
      <c r="I14" s="31"/>
      <c r="J14" s="31"/>
      <c r="Q14" s="119"/>
    </row>
    <row r="15" spans="1:18">
      <c r="A15" s="31">
        <v>5</v>
      </c>
      <c r="B15" s="76" t="s">
        <v>499</v>
      </c>
      <c r="C15" s="32" t="s">
        <v>645</v>
      </c>
      <c r="D15" s="31">
        <f t="shared" si="2"/>
        <v>27</v>
      </c>
      <c r="E15" s="31">
        <v>10</v>
      </c>
      <c r="F15" s="31">
        <v>5</v>
      </c>
      <c r="G15" s="31">
        <v>3</v>
      </c>
      <c r="H15" s="31">
        <v>3</v>
      </c>
      <c r="I15" s="31">
        <v>3</v>
      </c>
      <c r="J15" s="31">
        <v>3</v>
      </c>
      <c r="K15" s="118" t="s">
        <v>644</v>
      </c>
      <c r="N15" s="118">
        <v>58.79</v>
      </c>
      <c r="O15" s="118">
        <v>38.200000000000003</v>
      </c>
      <c r="P15" s="118">
        <v>35.5</v>
      </c>
      <c r="Q15" s="119">
        <f>AVERAGE(L15:P15)</f>
        <v>44.163333333333334</v>
      </c>
      <c r="R15" s="119">
        <f>Q15*D15</f>
        <v>1192.4100000000001</v>
      </c>
    </row>
    <row r="16" spans="1:18">
      <c r="A16" s="31">
        <v>6</v>
      </c>
      <c r="B16" s="76" t="s">
        <v>646</v>
      </c>
      <c r="C16" s="32"/>
      <c r="D16" s="31">
        <f t="shared" si="2"/>
        <v>12</v>
      </c>
      <c r="E16" s="31">
        <v>8</v>
      </c>
      <c r="F16" s="31">
        <v>4</v>
      </c>
      <c r="G16" s="31"/>
      <c r="H16" s="31"/>
      <c r="I16" s="31"/>
      <c r="J16" s="31"/>
      <c r="K16" s="118" t="s">
        <v>644</v>
      </c>
      <c r="M16" s="118">
        <v>46.99</v>
      </c>
      <c r="N16" s="118">
        <v>54.08</v>
      </c>
      <c r="P16" s="118">
        <v>43.45</v>
      </c>
      <c r="Q16" s="119">
        <f t="shared" ref="Q16:Q20" si="3">AVERAGE(L16:P16)</f>
        <v>48.173333333333325</v>
      </c>
      <c r="R16" s="119">
        <f t="shared" ref="R16:R20" si="4">Q16*D16</f>
        <v>578.07999999999993</v>
      </c>
    </row>
    <row r="17" spans="1:18">
      <c r="A17" s="31">
        <v>7</v>
      </c>
      <c r="B17" s="76" t="s">
        <v>647</v>
      </c>
      <c r="C17" s="32"/>
      <c r="D17" s="31">
        <f t="shared" si="2"/>
        <v>36</v>
      </c>
      <c r="E17" s="31">
        <v>24</v>
      </c>
      <c r="F17" s="31">
        <v>12</v>
      </c>
      <c r="G17" s="31"/>
      <c r="H17" s="31"/>
      <c r="I17" s="31"/>
      <c r="J17" s="31"/>
      <c r="K17" s="118" t="s">
        <v>644</v>
      </c>
      <c r="L17" s="118">
        <v>60.45</v>
      </c>
      <c r="M17" s="118">
        <f>162.4/4</f>
        <v>40.6</v>
      </c>
      <c r="N17" s="118">
        <v>58.5</v>
      </c>
      <c r="P17" s="118">
        <v>49.6</v>
      </c>
      <c r="Q17" s="119">
        <f t="shared" si="3"/>
        <v>52.287500000000001</v>
      </c>
      <c r="R17" s="119">
        <f t="shared" si="4"/>
        <v>1882.3500000000001</v>
      </c>
    </row>
    <row r="18" spans="1:18">
      <c r="A18" s="31">
        <v>8</v>
      </c>
      <c r="B18" s="76" t="s">
        <v>500</v>
      </c>
      <c r="C18" s="32" t="s">
        <v>645</v>
      </c>
      <c r="D18" s="31">
        <f t="shared" si="2"/>
        <v>220</v>
      </c>
      <c r="E18" s="31">
        <v>120</v>
      </c>
      <c r="F18" s="31">
        <v>60</v>
      </c>
      <c r="G18" s="31">
        <v>10</v>
      </c>
      <c r="H18" s="31">
        <v>10</v>
      </c>
      <c r="I18" s="31">
        <v>10</v>
      </c>
      <c r="J18" s="31">
        <v>10</v>
      </c>
      <c r="K18" s="118" t="s">
        <v>644</v>
      </c>
      <c r="L18" s="118">
        <v>46</v>
      </c>
      <c r="M18" s="118">
        <f>148.7/4</f>
        <v>37.174999999999997</v>
      </c>
      <c r="N18" s="118">
        <f>180.41/4</f>
        <v>45.102499999999999</v>
      </c>
      <c r="P18" s="118">
        <v>27</v>
      </c>
      <c r="Q18" s="119">
        <f t="shared" si="3"/>
        <v>38.819375000000001</v>
      </c>
      <c r="R18" s="119">
        <f t="shared" si="4"/>
        <v>8540.2625000000007</v>
      </c>
    </row>
    <row r="19" spans="1:18">
      <c r="A19" s="31">
        <v>9</v>
      </c>
      <c r="B19" s="76" t="s">
        <v>501</v>
      </c>
      <c r="C19" s="32" t="s">
        <v>645</v>
      </c>
      <c r="D19" s="31">
        <f t="shared" si="2"/>
        <v>220</v>
      </c>
      <c r="E19" s="31">
        <v>120</v>
      </c>
      <c r="F19" s="31">
        <v>60</v>
      </c>
      <c r="G19" s="31">
        <v>10</v>
      </c>
      <c r="H19" s="31">
        <v>10</v>
      </c>
      <c r="I19" s="31">
        <v>10</v>
      </c>
      <c r="J19" s="31">
        <v>10</v>
      </c>
      <c r="K19" s="118" t="s">
        <v>644</v>
      </c>
      <c r="L19" s="118">
        <v>49.1</v>
      </c>
      <c r="M19" s="118">
        <v>41.9</v>
      </c>
      <c r="N19" s="118">
        <v>42.66</v>
      </c>
      <c r="P19" s="118">
        <v>34.9</v>
      </c>
      <c r="Q19" s="119">
        <f t="shared" si="3"/>
        <v>42.14</v>
      </c>
      <c r="R19" s="119">
        <f t="shared" si="4"/>
        <v>9270.7999999999993</v>
      </c>
    </row>
    <row r="20" spans="1:18">
      <c r="A20" s="31">
        <v>10</v>
      </c>
      <c r="B20" s="76" t="s">
        <v>502</v>
      </c>
      <c r="C20" s="32" t="s">
        <v>645</v>
      </c>
      <c r="D20" s="31">
        <f t="shared" si="2"/>
        <v>220</v>
      </c>
      <c r="E20" s="31">
        <v>120</v>
      </c>
      <c r="F20" s="31">
        <v>60</v>
      </c>
      <c r="G20" s="31">
        <v>10</v>
      </c>
      <c r="H20" s="31">
        <v>10</v>
      </c>
      <c r="I20" s="31">
        <v>10</v>
      </c>
      <c r="J20" s="31">
        <v>10</v>
      </c>
      <c r="K20" s="118" t="s">
        <v>644</v>
      </c>
      <c r="L20" s="118">
        <v>20.23</v>
      </c>
      <c r="M20" s="118">
        <f>62.88/3</f>
        <v>20.96</v>
      </c>
      <c r="N20" s="118">
        <v>23.98</v>
      </c>
      <c r="P20" s="118">
        <f>159.9/4</f>
        <v>39.975000000000001</v>
      </c>
      <c r="Q20" s="119">
        <f t="shared" si="3"/>
        <v>26.286250000000003</v>
      </c>
      <c r="R20" s="119">
        <f t="shared" si="4"/>
        <v>5782.9750000000004</v>
      </c>
    </row>
    <row r="21" spans="1:18">
      <c r="A21" s="31">
        <v>11</v>
      </c>
      <c r="B21" s="76" t="s">
        <v>503</v>
      </c>
      <c r="C21" s="32" t="s">
        <v>645</v>
      </c>
      <c r="D21" s="31">
        <f t="shared" si="2"/>
        <v>60</v>
      </c>
      <c r="E21" s="31">
        <v>30</v>
      </c>
      <c r="F21" s="31">
        <v>10</v>
      </c>
      <c r="G21" s="31">
        <v>4</v>
      </c>
      <c r="H21" s="31">
        <v>6</v>
      </c>
      <c r="I21" s="31">
        <v>4</v>
      </c>
      <c r="J21" s="31">
        <v>6</v>
      </c>
      <c r="K21" s="118" t="s">
        <v>644</v>
      </c>
      <c r="Q21" s="119"/>
      <c r="R21" s="119"/>
    </row>
    <row r="22" spans="1:18">
      <c r="A22" s="31">
        <v>12</v>
      </c>
      <c r="B22" s="76" t="s">
        <v>504</v>
      </c>
      <c r="C22" s="32"/>
      <c r="D22" s="31">
        <f t="shared" si="2"/>
        <v>12</v>
      </c>
      <c r="E22" s="31">
        <v>8</v>
      </c>
      <c r="F22" s="31">
        <v>4</v>
      </c>
      <c r="G22" s="31"/>
      <c r="H22" s="31"/>
      <c r="I22" s="31"/>
      <c r="J22" s="31"/>
      <c r="K22" s="118" t="s">
        <v>644</v>
      </c>
      <c r="L22" s="118">
        <v>35.9</v>
      </c>
      <c r="P22" s="118">
        <v>24.9</v>
      </c>
      <c r="Q22" s="119">
        <f t="shared" ref="Q22" si="5">AVERAGE(L22:P22)</f>
        <v>30.4</v>
      </c>
      <c r="R22" s="119">
        <f t="shared" ref="R22" si="6">Q22*D22</f>
        <v>364.79999999999995</v>
      </c>
    </row>
    <row r="23" spans="1:18">
      <c r="A23" s="31">
        <v>13</v>
      </c>
      <c r="B23" s="76" t="s">
        <v>379</v>
      </c>
      <c r="C23" s="32"/>
      <c r="D23" s="31">
        <f t="shared" si="2"/>
        <v>3</v>
      </c>
      <c r="E23" s="31">
        <v>2</v>
      </c>
      <c r="F23" s="31">
        <v>1</v>
      </c>
      <c r="G23" s="31"/>
      <c r="H23" s="31"/>
      <c r="I23" s="31"/>
      <c r="J23" s="31"/>
      <c r="K23" s="118" t="s">
        <v>644</v>
      </c>
      <c r="L23" s="118">
        <v>17.899999999999999</v>
      </c>
      <c r="M23" s="118">
        <v>23.18</v>
      </c>
      <c r="N23" s="118">
        <v>15.22</v>
      </c>
      <c r="O23" s="118">
        <v>14.9</v>
      </c>
      <c r="P23" s="118">
        <v>13.69</v>
      </c>
      <c r="Q23" s="119">
        <f t="shared" ref="Q23" si="7">AVERAGE(L23:P23)</f>
        <v>16.978000000000002</v>
      </c>
      <c r="R23" s="119">
        <f t="shared" ref="R23" si="8">Q23*D23</f>
        <v>50.934000000000005</v>
      </c>
    </row>
    <row r="24" spans="1:18">
      <c r="A24" s="31">
        <v>14</v>
      </c>
      <c r="B24" s="76" t="s">
        <v>380</v>
      </c>
      <c r="C24" s="32" t="s">
        <v>645</v>
      </c>
      <c r="D24" s="31">
        <f t="shared" si="2"/>
        <v>36</v>
      </c>
      <c r="E24" s="31">
        <v>20</v>
      </c>
      <c r="F24" s="31">
        <v>10</v>
      </c>
      <c r="G24" s="31"/>
      <c r="H24" s="31">
        <v>2</v>
      </c>
      <c r="I24" s="31"/>
      <c r="J24" s="31">
        <v>4</v>
      </c>
      <c r="K24" s="118" t="s">
        <v>644</v>
      </c>
      <c r="Q24" s="119"/>
    </row>
    <row r="25" spans="1:18">
      <c r="A25" s="31">
        <v>15</v>
      </c>
      <c r="B25" s="76" t="s">
        <v>381</v>
      </c>
      <c r="C25" s="32" t="s">
        <v>645</v>
      </c>
      <c r="D25" s="31">
        <f t="shared" si="2"/>
        <v>42</v>
      </c>
      <c r="E25" s="31">
        <v>20</v>
      </c>
      <c r="F25" s="31">
        <v>10</v>
      </c>
      <c r="G25" s="31">
        <v>4</v>
      </c>
      <c r="H25" s="31">
        <v>2</v>
      </c>
      <c r="I25" s="31">
        <v>4</v>
      </c>
      <c r="J25" s="31">
        <v>2</v>
      </c>
      <c r="K25" s="118" t="s">
        <v>644</v>
      </c>
      <c r="Q25" s="119"/>
    </row>
    <row r="26" spans="1:18">
      <c r="Q26" t="s">
        <v>653</v>
      </c>
      <c r="R26" s="120">
        <f>SUM(R11:R25)</f>
        <v>30570.011500000004</v>
      </c>
    </row>
    <row r="27" spans="1:18">
      <c r="Q27" t="s">
        <v>652</v>
      </c>
      <c r="R27" s="119">
        <f>R26/12</f>
        <v>2547.5009583333335</v>
      </c>
    </row>
  </sheetData>
  <sheetProtection password="EBCE" sheet="1" objects="1" scenarios="1" selectLockedCells="1"/>
  <pageMargins left="0.31496062992125984" right="0.31496062992125984" top="1.1811023622047245" bottom="0.59055118110236227" header="0.31496062992125984" footer="0.31496062992125984"/>
  <pageSetup paperSize="9" scale="62" orientation="portrait" horizontalDpi="4294967293" r:id="rId1"/>
  <drawing r:id="rId2"/>
</worksheet>
</file>

<file path=xl/worksheets/sheet11.xml><?xml version="1.0" encoding="utf-8"?>
<worksheet xmlns="http://schemas.openxmlformats.org/spreadsheetml/2006/main" xmlns:r="http://schemas.openxmlformats.org/officeDocument/2006/relationships">
  <sheetPr>
    <tabColor theme="0"/>
    <pageSetUpPr fitToPage="1"/>
  </sheetPr>
  <dimension ref="A1:Z1000"/>
  <sheetViews>
    <sheetView showGridLines="0" topLeftCell="A26" zoomScaleNormal="100" zoomScaleSheetLayoutView="90" workbookViewId="0">
      <selection activeCell="Q32" sqref="Q32"/>
    </sheetView>
  </sheetViews>
  <sheetFormatPr defaultColWidth="15.140625" defaultRowHeight="15"/>
  <cols>
    <col min="1" max="11" width="8" customWidth="1"/>
    <col min="12" max="26" width="7" customWidth="1"/>
  </cols>
  <sheetData>
    <row r="1" spans="1:26" ht="12.75" customHeight="1">
      <c r="A1" s="9"/>
      <c r="B1" s="10"/>
      <c r="C1" s="10"/>
      <c r="D1" s="10"/>
      <c r="E1" s="10"/>
      <c r="F1" s="10"/>
      <c r="G1" s="10"/>
      <c r="H1" s="10"/>
      <c r="I1" s="10"/>
      <c r="J1" s="11"/>
      <c r="K1" s="12"/>
      <c r="L1" s="12"/>
      <c r="M1" s="12"/>
      <c r="N1" s="12"/>
      <c r="O1" s="12"/>
      <c r="P1" s="12"/>
      <c r="Q1" s="12"/>
      <c r="R1" s="12"/>
      <c r="S1" s="12"/>
      <c r="T1" s="12"/>
      <c r="U1" s="12"/>
      <c r="V1" s="12"/>
      <c r="W1" s="12"/>
      <c r="X1" s="12"/>
      <c r="Y1" s="12"/>
      <c r="Z1" s="12"/>
    </row>
    <row r="2" spans="1:26" ht="12.75" customHeight="1">
      <c r="A2" s="13"/>
      <c r="B2" s="14"/>
      <c r="C2" s="14"/>
      <c r="D2" s="14"/>
      <c r="E2" s="14"/>
      <c r="F2" s="14"/>
      <c r="G2" s="14"/>
      <c r="H2" s="14"/>
      <c r="I2" s="14"/>
      <c r="J2" s="15"/>
      <c r="K2" s="12"/>
      <c r="L2" s="12"/>
      <c r="M2" s="12"/>
      <c r="N2" s="12"/>
      <c r="O2" s="12"/>
      <c r="P2" s="12"/>
      <c r="Q2" s="12"/>
      <c r="R2" s="12"/>
      <c r="S2" s="12"/>
      <c r="T2" s="12"/>
      <c r="U2" s="12"/>
      <c r="V2" s="12"/>
      <c r="W2" s="12"/>
      <c r="X2" s="12"/>
      <c r="Y2" s="12"/>
      <c r="Z2" s="12"/>
    </row>
    <row r="3" spans="1:26" ht="12.75" customHeight="1">
      <c r="A3" s="13"/>
      <c r="B3" s="14"/>
      <c r="C3" s="14"/>
      <c r="D3" s="14"/>
      <c r="E3" s="14"/>
      <c r="F3" s="14"/>
      <c r="G3" s="14"/>
      <c r="H3" s="14"/>
      <c r="I3" s="14"/>
      <c r="J3" s="15"/>
      <c r="K3" s="12"/>
      <c r="L3" s="12"/>
      <c r="M3" s="12"/>
      <c r="N3" s="12"/>
      <c r="O3" s="12"/>
      <c r="P3" s="12"/>
      <c r="Q3" s="12"/>
      <c r="R3" s="12"/>
      <c r="S3" s="12"/>
      <c r="T3" s="12"/>
      <c r="U3" s="12"/>
      <c r="V3" s="12"/>
      <c r="W3" s="12"/>
      <c r="X3" s="12"/>
      <c r="Y3" s="12"/>
      <c r="Z3" s="12"/>
    </row>
    <row r="4" spans="1:26" ht="12.75" customHeight="1">
      <c r="A4" s="13"/>
      <c r="B4" s="14"/>
      <c r="C4" s="14"/>
      <c r="D4" s="14"/>
      <c r="E4" s="14"/>
      <c r="F4" s="14"/>
      <c r="G4" s="14"/>
      <c r="H4" s="14"/>
      <c r="I4" s="14"/>
      <c r="J4" s="15"/>
      <c r="K4" s="12"/>
      <c r="L4" s="12"/>
      <c r="M4" s="12"/>
      <c r="N4" s="12"/>
      <c r="O4" s="12"/>
      <c r="P4" s="12"/>
      <c r="Q4" s="12"/>
      <c r="R4" s="12"/>
      <c r="S4" s="12"/>
      <c r="T4" s="12"/>
      <c r="U4" s="12"/>
      <c r="V4" s="12"/>
      <c r="W4" s="12"/>
      <c r="X4" s="12"/>
      <c r="Y4" s="12"/>
      <c r="Z4" s="12"/>
    </row>
    <row r="5" spans="1:26" ht="12.75" customHeight="1">
      <c r="A5" s="13"/>
      <c r="B5" s="14"/>
      <c r="C5" s="14"/>
      <c r="D5" s="14"/>
      <c r="E5" s="14"/>
      <c r="F5" s="14"/>
      <c r="G5" s="14"/>
      <c r="H5" s="14"/>
      <c r="I5" s="14"/>
      <c r="J5" s="15"/>
      <c r="K5" s="12"/>
      <c r="L5" s="12"/>
      <c r="M5" s="12"/>
      <c r="N5" s="12"/>
      <c r="O5" s="12"/>
      <c r="P5" s="12"/>
      <c r="Q5" s="12"/>
      <c r="R5" s="12"/>
      <c r="S5" s="12"/>
      <c r="T5" s="12"/>
      <c r="U5" s="12"/>
      <c r="V5" s="12"/>
      <c r="W5" s="12"/>
      <c r="X5" s="12"/>
      <c r="Y5" s="12"/>
      <c r="Z5" s="12"/>
    </row>
    <row r="6" spans="1:26" ht="12.75" customHeight="1">
      <c r="A6" s="13"/>
      <c r="B6" s="14"/>
      <c r="C6" s="14"/>
      <c r="D6" s="14"/>
      <c r="E6" s="14"/>
      <c r="F6" s="14"/>
      <c r="G6" s="14"/>
      <c r="H6" s="14"/>
      <c r="I6" s="14"/>
      <c r="J6" s="15"/>
      <c r="K6" s="12"/>
      <c r="L6" s="12"/>
      <c r="M6" s="12"/>
      <c r="N6" s="12"/>
      <c r="O6" s="12"/>
      <c r="P6" s="12"/>
      <c r="Q6" s="12"/>
      <c r="R6" s="12"/>
      <c r="S6" s="12"/>
      <c r="T6" s="12"/>
      <c r="U6" s="12"/>
      <c r="V6" s="12"/>
      <c r="W6" s="12"/>
      <c r="X6" s="12"/>
      <c r="Y6" s="12"/>
      <c r="Z6" s="12"/>
    </row>
    <row r="7" spans="1:26" ht="4.5" customHeight="1">
      <c r="A7" s="530"/>
      <c r="B7" s="523"/>
      <c r="C7" s="523"/>
      <c r="D7" s="523"/>
      <c r="E7" s="523"/>
      <c r="F7" s="523"/>
      <c r="G7" s="523"/>
      <c r="H7" s="523"/>
      <c r="I7" s="523"/>
      <c r="J7" s="524"/>
      <c r="K7" s="12"/>
      <c r="L7" s="12"/>
      <c r="M7" s="12"/>
      <c r="N7" s="12"/>
      <c r="O7" s="12"/>
      <c r="P7" s="12"/>
      <c r="Q7" s="12"/>
      <c r="R7" s="12"/>
      <c r="S7" s="12"/>
      <c r="T7" s="12"/>
      <c r="U7" s="12"/>
      <c r="V7" s="12"/>
      <c r="W7" s="12"/>
      <c r="X7" s="12"/>
      <c r="Y7" s="12"/>
      <c r="Z7" s="12"/>
    </row>
    <row r="8" spans="1:26" ht="12.75" customHeight="1">
      <c r="A8" s="13"/>
      <c r="B8" s="14"/>
      <c r="C8" s="14"/>
      <c r="D8" s="14"/>
      <c r="E8" s="14"/>
      <c r="F8" s="14"/>
      <c r="G8" s="14"/>
      <c r="H8" s="14"/>
      <c r="I8" s="14"/>
      <c r="J8" s="15"/>
      <c r="K8" s="12"/>
      <c r="L8" s="12"/>
      <c r="M8" s="12"/>
      <c r="N8" s="12"/>
      <c r="O8" s="12"/>
      <c r="P8" s="12"/>
      <c r="Q8" s="12"/>
      <c r="R8" s="12"/>
      <c r="S8" s="12"/>
      <c r="T8" s="12"/>
      <c r="U8" s="12"/>
      <c r="V8" s="12"/>
      <c r="W8" s="12"/>
      <c r="X8" s="12"/>
      <c r="Y8" s="12"/>
      <c r="Z8" s="12"/>
    </row>
    <row r="9" spans="1:26" ht="12.75" customHeight="1">
      <c r="A9" s="13"/>
      <c r="B9" s="14"/>
      <c r="C9" s="14"/>
      <c r="D9" s="14"/>
      <c r="E9" s="14"/>
      <c r="F9" s="14"/>
      <c r="G9" s="14"/>
      <c r="H9" s="14"/>
      <c r="I9" s="14"/>
      <c r="J9" s="15"/>
      <c r="K9" s="12"/>
      <c r="L9" s="12"/>
      <c r="M9" s="12"/>
      <c r="N9" s="12"/>
      <c r="O9" s="12"/>
      <c r="P9" s="12"/>
      <c r="Q9" s="12"/>
      <c r="R9" s="12"/>
      <c r="S9" s="12"/>
      <c r="T9" s="12"/>
      <c r="U9" s="12"/>
      <c r="V9" s="12"/>
      <c r="W9" s="12"/>
      <c r="X9" s="12"/>
      <c r="Y9" s="12"/>
      <c r="Z9" s="12"/>
    </row>
    <row r="10" spans="1:26" ht="12.75" customHeight="1">
      <c r="A10" s="13"/>
      <c r="B10" s="14"/>
      <c r="C10" s="14"/>
      <c r="D10" s="14"/>
      <c r="E10" s="14"/>
      <c r="F10" s="14"/>
      <c r="G10" s="14"/>
      <c r="H10" s="14"/>
      <c r="I10" s="14"/>
      <c r="J10" s="15"/>
      <c r="K10" s="12"/>
      <c r="L10" s="12"/>
      <c r="M10" s="12"/>
      <c r="N10" s="12"/>
      <c r="O10" s="12"/>
      <c r="P10" s="12"/>
      <c r="Q10" s="12"/>
      <c r="R10" s="12"/>
      <c r="S10" s="12"/>
      <c r="T10" s="12"/>
      <c r="U10" s="12"/>
      <c r="V10" s="12"/>
      <c r="W10" s="12"/>
      <c r="X10" s="12"/>
      <c r="Y10" s="12"/>
      <c r="Z10" s="12"/>
    </row>
    <row r="11" spans="1:26" ht="12.75" customHeight="1">
      <c r="A11" s="13"/>
      <c r="B11" s="14"/>
      <c r="C11" s="14"/>
      <c r="D11" s="14"/>
      <c r="E11" s="14"/>
      <c r="F11" s="14"/>
      <c r="G11" s="14"/>
      <c r="H11" s="14"/>
      <c r="I11" s="14"/>
      <c r="J11" s="15"/>
      <c r="K11" s="12"/>
      <c r="L11" s="12"/>
      <c r="M11" s="12"/>
      <c r="N11" s="12"/>
      <c r="O11" s="12"/>
      <c r="P11" s="12"/>
      <c r="Q11" s="12"/>
      <c r="R11" s="12"/>
      <c r="S11" s="12"/>
      <c r="T11" s="12"/>
      <c r="U11" s="12"/>
      <c r="V11" s="12"/>
      <c r="W11" s="12"/>
      <c r="X11" s="12"/>
      <c r="Y11" s="12"/>
      <c r="Z11" s="12"/>
    </row>
    <row r="12" spans="1:26" ht="12.75" customHeight="1">
      <c r="A12" s="13"/>
      <c r="B12" s="14"/>
      <c r="C12" s="14"/>
      <c r="D12" s="14"/>
      <c r="E12" s="14"/>
      <c r="F12" s="14"/>
      <c r="G12" s="14"/>
      <c r="H12" s="14"/>
      <c r="I12" s="14"/>
      <c r="J12" s="15"/>
      <c r="K12" s="12"/>
      <c r="L12" s="12"/>
      <c r="M12" s="12"/>
      <c r="N12" s="12"/>
      <c r="O12" s="12"/>
      <c r="P12" s="12"/>
      <c r="Q12" s="12"/>
      <c r="R12" s="12"/>
      <c r="S12" s="12"/>
      <c r="T12" s="12"/>
      <c r="U12" s="12"/>
      <c r="V12" s="12"/>
      <c r="W12" s="12"/>
      <c r="X12" s="12"/>
      <c r="Y12" s="12"/>
      <c r="Z12" s="12"/>
    </row>
    <row r="13" spans="1:26" ht="12.75" customHeight="1">
      <c r="A13" s="13"/>
      <c r="B13" s="14"/>
      <c r="C13" s="14"/>
      <c r="D13" s="14"/>
      <c r="E13" s="14"/>
      <c r="F13" s="14"/>
      <c r="G13" s="14"/>
      <c r="H13" s="14"/>
      <c r="I13" s="14"/>
      <c r="J13" s="15"/>
      <c r="K13" s="12"/>
      <c r="L13" s="12"/>
      <c r="M13" s="12"/>
      <c r="N13" s="12"/>
      <c r="O13" s="12"/>
      <c r="P13" s="12"/>
      <c r="Q13" s="12"/>
      <c r="R13" s="12"/>
      <c r="S13" s="12"/>
      <c r="T13" s="12"/>
      <c r="U13" s="12"/>
      <c r="V13" s="12"/>
      <c r="W13" s="12"/>
      <c r="X13" s="12"/>
      <c r="Y13" s="12"/>
      <c r="Z13" s="12"/>
    </row>
    <row r="14" spans="1:26" ht="12.75" customHeight="1">
      <c r="A14" s="13"/>
      <c r="B14" s="14"/>
      <c r="C14" s="14"/>
      <c r="D14" s="14"/>
      <c r="E14" s="14"/>
      <c r="F14" s="14"/>
      <c r="G14" s="14"/>
      <c r="H14" s="14"/>
      <c r="I14" s="14"/>
      <c r="J14" s="15"/>
      <c r="K14" s="12"/>
      <c r="L14" s="12"/>
      <c r="M14" s="12"/>
      <c r="N14" s="12"/>
      <c r="O14" s="12"/>
      <c r="P14" s="12"/>
      <c r="Q14" s="12"/>
      <c r="R14" s="12"/>
      <c r="S14" s="12"/>
      <c r="T14" s="12"/>
      <c r="U14" s="12"/>
      <c r="V14" s="12"/>
      <c r="W14" s="12"/>
      <c r="X14" s="12"/>
      <c r="Y14" s="12"/>
      <c r="Z14" s="12"/>
    </row>
    <row r="15" spans="1:26" ht="12.75" customHeight="1">
      <c r="A15" s="13"/>
      <c r="B15" s="14"/>
      <c r="C15" s="14"/>
      <c r="D15" s="14"/>
      <c r="E15" s="14"/>
      <c r="F15" s="14"/>
      <c r="G15" s="14"/>
      <c r="H15" s="14"/>
      <c r="I15" s="14"/>
      <c r="J15" s="15"/>
      <c r="K15" s="12"/>
      <c r="L15" s="12"/>
      <c r="M15" s="12"/>
      <c r="N15" s="12"/>
      <c r="O15" s="12"/>
      <c r="P15" s="12"/>
      <c r="Q15" s="12"/>
      <c r="R15" s="12"/>
      <c r="S15" s="12"/>
      <c r="T15" s="12"/>
      <c r="U15" s="12"/>
      <c r="V15" s="12"/>
      <c r="W15" s="12"/>
      <c r="X15" s="12"/>
      <c r="Y15" s="12"/>
      <c r="Z15" s="12"/>
    </row>
    <row r="16" spans="1:26" ht="12.75" customHeight="1">
      <c r="A16" s="13"/>
      <c r="B16" s="14"/>
      <c r="C16" s="14"/>
      <c r="D16" s="14"/>
      <c r="E16" s="14"/>
      <c r="F16" s="14"/>
      <c r="G16" s="14"/>
      <c r="H16" s="14"/>
      <c r="I16" s="14"/>
      <c r="J16" s="15"/>
      <c r="K16" s="12"/>
      <c r="L16" s="12"/>
      <c r="M16" s="12"/>
      <c r="N16" s="12"/>
      <c r="O16" s="12"/>
      <c r="P16" s="12"/>
      <c r="Q16" s="12"/>
      <c r="R16" s="12"/>
      <c r="S16" s="12"/>
      <c r="T16" s="12"/>
      <c r="U16" s="12"/>
      <c r="V16" s="12"/>
      <c r="W16" s="12"/>
      <c r="X16" s="12"/>
      <c r="Y16" s="12"/>
      <c r="Z16" s="12"/>
    </row>
    <row r="17" spans="1:26" ht="12.75" customHeight="1">
      <c r="A17" s="13"/>
      <c r="B17" s="14"/>
      <c r="C17" s="14"/>
      <c r="D17" s="14"/>
      <c r="E17" s="14"/>
      <c r="F17" s="14"/>
      <c r="G17" s="14"/>
      <c r="H17" s="14"/>
      <c r="I17" s="14"/>
      <c r="J17" s="15"/>
      <c r="K17" s="12"/>
      <c r="L17" s="12"/>
      <c r="M17" s="12"/>
      <c r="N17" s="12"/>
      <c r="O17" s="12"/>
      <c r="P17" s="12"/>
      <c r="Q17" s="12"/>
      <c r="R17" s="12"/>
      <c r="S17" s="12"/>
      <c r="T17" s="12"/>
      <c r="U17" s="12"/>
      <c r="V17" s="12"/>
      <c r="W17" s="12"/>
      <c r="X17" s="12"/>
      <c r="Y17" s="12"/>
      <c r="Z17" s="12"/>
    </row>
    <row r="18" spans="1:26" ht="12.75" customHeight="1">
      <c r="A18" s="13"/>
      <c r="B18" s="14"/>
      <c r="C18" s="14"/>
      <c r="D18" s="14"/>
      <c r="E18" s="14"/>
      <c r="F18" s="14"/>
      <c r="G18" s="14"/>
      <c r="H18" s="14"/>
      <c r="I18" s="14"/>
      <c r="J18" s="15"/>
      <c r="K18" s="12"/>
      <c r="L18" s="12"/>
      <c r="M18" s="12"/>
      <c r="N18" s="12"/>
      <c r="O18" s="12"/>
      <c r="P18" s="12"/>
      <c r="Q18" s="12"/>
      <c r="R18" s="12"/>
      <c r="S18" s="12"/>
      <c r="T18" s="12"/>
      <c r="U18" s="12"/>
      <c r="V18" s="12"/>
      <c r="W18" s="12"/>
      <c r="X18" s="12"/>
      <c r="Y18" s="12"/>
      <c r="Z18" s="12"/>
    </row>
    <row r="19" spans="1:26" ht="12.75" customHeight="1">
      <c r="A19" s="13"/>
      <c r="B19" s="14"/>
      <c r="C19" s="14"/>
      <c r="D19" s="14"/>
      <c r="E19" s="14"/>
      <c r="F19" s="14"/>
      <c r="G19" s="14"/>
      <c r="H19" s="14"/>
      <c r="I19" s="14"/>
      <c r="J19" s="15"/>
      <c r="K19" s="12"/>
      <c r="L19" s="12"/>
      <c r="M19" s="12"/>
      <c r="N19" s="12"/>
      <c r="O19" s="12"/>
      <c r="P19" s="12"/>
      <c r="Q19" s="12"/>
      <c r="R19" s="12"/>
      <c r="S19" s="12"/>
      <c r="T19" s="12"/>
      <c r="U19" s="12"/>
      <c r="V19" s="12"/>
      <c r="W19" s="12"/>
      <c r="X19" s="12"/>
      <c r="Y19" s="12"/>
      <c r="Z19" s="12"/>
    </row>
    <row r="20" spans="1:26" ht="12.75" customHeight="1">
      <c r="A20" s="13"/>
      <c r="B20" s="14"/>
      <c r="C20" s="14"/>
      <c r="D20" s="14"/>
      <c r="E20" s="14"/>
      <c r="F20" s="14"/>
      <c r="G20" s="14"/>
      <c r="H20" s="14"/>
      <c r="I20" s="14"/>
      <c r="J20" s="15"/>
      <c r="K20" s="12"/>
      <c r="L20" s="12"/>
      <c r="M20" s="12"/>
      <c r="N20" s="12"/>
      <c r="O20" s="12"/>
      <c r="P20" s="12"/>
      <c r="Q20" s="12"/>
      <c r="R20" s="12"/>
      <c r="S20" s="12"/>
      <c r="T20" s="12"/>
      <c r="U20" s="12"/>
      <c r="V20" s="12"/>
      <c r="W20" s="12"/>
      <c r="X20" s="12"/>
      <c r="Y20" s="12"/>
      <c r="Z20" s="12"/>
    </row>
    <row r="21" spans="1:26" ht="12.75" customHeight="1">
      <c r="A21" s="23"/>
      <c r="B21" s="24"/>
      <c r="C21" s="24"/>
      <c r="D21" s="24"/>
      <c r="E21" s="24"/>
      <c r="F21" s="24"/>
      <c r="G21" s="24"/>
      <c r="H21" s="24"/>
      <c r="I21" s="24"/>
      <c r="J21" s="25"/>
      <c r="K21" s="12"/>
      <c r="L21" s="12"/>
      <c r="M21" s="12"/>
      <c r="N21" s="12"/>
      <c r="O21" s="12"/>
      <c r="P21" s="12"/>
      <c r="Q21" s="12"/>
      <c r="R21" s="12"/>
      <c r="S21" s="12"/>
      <c r="T21" s="12"/>
      <c r="U21" s="12"/>
      <c r="V21" s="12"/>
      <c r="W21" s="12"/>
      <c r="X21" s="12"/>
      <c r="Y21" s="12"/>
      <c r="Z21" s="12"/>
    </row>
    <row r="22" spans="1:26" ht="12.75" customHeight="1">
      <c r="A22" s="26"/>
      <c r="B22" s="21"/>
      <c r="C22" s="21"/>
      <c r="D22" s="21"/>
      <c r="E22" s="21"/>
      <c r="F22" s="21"/>
      <c r="G22" s="21"/>
      <c r="H22" s="21"/>
      <c r="I22" s="21"/>
      <c r="J22" s="25"/>
      <c r="K22" s="12"/>
      <c r="L22" s="12"/>
      <c r="M22" s="12"/>
      <c r="N22" s="12"/>
      <c r="O22" s="12"/>
      <c r="P22" s="12"/>
      <c r="Q22" s="12"/>
      <c r="R22" s="12"/>
      <c r="S22" s="12"/>
      <c r="T22" s="12"/>
      <c r="U22" s="12"/>
      <c r="V22" s="12"/>
      <c r="W22" s="12"/>
      <c r="X22" s="12"/>
      <c r="Y22" s="12"/>
      <c r="Z22" s="12"/>
    </row>
    <row r="23" spans="1:26" ht="12.75" customHeight="1">
      <c r="A23" s="26"/>
      <c r="B23" s="21"/>
      <c r="C23" s="21"/>
      <c r="D23" s="21"/>
      <c r="E23" s="21"/>
      <c r="F23" s="21"/>
      <c r="G23" s="21"/>
      <c r="H23" s="21"/>
      <c r="I23" s="21"/>
      <c r="J23" s="25"/>
      <c r="K23" s="12"/>
      <c r="L23" s="12"/>
      <c r="M23" s="12"/>
      <c r="N23" s="12"/>
      <c r="O23" s="12"/>
      <c r="P23" s="12"/>
      <c r="Q23" s="12"/>
      <c r="R23" s="12"/>
      <c r="S23" s="12"/>
      <c r="T23" s="12"/>
      <c r="U23" s="12"/>
      <c r="V23" s="12"/>
      <c r="W23" s="12"/>
      <c r="X23" s="12"/>
      <c r="Y23" s="12"/>
      <c r="Z23" s="12"/>
    </row>
    <row r="24" spans="1:26" ht="12.75" customHeight="1">
      <c r="A24" s="26"/>
      <c r="B24" s="21"/>
      <c r="C24" s="21"/>
      <c r="D24" s="21"/>
      <c r="E24" s="21"/>
      <c r="F24" s="21"/>
      <c r="G24" s="21"/>
      <c r="H24" s="21"/>
      <c r="I24" s="21"/>
      <c r="J24" s="25"/>
      <c r="K24" s="12"/>
      <c r="L24" s="12"/>
      <c r="M24" s="12"/>
      <c r="N24" s="12"/>
      <c r="O24" s="12"/>
      <c r="P24" s="12"/>
      <c r="Q24" s="12"/>
      <c r="R24" s="12"/>
      <c r="S24" s="12"/>
      <c r="T24" s="12"/>
      <c r="U24" s="12"/>
      <c r="V24" s="12"/>
      <c r="W24" s="12"/>
      <c r="X24" s="12"/>
      <c r="Y24" s="12"/>
      <c r="Z24" s="12"/>
    </row>
    <row r="25" spans="1:26" ht="12.75" customHeight="1">
      <c r="A25" s="26"/>
      <c r="B25" s="24"/>
      <c r="C25" s="24"/>
      <c r="D25" s="24"/>
      <c r="E25" s="24"/>
      <c r="F25" s="24"/>
      <c r="G25" s="24"/>
      <c r="H25" s="24"/>
      <c r="I25" s="24"/>
      <c r="J25" s="25"/>
      <c r="K25" s="12"/>
      <c r="L25" s="12"/>
      <c r="M25" s="12"/>
      <c r="N25" s="12"/>
      <c r="O25" s="12"/>
      <c r="P25" s="12"/>
      <c r="Q25" s="12"/>
      <c r="R25" s="12"/>
      <c r="S25" s="12"/>
      <c r="T25" s="12"/>
      <c r="U25" s="12"/>
      <c r="V25" s="12"/>
      <c r="W25" s="12"/>
      <c r="X25" s="12"/>
      <c r="Y25" s="12"/>
      <c r="Z25" s="12"/>
    </row>
    <row r="26" spans="1:26" ht="12.75" customHeight="1">
      <c r="A26" s="522"/>
      <c r="B26" s="523"/>
      <c r="C26" s="523"/>
      <c r="D26" s="523"/>
      <c r="E26" s="523"/>
      <c r="F26" s="523"/>
      <c r="G26" s="523"/>
      <c r="H26" s="523"/>
      <c r="I26" s="523"/>
      <c r="J26" s="524"/>
      <c r="K26" s="12"/>
      <c r="L26" s="12"/>
      <c r="M26" s="12"/>
      <c r="N26" s="12"/>
      <c r="O26" s="12"/>
      <c r="P26" s="12"/>
      <c r="Q26" s="12"/>
      <c r="R26" s="12"/>
      <c r="S26" s="12"/>
      <c r="T26" s="12"/>
      <c r="U26" s="12"/>
      <c r="V26" s="12"/>
      <c r="W26" s="12"/>
      <c r="X26" s="12"/>
      <c r="Y26" s="12"/>
      <c r="Z26" s="12"/>
    </row>
    <row r="27" spans="1:26" ht="12.75" customHeight="1">
      <c r="A27" s="525"/>
      <c r="B27" s="523"/>
      <c r="C27" s="523"/>
      <c r="D27" s="523"/>
      <c r="E27" s="523"/>
      <c r="F27" s="523"/>
      <c r="G27" s="523"/>
      <c r="H27" s="523"/>
      <c r="I27" s="523"/>
      <c r="J27" s="524"/>
      <c r="K27" s="12"/>
      <c r="L27" s="12"/>
      <c r="M27" s="12"/>
      <c r="N27" s="12"/>
      <c r="O27" s="12"/>
      <c r="P27" s="12"/>
      <c r="Q27" s="12"/>
      <c r="R27" s="12"/>
      <c r="S27" s="12"/>
      <c r="T27" s="12"/>
      <c r="U27" s="12"/>
      <c r="V27" s="12"/>
      <c r="W27" s="12"/>
      <c r="X27" s="12"/>
      <c r="Y27" s="12"/>
      <c r="Z27" s="12"/>
    </row>
    <row r="28" spans="1:26" ht="12.75" customHeight="1">
      <c r="A28" s="13"/>
      <c r="B28" s="14"/>
      <c r="C28" s="14"/>
      <c r="D28" s="14"/>
      <c r="E28" s="14"/>
      <c r="F28" s="14"/>
      <c r="G28" s="14"/>
      <c r="H28" s="14"/>
      <c r="I28" s="14"/>
      <c r="J28" s="15"/>
      <c r="K28" s="12"/>
      <c r="L28" s="12"/>
      <c r="M28" s="12"/>
      <c r="N28" s="12"/>
      <c r="O28" s="12"/>
      <c r="P28" s="12"/>
      <c r="Q28" s="12"/>
      <c r="R28" s="12"/>
      <c r="S28" s="12"/>
      <c r="T28" s="12"/>
      <c r="U28" s="12"/>
      <c r="V28" s="12"/>
      <c r="W28" s="12"/>
      <c r="X28" s="12"/>
      <c r="Y28" s="12"/>
      <c r="Z28" s="12"/>
    </row>
    <row r="29" spans="1:26" ht="12.75" customHeight="1">
      <c r="A29" s="13"/>
      <c r="B29" s="14"/>
      <c r="C29" s="14"/>
      <c r="D29" s="14"/>
      <c r="E29" s="14"/>
      <c r="F29" s="14"/>
      <c r="G29" s="14"/>
      <c r="H29" s="14"/>
      <c r="I29" s="14"/>
      <c r="J29" s="15"/>
      <c r="K29" s="12"/>
      <c r="L29" s="12"/>
      <c r="M29" s="12"/>
      <c r="N29" s="12"/>
      <c r="O29" s="12"/>
      <c r="P29" s="12"/>
      <c r="Q29" s="12"/>
      <c r="R29" s="12"/>
      <c r="S29" s="12"/>
      <c r="T29" s="12"/>
      <c r="U29" s="12"/>
      <c r="V29" s="12"/>
      <c r="W29" s="12"/>
      <c r="X29" s="12"/>
      <c r="Y29" s="12"/>
      <c r="Z29" s="12"/>
    </row>
    <row r="30" spans="1:26" ht="12.75" customHeight="1">
      <c r="A30" s="13"/>
      <c r="B30" s="14"/>
      <c r="C30" s="14"/>
      <c r="D30" s="14"/>
      <c r="E30" s="14"/>
      <c r="F30" s="14"/>
      <c r="G30" s="14"/>
      <c r="H30" s="14"/>
      <c r="I30" s="14"/>
      <c r="J30" s="15"/>
      <c r="K30" s="12"/>
      <c r="L30" s="12"/>
      <c r="M30" s="12"/>
      <c r="N30" s="12"/>
      <c r="O30" s="12"/>
      <c r="P30" s="12"/>
      <c r="Q30" s="12"/>
      <c r="R30" s="12"/>
      <c r="S30" s="12"/>
      <c r="T30" s="12"/>
      <c r="U30" s="12"/>
      <c r="V30" s="12"/>
      <c r="W30" s="12"/>
      <c r="X30" s="12"/>
      <c r="Y30" s="12"/>
      <c r="Z30" s="12"/>
    </row>
    <row r="31" spans="1:26" ht="12.75" customHeight="1">
      <c r="A31" s="13"/>
      <c r="B31" s="14"/>
      <c r="C31" s="14"/>
      <c r="D31" s="14"/>
      <c r="E31" s="14"/>
      <c r="F31" s="14"/>
      <c r="G31" s="14"/>
      <c r="H31" s="14"/>
      <c r="I31" s="14"/>
      <c r="J31" s="15"/>
      <c r="K31" s="12"/>
      <c r="L31" s="12"/>
      <c r="M31" s="12"/>
      <c r="N31" s="12"/>
      <c r="O31" s="12"/>
      <c r="P31" s="12"/>
      <c r="Q31" s="12"/>
      <c r="R31" s="12"/>
      <c r="S31" s="12"/>
      <c r="T31" s="12"/>
      <c r="U31" s="12"/>
      <c r="V31" s="12"/>
      <c r="W31" s="12"/>
      <c r="X31" s="12"/>
      <c r="Y31" s="12"/>
      <c r="Z31" s="12"/>
    </row>
    <row r="32" spans="1:26" ht="12.75" customHeight="1">
      <c r="A32" s="13"/>
      <c r="B32" s="14"/>
      <c r="C32" s="14"/>
      <c r="D32" s="14"/>
      <c r="E32" s="14"/>
      <c r="F32" s="14"/>
      <c r="G32" s="14"/>
      <c r="H32" s="14"/>
      <c r="I32" s="14"/>
      <c r="J32" s="15"/>
      <c r="K32" s="12"/>
      <c r="L32" s="12"/>
      <c r="M32" s="12"/>
      <c r="N32" s="12"/>
      <c r="O32" s="12"/>
      <c r="P32" s="12"/>
      <c r="Q32" s="12"/>
      <c r="R32" s="12"/>
      <c r="S32" s="12"/>
      <c r="T32" s="12"/>
      <c r="U32" s="12"/>
      <c r="V32" s="12"/>
      <c r="W32" s="12"/>
      <c r="X32" s="12"/>
      <c r="Y32" s="12"/>
      <c r="Z32" s="12"/>
    </row>
    <row r="33" spans="1:26" ht="12.75" customHeight="1">
      <c r="A33" s="13"/>
      <c r="B33" s="14"/>
      <c r="C33" s="14"/>
      <c r="D33" s="14"/>
      <c r="E33" s="14"/>
      <c r="F33" s="14"/>
      <c r="G33" s="14"/>
      <c r="H33" s="14"/>
      <c r="I33" s="14"/>
      <c r="J33" s="15"/>
      <c r="K33" s="12"/>
      <c r="L33" s="12"/>
      <c r="M33" s="12"/>
      <c r="N33" s="12"/>
      <c r="O33" s="12"/>
      <c r="P33" s="12"/>
      <c r="Q33" s="12"/>
      <c r="R33" s="12"/>
      <c r="S33" s="12"/>
      <c r="T33" s="12"/>
      <c r="U33" s="12"/>
      <c r="V33" s="12"/>
      <c r="W33" s="12"/>
      <c r="X33" s="12"/>
      <c r="Y33" s="12"/>
      <c r="Z33" s="12"/>
    </row>
    <row r="34" spans="1:26" ht="12.75" customHeight="1">
      <c r="A34" s="13"/>
      <c r="B34" s="14"/>
      <c r="C34" s="14"/>
      <c r="D34" s="14"/>
      <c r="E34" s="14"/>
      <c r="F34" s="14"/>
      <c r="G34" s="14"/>
      <c r="H34" s="14"/>
      <c r="I34" s="14"/>
      <c r="J34" s="15"/>
      <c r="K34" s="12"/>
      <c r="L34" s="12"/>
      <c r="M34" s="12"/>
      <c r="N34" s="12"/>
      <c r="O34" s="12"/>
      <c r="P34" s="12"/>
      <c r="Q34" s="12"/>
      <c r="R34" s="12"/>
      <c r="S34" s="12"/>
      <c r="T34" s="12"/>
      <c r="U34" s="12"/>
      <c r="V34" s="12"/>
      <c r="W34" s="12"/>
      <c r="X34" s="12"/>
      <c r="Y34" s="12"/>
      <c r="Z34" s="12"/>
    </row>
    <row r="35" spans="1:26" ht="12.75" customHeight="1">
      <c r="A35" s="13"/>
      <c r="B35" s="14"/>
      <c r="C35" s="14"/>
      <c r="D35" s="14"/>
      <c r="E35" s="14"/>
      <c r="F35" s="14"/>
      <c r="G35" s="14"/>
      <c r="H35" s="14"/>
      <c r="I35" s="14"/>
      <c r="J35" s="15"/>
      <c r="K35" s="12"/>
      <c r="L35" s="12"/>
      <c r="M35" s="12"/>
      <c r="N35" s="12"/>
      <c r="O35" s="12"/>
      <c r="P35" s="12"/>
      <c r="Q35" s="12"/>
      <c r="R35" s="12"/>
      <c r="S35" s="12"/>
      <c r="T35" s="12"/>
      <c r="U35" s="12"/>
      <c r="V35" s="12"/>
      <c r="W35" s="12"/>
      <c r="X35" s="12"/>
      <c r="Y35" s="12"/>
      <c r="Z35" s="12"/>
    </row>
    <row r="36" spans="1:26" ht="12.75" customHeight="1">
      <c r="A36" s="526" t="s">
        <v>382</v>
      </c>
      <c r="B36" s="527"/>
      <c r="C36" s="527"/>
      <c r="D36" s="527"/>
      <c r="E36" s="527"/>
      <c r="F36" s="527"/>
      <c r="G36" s="527"/>
      <c r="H36" s="527"/>
      <c r="I36" s="527"/>
      <c r="J36" s="528"/>
      <c r="K36" s="12"/>
      <c r="L36" s="12"/>
      <c r="M36" s="12"/>
      <c r="N36" s="12"/>
      <c r="O36" s="12"/>
      <c r="P36" s="12"/>
      <c r="Q36" s="12"/>
      <c r="R36" s="12"/>
      <c r="S36" s="12"/>
      <c r="T36" s="12"/>
      <c r="U36" s="12"/>
      <c r="V36" s="12"/>
      <c r="W36" s="12"/>
      <c r="X36" s="12"/>
      <c r="Y36" s="12"/>
      <c r="Z36" s="12"/>
    </row>
    <row r="37" spans="1:26" ht="12.75" customHeight="1">
      <c r="A37" s="529"/>
      <c r="B37" s="527"/>
      <c r="C37" s="527"/>
      <c r="D37" s="527"/>
      <c r="E37" s="527"/>
      <c r="F37" s="527"/>
      <c r="G37" s="527"/>
      <c r="H37" s="527"/>
      <c r="I37" s="527"/>
      <c r="J37" s="528"/>
      <c r="K37" s="12"/>
      <c r="L37" s="12"/>
      <c r="M37" s="12"/>
      <c r="N37" s="12"/>
      <c r="O37" s="12"/>
      <c r="P37" s="12"/>
      <c r="Q37" s="12"/>
      <c r="R37" s="12"/>
      <c r="S37" s="12"/>
      <c r="T37" s="12"/>
      <c r="U37" s="12"/>
      <c r="V37" s="12"/>
      <c r="W37" s="12"/>
      <c r="X37" s="12"/>
      <c r="Y37" s="12"/>
      <c r="Z37" s="12"/>
    </row>
    <row r="38" spans="1:26" ht="12.75" customHeight="1">
      <c r="A38" s="13"/>
      <c r="B38" s="14"/>
      <c r="C38" s="14"/>
      <c r="D38" s="14"/>
      <c r="E38" s="14"/>
      <c r="F38" s="14"/>
      <c r="G38" s="14"/>
      <c r="H38" s="14"/>
      <c r="I38" s="14"/>
      <c r="J38" s="15"/>
      <c r="K38" s="12"/>
      <c r="L38" s="12"/>
      <c r="M38" s="12"/>
      <c r="N38" s="12"/>
      <c r="O38" s="12"/>
      <c r="P38" s="12"/>
      <c r="Q38" s="12"/>
      <c r="R38" s="12"/>
      <c r="S38" s="12"/>
      <c r="T38" s="12"/>
      <c r="U38" s="12"/>
      <c r="V38" s="12"/>
      <c r="W38" s="12"/>
      <c r="X38" s="12"/>
      <c r="Y38" s="12"/>
      <c r="Z38" s="12"/>
    </row>
    <row r="39" spans="1:26" ht="12.75" customHeight="1">
      <c r="A39" s="13"/>
      <c r="B39" s="14"/>
      <c r="C39" s="14"/>
      <c r="D39" s="14"/>
      <c r="E39" s="14"/>
      <c r="F39" s="14"/>
      <c r="G39" s="14"/>
      <c r="H39" s="14"/>
      <c r="I39" s="14"/>
      <c r="J39" s="15"/>
      <c r="K39" s="12"/>
      <c r="L39" s="12"/>
      <c r="M39" s="12"/>
      <c r="N39" s="12"/>
      <c r="O39" s="12"/>
      <c r="P39" s="12"/>
      <c r="Q39" s="12"/>
      <c r="R39" s="12"/>
      <c r="S39" s="12"/>
      <c r="T39" s="12"/>
      <c r="U39" s="12"/>
      <c r="V39" s="12"/>
      <c r="W39" s="12"/>
      <c r="X39" s="12"/>
      <c r="Y39" s="12"/>
      <c r="Z39" s="12"/>
    </row>
    <row r="40" spans="1:26" ht="12.75" customHeight="1">
      <c r="A40" s="13"/>
      <c r="B40" s="14"/>
      <c r="C40" s="14"/>
      <c r="D40" s="14"/>
      <c r="E40" s="14"/>
      <c r="F40" s="14"/>
      <c r="G40" s="14"/>
      <c r="H40" s="14"/>
      <c r="I40" s="14"/>
      <c r="J40" s="15"/>
      <c r="K40" s="12"/>
      <c r="L40" s="12"/>
      <c r="M40" s="12"/>
      <c r="N40" s="12"/>
      <c r="O40" s="12"/>
      <c r="P40" s="12"/>
      <c r="Q40" s="12"/>
      <c r="R40" s="12"/>
      <c r="S40" s="12"/>
      <c r="T40" s="12"/>
      <c r="U40" s="12"/>
      <c r="V40" s="12"/>
      <c r="W40" s="12"/>
      <c r="X40" s="12"/>
      <c r="Y40" s="12"/>
      <c r="Z40" s="12"/>
    </row>
    <row r="41" spans="1:26" ht="12.75" customHeight="1">
      <c r="A41" s="13"/>
      <c r="B41" s="14"/>
      <c r="C41" s="14"/>
      <c r="D41" s="14"/>
      <c r="E41" s="14"/>
      <c r="F41" s="14"/>
      <c r="G41" s="14"/>
      <c r="H41" s="14"/>
      <c r="I41" s="14"/>
      <c r="J41" s="15"/>
      <c r="K41" s="12"/>
      <c r="L41" s="12"/>
      <c r="M41" s="12"/>
      <c r="N41" s="12"/>
      <c r="O41" s="12"/>
      <c r="P41" s="12"/>
      <c r="Q41" s="12"/>
      <c r="R41" s="12"/>
      <c r="S41" s="12"/>
      <c r="T41" s="12"/>
      <c r="U41" s="12"/>
      <c r="V41" s="12"/>
      <c r="W41" s="12"/>
      <c r="X41" s="12"/>
      <c r="Y41" s="12"/>
      <c r="Z41" s="12"/>
    </row>
    <row r="42" spans="1:26" ht="12.75" customHeight="1">
      <c r="A42" s="13"/>
      <c r="B42" s="14"/>
      <c r="C42" s="14"/>
      <c r="D42" s="14"/>
      <c r="E42" s="14"/>
      <c r="F42" s="14"/>
      <c r="G42" s="14"/>
      <c r="H42" s="14"/>
      <c r="I42" s="14"/>
      <c r="J42" s="15"/>
      <c r="K42" s="12"/>
      <c r="L42" s="12"/>
      <c r="M42" s="12"/>
      <c r="N42" s="12"/>
      <c r="O42" s="12"/>
      <c r="P42" s="12"/>
      <c r="Q42" s="12"/>
      <c r="R42" s="12"/>
      <c r="S42" s="12"/>
      <c r="T42" s="12"/>
      <c r="U42" s="12"/>
      <c r="V42" s="12"/>
      <c r="W42" s="12"/>
      <c r="X42" s="12"/>
      <c r="Y42" s="12"/>
      <c r="Z42" s="12"/>
    </row>
    <row r="43" spans="1:26" ht="12.75" customHeight="1">
      <c r="A43" s="13"/>
      <c r="B43" s="14"/>
      <c r="C43" s="14"/>
      <c r="D43" s="14"/>
      <c r="E43" s="14"/>
      <c r="F43" s="14"/>
      <c r="G43" s="14"/>
      <c r="H43" s="14"/>
      <c r="I43" s="14"/>
      <c r="J43" s="15"/>
      <c r="K43" s="12"/>
      <c r="L43" s="12"/>
      <c r="M43" s="12"/>
      <c r="N43" s="12"/>
      <c r="O43" s="12"/>
      <c r="P43" s="12"/>
      <c r="Q43" s="12"/>
      <c r="R43" s="12"/>
      <c r="S43" s="12"/>
      <c r="T43" s="12"/>
      <c r="U43" s="12"/>
      <c r="V43" s="12"/>
      <c r="W43" s="12"/>
      <c r="X43" s="12"/>
      <c r="Y43" s="12"/>
      <c r="Z43" s="12"/>
    </row>
    <row r="44" spans="1:26" ht="12.75" customHeight="1">
      <c r="A44" s="13"/>
      <c r="B44" s="14"/>
      <c r="C44" s="14"/>
      <c r="D44" s="14"/>
      <c r="E44" s="14"/>
      <c r="F44" s="14"/>
      <c r="G44" s="14"/>
      <c r="H44" s="14"/>
      <c r="I44" s="14"/>
      <c r="J44" s="15"/>
      <c r="K44" s="12"/>
      <c r="L44" s="12"/>
      <c r="M44" s="12"/>
      <c r="N44" s="12"/>
      <c r="O44" s="12"/>
      <c r="P44" s="12"/>
      <c r="Q44" s="12"/>
      <c r="R44" s="12"/>
      <c r="S44" s="12"/>
      <c r="T44" s="12"/>
      <c r="U44" s="12"/>
      <c r="V44" s="12"/>
      <c r="W44" s="12"/>
      <c r="X44" s="12"/>
      <c r="Y44" s="12"/>
      <c r="Z44" s="12"/>
    </row>
    <row r="45" spans="1:26" ht="12.75" customHeight="1">
      <c r="A45" s="13"/>
      <c r="B45" s="14"/>
      <c r="C45" s="14"/>
      <c r="D45" s="14"/>
      <c r="E45" s="14"/>
      <c r="F45" s="14"/>
      <c r="G45" s="14"/>
      <c r="H45" s="14"/>
      <c r="I45" s="14"/>
      <c r="J45" s="15"/>
      <c r="K45" s="12"/>
      <c r="L45" s="12"/>
      <c r="M45" s="12"/>
      <c r="N45" s="12"/>
      <c r="O45" s="12"/>
      <c r="P45" s="12"/>
      <c r="Q45" s="12"/>
      <c r="R45" s="12"/>
      <c r="S45" s="12"/>
      <c r="T45" s="12"/>
      <c r="U45" s="12"/>
      <c r="V45" s="12"/>
      <c r="W45" s="12"/>
      <c r="X45" s="12"/>
      <c r="Y45" s="12"/>
      <c r="Z45" s="12"/>
    </row>
    <row r="46" spans="1:26" ht="12.75" customHeight="1">
      <c r="A46" s="13"/>
      <c r="B46" s="14"/>
      <c r="C46" s="14"/>
      <c r="D46" s="14"/>
      <c r="E46" s="14"/>
      <c r="F46" s="14"/>
      <c r="G46" s="14"/>
      <c r="H46" s="14"/>
      <c r="I46" s="14"/>
      <c r="J46" s="15"/>
      <c r="K46" s="12"/>
      <c r="L46" s="12"/>
      <c r="M46" s="12"/>
      <c r="N46" s="12"/>
      <c r="O46" s="12"/>
      <c r="P46" s="12"/>
      <c r="Q46" s="12"/>
      <c r="R46" s="12"/>
      <c r="S46" s="12"/>
      <c r="T46" s="12"/>
      <c r="U46" s="12"/>
      <c r="V46" s="12"/>
      <c r="W46" s="12"/>
      <c r="X46" s="12"/>
      <c r="Y46" s="12"/>
      <c r="Z46" s="12"/>
    </row>
    <row r="47" spans="1:26" ht="12.75" customHeight="1">
      <c r="A47" s="13"/>
      <c r="B47" s="14"/>
      <c r="C47" s="14"/>
      <c r="D47" s="14"/>
      <c r="E47" s="14"/>
      <c r="F47" s="14"/>
      <c r="G47" s="14"/>
      <c r="H47" s="14"/>
      <c r="I47" s="14"/>
      <c r="J47" s="15"/>
      <c r="K47" s="12"/>
      <c r="L47" s="12"/>
      <c r="M47" s="12"/>
      <c r="N47" s="12"/>
      <c r="O47" s="12"/>
      <c r="P47" s="12"/>
      <c r="Q47" s="12"/>
      <c r="R47" s="12"/>
      <c r="S47" s="12"/>
      <c r="T47" s="12"/>
      <c r="U47" s="12"/>
      <c r="V47" s="12"/>
      <c r="W47" s="12"/>
      <c r="X47" s="12"/>
      <c r="Y47" s="12"/>
      <c r="Z47" s="12"/>
    </row>
    <row r="48" spans="1:26" ht="12.75" customHeight="1">
      <c r="A48" s="13"/>
      <c r="B48" s="14"/>
      <c r="C48" s="14"/>
      <c r="D48" s="14"/>
      <c r="E48" s="14"/>
      <c r="F48" s="14"/>
      <c r="G48" s="14"/>
      <c r="H48" s="14"/>
      <c r="I48" s="14"/>
      <c r="J48" s="15"/>
      <c r="K48" s="12"/>
      <c r="L48" s="12"/>
      <c r="M48" s="12"/>
      <c r="N48" s="12"/>
      <c r="O48" s="12"/>
      <c r="P48" s="12"/>
      <c r="Q48" s="12"/>
      <c r="R48" s="12"/>
      <c r="S48" s="12"/>
      <c r="T48" s="12"/>
      <c r="U48" s="12"/>
      <c r="V48" s="12"/>
      <c r="W48" s="12"/>
      <c r="X48" s="12"/>
      <c r="Y48" s="12"/>
      <c r="Z48" s="12"/>
    </row>
    <row r="49" spans="1:26" ht="12.75" customHeight="1">
      <c r="A49" s="13"/>
      <c r="B49" s="14"/>
      <c r="C49" s="14"/>
      <c r="D49" s="14"/>
      <c r="E49" s="14"/>
      <c r="F49" s="14"/>
      <c r="G49" s="14"/>
      <c r="H49" s="14"/>
      <c r="I49" s="14"/>
      <c r="J49" s="15"/>
      <c r="K49" s="12"/>
      <c r="L49" s="12"/>
      <c r="M49" s="12"/>
      <c r="N49" s="12"/>
      <c r="O49" s="12"/>
      <c r="P49" s="12"/>
      <c r="Q49" s="12"/>
      <c r="R49" s="12"/>
      <c r="S49" s="12"/>
      <c r="T49" s="12"/>
      <c r="U49" s="12"/>
      <c r="V49" s="12"/>
      <c r="W49" s="12"/>
      <c r="X49" s="12"/>
      <c r="Y49" s="12"/>
      <c r="Z49" s="12"/>
    </row>
    <row r="50" spans="1:26" ht="12.75" customHeight="1">
      <c r="A50" s="13"/>
      <c r="B50" s="14"/>
      <c r="C50" s="14"/>
      <c r="D50" s="14"/>
      <c r="E50" s="14"/>
      <c r="F50" s="14"/>
      <c r="G50" s="14"/>
      <c r="H50" s="14"/>
      <c r="I50" s="14"/>
      <c r="J50" s="15"/>
      <c r="K50" s="12"/>
      <c r="L50" s="12"/>
      <c r="M50" s="12"/>
      <c r="N50" s="12"/>
      <c r="O50" s="12"/>
      <c r="P50" s="12"/>
      <c r="Q50" s="12"/>
      <c r="R50" s="12"/>
      <c r="S50" s="12"/>
      <c r="T50" s="12"/>
      <c r="U50" s="12"/>
      <c r="V50" s="12"/>
      <c r="W50" s="12"/>
      <c r="X50" s="12"/>
      <c r="Y50" s="12"/>
      <c r="Z50" s="12"/>
    </row>
    <row r="51" spans="1:26" ht="12.75" customHeight="1">
      <c r="A51" s="13"/>
      <c r="B51" s="14"/>
      <c r="C51" s="14"/>
      <c r="D51" s="14"/>
      <c r="E51" s="14"/>
      <c r="F51" s="14"/>
      <c r="G51" s="14"/>
      <c r="H51" s="14"/>
      <c r="I51" s="14"/>
      <c r="J51" s="15"/>
      <c r="K51" s="12"/>
      <c r="L51" s="12"/>
      <c r="M51" s="12"/>
      <c r="N51" s="12"/>
      <c r="O51" s="12"/>
      <c r="P51" s="12"/>
      <c r="Q51" s="12"/>
      <c r="R51" s="12"/>
      <c r="S51" s="12"/>
      <c r="T51" s="12"/>
      <c r="U51" s="12"/>
      <c r="V51" s="12"/>
      <c r="W51" s="12"/>
      <c r="X51" s="12"/>
      <c r="Y51" s="12"/>
      <c r="Z51" s="12"/>
    </row>
    <row r="52" spans="1:26" ht="12.75" customHeight="1">
      <c r="A52" s="13"/>
      <c r="B52" s="14"/>
      <c r="C52" s="14"/>
      <c r="D52" s="14"/>
      <c r="E52" s="14"/>
      <c r="F52" s="14"/>
      <c r="G52" s="14"/>
      <c r="H52" s="14"/>
      <c r="I52" s="14"/>
      <c r="J52" s="15"/>
      <c r="K52" s="12"/>
      <c r="L52" s="12"/>
      <c r="M52" s="12"/>
      <c r="N52" s="12"/>
      <c r="O52" s="12"/>
      <c r="P52" s="12"/>
      <c r="Q52" s="12"/>
      <c r="R52" s="12"/>
      <c r="S52" s="12"/>
      <c r="T52" s="12"/>
      <c r="U52" s="12"/>
      <c r="V52" s="12"/>
      <c r="W52" s="12"/>
      <c r="X52" s="12"/>
      <c r="Y52" s="12"/>
      <c r="Z52" s="12"/>
    </row>
    <row r="53" spans="1:26" ht="12.75" customHeight="1">
      <c r="A53" s="13"/>
      <c r="B53" s="14"/>
      <c r="C53" s="14"/>
      <c r="D53" s="14"/>
      <c r="E53" s="14"/>
      <c r="F53" s="14"/>
      <c r="G53" s="14"/>
      <c r="H53" s="14"/>
      <c r="I53" s="14"/>
      <c r="J53" s="15"/>
      <c r="K53" s="12"/>
      <c r="L53" s="12"/>
      <c r="M53" s="12"/>
      <c r="N53" s="12"/>
      <c r="O53" s="12"/>
      <c r="P53" s="12"/>
      <c r="Q53" s="12"/>
      <c r="R53" s="12"/>
      <c r="S53" s="12"/>
      <c r="T53" s="12"/>
      <c r="U53" s="12"/>
      <c r="V53" s="12"/>
      <c r="W53" s="12"/>
      <c r="X53" s="12"/>
      <c r="Y53" s="12"/>
      <c r="Z53" s="12"/>
    </row>
    <row r="54" spans="1:26" ht="12.75" customHeight="1">
      <c r="A54" s="13"/>
      <c r="B54" s="14"/>
      <c r="C54" s="14"/>
      <c r="D54" s="14"/>
      <c r="E54" s="14"/>
      <c r="F54" s="14"/>
      <c r="G54" s="14"/>
      <c r="H54" s="14"/>
      <c r="I54" s="14"/>
      <c r="J54" s="15"/>
      <c r="K54" s="12"/>
      <c r="L54" s="12"/>
      <c r="M54" s="12"/>
      <c r="N54" s="12"/>
      <c r="O54" s="12"/>
      <c r="P54" s="12"/>
      <c r="Q54" s="12"/>
      <c r="R54" s="12"/>
      <c r="S54" s="12"/>
      <c r="T54" s="12"/>
      <c r="U54" s="12"/>
      <c r="V54" s="12"/>
      <c r="W54" s="12"/>
      <c r="X54" s="12"/>
      <c r="Y54" s="12"/>
      <c r="Z54" s="12"/>
    </row>
    <row r="55" spans="1:26" ht="12.75" customHeight="1">
      <c r="A55" s="13"/>
      <c r="B55" s="14"/>
      <c r="C55" s="14"/>
      <c r="D55" s="14"/>
      <c r="E55" s="14"/>
      <c r="F55" s="14"/>
      <c r="G55" s="14"/>
      <c r="H55" s="14"/>
      <c r="I55" s="14"/>
      <c r="J55" s="15"/>
      <c r="K55" s="12"/>
      <c r="L55" s="12"/>
      <c r="M55" s="12"/>
      <c r="N55" s="12"/>
      <c r="O55" s="12"/>
      <c r="P55" s="12"/>
      <c r="Q55" s="12"/>
      <c r="R55" s="12"/>
      <c r="S55" s="12"/>
      <c r="T55" s="12"/>
      <c r="U55" s="12"/>
      <c r="V55" s="12"/>
      <c r="W55" s="12"/>
      <c r="X55" s="12"/>
      <c r="Y55" s="12"/>
      <c r="Z55" s="12"/>
    </row>
    <row r="56" spans="1:26" ht="12.75" customHeight="1">
      <c r="A56" s="13"/>
      <c r="B56" s="14"/>
      <c r="C56" s="14"/>
      <c r="D56" s="14"/>
      <c r="E56" s="14"/>
      <c r="F56" s="14"/>
      <c r="G56" s="14"/>
      <c r="H56" s="14"/>
      <c r="I56" s="14"/>
      <c r="J56" s="15"/>
      <c r="K56" s="12"/>
      <c r="L56" s="12"/>
      <c r="M56" s="12"/>
      <c r="N56" s="12"/>
      <c r="O56" s="12"/>
      <c r="P56" s="12"/>
      <c r="Q56" s="12"/>
      <c r="R56" s="12"/>
      <c r="S56" s="12"/>
      <c r="T56" s="12"/>
      <c r="U56" s="12"/>
      <c r="V56" s="12"/>
      <c r="W56" s="12"/>
      <c r="X56" s="12"/>
      <c r="Y56" s="12"/>
      <c r="Z56" s="12"/>
    </row>
    <row r="57" spans="1:26" ht="12.75" customHeight="1">
      <c r="A57" s="526" t="s">
        <v>654</v>
      </c>
      <c r="B57" s="527"/>
      <c r="C57" s="527"/>
      <c r="D57" s="527"/>
      <c r="E57" s="527"/>
      <c r="F57" s="527"/>
      <c r="G57" s="527"/>
      <c r="H57" s="527"/>
      <c r="I57" s="527"/>
      <c r="J57" s="528"/>
      <c r="K57" s="12"/>
      <c r="L57" s="12"/>
      <c r="M57" s="12"/>
      <c r="N57" s="12"/>
      <c r="O57" s="12"/>
      <c r="P57" s="12"/>
      <c r="Q57" s="12"/>
      <c r="R57" s="12"/>
      <c r="S57" s="12"/>
      <c r="T57" s="12"/>
      <c r="U57" s="12"/>
      <c r="V57" s="12"/>
      <c r="W57" s="12"/>
      <c r="X57" s="12"/>
      <c r="Y57" s="12"/>
      <c r="Z57" s="12"/>
    </row>
    <row r="58" spans="1:26" ht="12.75" customHeight="1">
      <c r="A58" s="529"/>
      <c r="B58" s="527"/>
      <c r="C58" s="527"/>
      <c r="D58" s="527"/>
      <c r="E58" s="527"/>
      <c r="F58" s="527"/>
      <c r="G58" s="527"/>
      <c r="H58" s="527"/>
      <c r="I58" s="527"/>
      <c r="J58" s="528"/>
      <c r="K58" s="12"/>
      <c r="L58" s="12"/>
      <c r="M58" s="12"/>
      <c r="N58" s="12"/>
      <c r="O58" s="12"/>
      <c r="P58" s="12"/>
      <c r="Q58" s="12"/>
      <c r="R58" s="12"/>
      <c r="S58" s="12"/>
      <c r="T58" s="12"/>
      <c r="U58" s="12"/>
      <c r="V58" s="12"/>
      <c r="W58" s="12"/>
      <c r="X58" s="12"/>
      <c r="Y58" s="12"/>
      <c r="Z58" s="12"/>
    </row>
    <row r="59" spans="1:26" ht="13.5" customHeight="1" thickBot="1">
      <c r="A59" s="16"/>
      <c r="B59" s="17"/>
      <c r="C59" s="17"/>
      <c r="D59" s="17"/>
      <c r="E59" s="17"/>
      <c r="F59" s="17"/>
      <c r="G59" s="17"/>
      <c r="H59" s="17"/>
      <c r="I59" s="17"/>
      <c r="J59" s="18"/>
      <c r="K59" s="12"/>
      <c r="L59" s="12"/>
      <c r="M59" s="12"/>
      <c r="N59" s="12"/>
      <c r="O59" s="12"/>
      <c r="P59" s="12"/>
      <c r="Q59" s="12"/>
      <c r="R59" s="12"/>
      <c r="S59" s="12"/>
      <c r="T59" s="12"/>
      <c r="U59" s="12"/>
      <c r="V59" s="12"/>
      <c r="W59" s="12"/>
      <c r="X59" s="12"/>
      <c r="Y59" s="12"/>
      <c r="Z59" s="12"/>
    </row>
    <row r="60" spans="1:26" ht="12.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
    <mergeCell ref="A7:J7"/>
    <mergeCell ref="A26:J27"/>
    <mergeCell ref="A36:J37"/>
    <mergeCell ref="A57:J58"/>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2:I34"/>
  <sheetViews>
    <sheetView topLeftCell="A4" zoomScaleNormal="100" zoomScaleSheetLayoutView="100" workbookViewId="0">
      <selection activeCell="A4" sqref="A1:XFD1048576"/>
    </sheetView>
  </sheetViews>
  <sheetFormatPr defaultRowHeight="15"/>
  <cols>
    <col min="1" max="1" width="39.140625" customWidth="1"/>
    <col min="2" max="2" width="21.28515625" customWidth="1"/>
    <col min="5" max="5" width="11.5703125" bestFit="1" customWidth="1"/>
    <col min="6" max="6" width="10.140625" bestFit="1" customWidth="1"/>
    <col min="8" max="9" width="18.28515625" bestFit="1" customWidth="1"/>
  </cols>
  <sheetData>
    <row r="2" spans="1:9">
      <c r="B2" s="115" t="s">
        <v>24</v>
      </c>
    </row>
    <row r="3" spans="1:9">
      <c r="B3" s="115" t="s">
        <v>25</v>
      </c>
    </row>
    <row r="4" spans="1:9">
      <c r="B4" s="115" t="s">
        <v>657</v>
      </c>
    </row>
    <row r="6" spans="1:9">
      <c r="B6" s="115" t="s">
        <v>658</v>
      </c>
    </row>
    <row r="8" spans="1:9" ht="18">
      <c r="A8" s="888" t="s">
        <v>78</v>
      </c>
      <c r="B8" s="889"/>
      <c r="C8" s="173">
        <v>36</v>
      </c>
      <c r="D8" s="174"/>
      <c r="E8" s="174"/>
      <c r="F8" s="174"/>
      <c r="G8" s="174"/>
      <c r="H8" s="4"/>
      <c r="I8" s="4"/>
    </row>
    <row r="9" spans="1:9">
      <c r="A9" s="5"/>
      <c r="B9" s="5"/>
      <c r="C9" s="175"/>
      <c r="D9" s="5"/>
      <c r="E9" s="174"/>
      <c r="F9" s="174"/>
      <c r="G9" s="174"/>
      <c r="H9" s="174"/>
      <c r="I9" s="2"/>
    </row>
    <row r="10" spans="1:9" ht="26.25" thickBot="1">
      <c r="A10" s="176" t="s">
        <v>383</v>
      </c>
      <c r="B10" s="176" t="s">
        <v>384</v>
      </c>
      <c r="C10" s="144" t="s">
        <v>79</v>
      </c>
      <c r="D10" s="144" t="s">
        <v>80</v>
      </c>
      <c r="E10" s="176" t="s">
        <v>385</v>
      </c>
      <c r="F10" s="176" t="s">
        <v>386</v>
      </c>
      <c r="G10" s="176" t="s">
        <v>387</v>
      </c>
      <c r="H10" s="176" t="s">
        <v>388</v>
      </c>
      <c r="I10" s="176" t="s">
        <v>389</v>
      </c>
    </row>
    <row r="11" spans="1:9" ht="16.5" thickTop="1" thickBot="1">
      <c r="A11" s="177" t="s">
        <v>700</v>
      </c>
      <c r="B11" s="178" t="s">
        <v>390</v>
      </c>
      <c r="C11" s="179" t="s">
        <v>391</v>
      </c>
      <c r="D11" s="180">
        <v>25194</v>
      </c>
      <c r="E11" s="181">
        <f>('Valor Mão de Obra'!G153)/220*8</f>
        <v>164.93817086215356</v>
      </c>
      <c r="F11" s="182">
        <f>'Estimativa Qtde Eventos'!I17</f>
        <v>31</v>
      </c>
      <c r="G11" s="182">
        <f>'Estimativa Qtde Eventos'!J17</f>
        <v>93</v>
      </c>
      <c r="H11" s="183">
        <f>E11*F11</f>
        <v>5113.0832967267606</v>
      </c>
      <c r="I11" s="184">
        <f>E11*G11</f>
        <v>15339.249890180281</v>
      </c>
    </row>
    <row r="12" spans="1:9" ht="16.5" thickTop="1" thickBot="1">
      <c r="A12" s="177" t="s">
        <v>701</v>
      </c>
      <c r="B12" s="178" t="s">
        <v>108</v>
      </c>
      <c r="C12" s="179" t="s">
        <v>391</v>
      </c>
      <c r="D12" s="185">
        <v>22861</v>
      </c>
      <c r="E12" s="181">
        <f>('Valor Mão de Obra'!K153)/220*8</f>
        <v>159.58753012125231</v>
      </c>
      <c r="F12" s="182">
        <f>'Estimativa Qtde Eventos'!K17</f>
        <v>9</v>
      </c>
      <c r="G12" s="182">
        <f>'Estimativa Qtde Eventos'!L17</f>
        <v>27</v>
      </c>
      <c r="H12" s="183">
        <f>E12*F12</f>
        <v>1436.2877710912708</v>
      </c>
      <c r="I12" s="184">
        <f>E12*G12</f>
        <v>4308.8633132738123</v>
      </c>
    </row>
    <row r="13" spans="1:9" ht="16.5" thickTop="1" thickBot="1">
      <c r="A13" s="177" t="s">
        <v>702</v>
      </c>
      <c r="B13" s="178" t="s">
        <v>392</v>
      </c>
      <c r="C13" s="179" t="s">
        <v>391</v>
      </c>
      <c r="D13" s="185">
        <v>14389</v>
      </c>
      <c r="E13" s="181">
        <f>('Valor Mão de Obra'!G153)/220*8</f>
        <v>164.93817086215356</v>
      </c>
      <c r="F13" s="182">
        <f>'Estimativa Qtde Eventos'!M17</f>
        <v>15</v>
      </c>
      <c r="G13" s="182">
        <f>'Estimativa Qtde Eventos'!N17</f>
        <v>45</v>
      </c>
      <c r="H13" s="183">
        <f>E13*F13</f>
        <v>2474.0725629323033</v>
      </c>
      <c r="I13" s="184">
        <f>E13*G13</f>
        <v>7422.2176887969099</v>
      </c>
    </row>
    <row r="14" spans="1:9" ht="16.5" thickTop="1" thickBot="1">
      <c r="A14" s="177" t="s">
        <v>703</v>
      </c>
      <c r="B14" s="178" t="s">
        <v>107</v>
      </c>
      <c r="C14" s="179" t="s">
        <v>391</v>
      </c>
      <c r="D14" s="185">
        <v>24244</v>
      </c>
      <c r="E14" s="181">
        <f>('Valor Mão de Obra'!I153)/220*8</f>
        <v>193.35549119227127</v>
      </c>
      <c r="F14" s="182">
        <f>'Estimativa Qtde Eventos'!G26</f>
        <v>36</v>
      </c>
      <c r="G14" s="182">
        <f>'Estimativa Qtde Eventos'!H26</f>
        <v>108</v>
      </c>
      <c r="H14" s="183">
        <f>E14*F14</f>
        <v>6960.797682921766</v>
      </c>
      <c r="I14" s="184">
        <f>E14*G14</f>
        <v>20882.393048765298</v>
      </c>
    </row>
    <row r="15" spans="1:9" ht="15.75" thickTop="1">
      <c r="A15" s="186" t="s">
        <v>393</v>
      </c>
      <c r="B15" s="187"/>
      <c r="C15" s="188"/>
      <c r="D15" s="886"/>
      <c r="E15" s="887"/>
      <c r="F15" s="189">
        <f>SUM(F11:F14)</f>
        <v>91</v>
      </c>
      <c r="G15" s="189">
        <f>SUM(G11:G14)</f>
        <v>273</v>
      </c>
      <c r="H15" s="190">
        <f>SUM(H11:H14)</f>
        <v>15984.241313672101</v>
      </c>
      <c r="I15" s="190">
        <f>SUM(I11:I14)</f>
        <v>47952.723941016302</v>
      </c>
    </row>
    <row r="17" spans="2:9">
      <c r="B17" t="s">
        <v>394</v>
      </c>
      <c r="E17" s="191">
        <f>H17/12</f>
        <v>426.09027472723005</v>
      </c>
      <c r="H17" s="191">
        <f>H11</f>
        <v>5113.0832967267606</v>
      </c>
      <c r="I17" s="191">
        <f>I11</f>
        <v>15339.249890180281</v>
      </c>
    </row>
    <row r="19" spans="2:9">
      <c r="B19" t="s">
        <v>395</v>
      </c>
      <c r="E19" s="191">
        <f>H19/12</f>
        <v>905.92983474544508</v>
      </c>
      <c r="H19" s="191">
        <f>SUM(H12:H14)</f>
        <v>10871.158016945341</v>
      </c>
      <c r="I19" s="191">
        <f>SUM(I12:I14)</f>
        <v>32613.474050836019</v>
      </c>
    </row>
    <row r="34" ht="15" customHeight="1"/>
  </sheetData>
  <sheetProtection password="EBCE" sheet="1" objects="1" scenarios="1" selectLockedCells="1"/>
  <mergeCells count="2">
    <mergeCell ref="D15:E15"/>
    <mergeCell ref="A8:B8"/>
  </mergeCells>
  <pageMargins left="0.511811024" right="0.511811024" top="0.78740157499999996" bottom="0.78740157499999996" header="0.31496062000000002" footer="0.31496062000000002"/>
  <pageSetup paperSize="9" scale="98" orientation="portrait" r:id="rId1"/>
  <drawing r:id="rId2"/>
</worksheet>
</file>

<file path=xl/worksheets/sheet13.xml><?xml version="1.0" encoding="utf-8"?>
<worksheet xmlns="http://schemas.openxmlformats.org/spreadsheetml/2006/main" xmlns:r="http://schemas.openxmlformats.org/officeDocument/2006/relationships">
  <dimension ref="A2:N78"/>
  <sheetViews>
    <sheetView zoomScaleNormal="100" zoomScaleSheetLayoutView="100" workbookViewId="0">
      <selection activeCell="Q11" sqref="Q11"/>
    </sheetView>
  </sheetViews>
  <sheetFormatPr defaultRowHeight="15"/>
  <cols>
    <col min="1" max="1" width="20.5703125" customWidth="1"/>
    <col min="3" max="3" width="9.85546875" customWidth="1"/>
    <col min="5" max="5" width="12.85546875" customWidth="1"/>
    <col min="6" max="6" width="10.28515625" customWidth="1"/>
    <col min="8" max="8" width="13.42578125" customWidth="1"/>
    <col min="9" max="14" width="5.5703125" customWidth="1"/>
  </cols>
  <sheetData>
    <row r="2" spans="1:14">
      <c r="C2" s="115" t="s">
        <v>24</v>
      </c>
    </row>
    <row r="3" spans="1:14">
      <c r="C3" s="115" t="s">
        <v>25</v>
      </c>
    </row>
    <row r="4" spans="1:14">
      <c r="C4" s="115" t="s">
        <v>657</v>
      </c>
    </row>
    <row r="6" spans="1:14">
      <c r="C6" s="115" t="s">
        <v>658</v>
      </c>
    </row>
    <row r="8" spans="1:14" ht="15.75">
      <c r="A8" s="912" t="s">
        <v>396</v>
      </c>
      <c r="B8" s="912"/>
      <c r="C8" s="912"/>
      <c r="D8" s="912"/>
      <c r="E8" s="914" t="s">
        <v>397</v>
      </c>
      <c r="F8" s="914"/>
      <c r="G8" s="912" t="s">
        <v>398</v>
      </c>
      <c r="H8" s="912"/>
      <c r="I8" s="913" t="s">
        <v>399</v>
      </c>
      <c r="J8" s="913"/>
      <c r="K8" s="913"/>
      <c r="L8" s="913"/>
      <c r="M8" s="913"/>
      <c r="N8" s="913"/>
    </row>
    <row r="9" spans="1:14">
      <c r="A9" s="904" t="s">
        <v>12</v>
      </c>
      <c r="B9" s="897" t="s">
        <v>400</v>
      </c>
      <c r="C9" s="904" t="s">
        <v>401</v>
      </c>
      <c r="D9" s="904" t="s">
        <v>376</v>
      </c>
      <c r="E9" s="899" t="s">
        <v>402</v>
      </c>
      <c r="F9" s="899" t="s">
        <v>403</v>
      </c>
      <c r="G9" s="904" t="s">
        <v>250</v>
      </c>
      <c r="H9" s="897" t="s">
        <v>404</v>
      </c>
      <c r="I9" s="913" t="s">
        <v>405</v>
      </c>
      <c r="J9" s="913"/>
      <c r="K9" s="913" t="s">
        <v>406</v>
      </c>
      <c r="L9" s="913"/>
      <c r="M9" s="913" t="s">
        <v>407</v>
      </c>
      <c r="N9" s="913"/>
    </row>
    <row r="10" spans="1:14">
      <c r="A10" s="903"/>
      <c r="B10" s="903"/>
      <c r="C10" s="903"/>
      <c r="D10" s="903"/>
      <c r="E10" s="900"/>
      <c r="F10" s="900"/>
      <c r="G10" s="903"/>
      <c r="H10" s="898"/>
      <c r="I10" s="154" t="s">
        <v>408</v>
      </c>
      <c r="J10" s="154" t="s">
        <v>409</v>
      </c>
      <c r="K10" s="154" t="s">
        <v>408</v>
      </c>
      <c r="L10" s="154" t="s">
        <v>409</v>
      </c>
      <c r="M10" s="154" t="s">
        <v>408</v>
      </c>
      <c r="N10" s="154" t="s">
        <v>409</v>
      </c>
    </row>
    <row r="11" spans="1:14">
      <c r="A11" s="537" t="s">
        <v>410</v>
      </c>
      <c r="B11" s="915"/>
      <c r="C11" s="567">
        <v>4</v>
      </c>
      <c r="D11" s="901">
        <f>SUM(B11:C12)</f>
        <v>4</v>
      </c>
      <c r="E11" s="31" t="s">
        <v>405</v>
      </c>
      <c r="F11" s="31">
        <v>3</v>
      </c>
      <c r="G11" s="31">
        <f>D11*F11</f>
        <v>12</v>
      </c>
      <c r="H11" s="31">
        <f t="shared" ref="H11:H16" si="0">G11*3</f>
        <v>36</v>
      </c>
      <c r="I11" s="102">
        <v>12</v>
      </c>
      <c r="J11" s="102">
        <v>36</v>
      </c>
      <c r="K11" s="106"/>
      <c r="L11" s="107"/>
      <c r="M11" s="106"/>
      <c r="N11" s="106"/>
    </row>
    <row r="12" spans="1:14">
      <c r="A12" s="537"/>
      <c r="B12" s="915"/>
      <c r="C12" s="567"/>
      <c r="D12" s="902"/>
      <c r="E12" s="31" t="s">
        <v>406</v>
      </c>
      <c r="F12" s="31">
        <v>2</v>
      </c>
      <c r="G12" s="31">
        <f>D11*F12</f>
        <v>8</v>
      </c>
      <c r="H12" s="31">
        <f t="shared" si="0"/>
        <v>24</v>
      </c>
      <c r="I12" s="106"/>
      <c r="J12" s="106"/>
      <c r="K12" s="102">
        <v>8</v>
      </c>
      <c r="L12" s="102">
        <v>24</v>
      </c>
      <c r="M12" s="106"/>
      <c r="N12" s="106"/>
    </row>
    <row r="13" spans="1:14">
      <c r="A13" s="910" t="s">
        <v>411</v>
      </c>
      <c r="B13" s="915"/>
      <c r="C13" s="567">
        <v>1</v>
      </c>
      <c r="D13" s="901">
        <f>SUM(B13:C14)</f>
        <v>1</v>
      </c>
      <c r="E13" s="31" t="s">
        <v>405</v>
      </c>
      <c r="F13" s="31">
        <v>4</v>
      </c>
      <c r="G13" s="31">
        <f>D13*F13</f>
        <v>4</v>
      </c>
      <c r="H13" s="31">
        <f t="shared" si="0"/>
        <v>12</v>
      </c>
      <c r="I13" s="102">
        <v>4</v>
      </c>
      <c r="J13" s="102">
        <v>12</v>
      </c>
      <c r="K13" s="106"/>
      <c r="L13" s="107"/>
      <c r="M13" s="106"/>
      <c r="N13" s="106"/>
    </row>
    <row r="14" spans="1:14">
      <c r="A14" s="911"/>
      <c r="B14" s="915"/>
      <c r="C14" s="567"/>
      <c r="D14" s="902"/>
      <c r="E14" s="31" t="s">
        <v>406</v>
      </c>
      <c r="F14" s="31">
        <v>1</v>
      </c>
      <c r="G14" s="31">
        <f>D13*F14</f>
        <v>1</v>
      </c>
      <c r="H14" s="31">
        <f t="shared" si="0"/>
        <v>3</v>
      </c>
      <c r="I14" s="106"/>
      <c r="J14" s="106"/>
      <c r="K14" s="102">
        <v>1</v>
      </c>
      <c r="L14" s="102">
        <v>3</v>
      </c>
      <c r="M14" s="106"/>
      <c r="N14" s="106"/>
    </row>
    <row r="15" spans="1:14">
      <c r="A15" s="910" t="s">
        <v>412</v>
      </c>
      <c r="B15" s="901">
        <v>3</v>
      </c>
      <c r="C15" s="901">
        <v>5</v>
      </c>
      <c r="D15" s="901">
        <f>SUM(B15:C16)</f>
        <v>8</v>
      </c>
      <c r="E15" s="31" t="s">
        <v>405</v>
      </c>
      <c r="F15" s="31">
        <v>3</v>
      </c>
      <c r="G15" s="31">
        <f>D15*F15</f>
        <v>24</v>
      </c>
      <c r="H15" s="31">
        <f t="shared" si="0"/>
        <v>72</v>
      </c>
      <c r="I15" s="102">
        <v>15</v>
      </c>
      <c r="J15" s="102">
        <v>45</v>
      </c>
      <c r="K15" s="106"/>
      <c r="L15" s="107"/>
      <c r="M15" s="106"/>
      <c r="N15" s="106"/>
    </row>
    <row r="16" spans="1:14" ht="30">
      <c r="A16" s="911"/>
      <c r="B16" s="902"/>
      <c r="C16" s="902"/>
      <c r="D16" s="902"/>
      <c r="E16" s="75" t="s">
        <v>413</v>
      </c>
      <c r="F16" s="151">
        <v>3</v>
      </c>
      <c r="G16" s="151">
        <f>D15*F16</f>
        <v>24</v>
      </c>
      <c r="H16" s="151">
        <f t="shared" si="0"/>
        <v>72</v>
      </c>
      <c r="I16" s="106"/>
      <c r="J16" s="106"/>
      <c r="K16" s="106"/>
      <c r="L16" s="108"/>
      <c r="M16" s="102">
        <v>15</v>
      </c>
      <c r="N16" s="102">
        <v>45</v>
      </c>
    </row>
    <row r="17" spans="1:14">
      <c r="A17" s="99"/>
      <c r="B17" s="100"/>
      <c r="C17" s="100"/>
      <c r="D17" s="101"/>
      <c r="E17" s="905" t="s">
        <v>414</v>
      </c>
      <c r="F17" s="899"/>
      <c r="G17" s="152">
        <v>55</v>
      </c>
      <c r="H17" s="152">
        <v>165</v>
      </c>
      <c r="I17" s="154">
        <f t="shared" ref="I17:N17" si="1">SUM(I11:I16)</f>
        <v>31</v>
      </c>
      <c r="J17" s="126">
        <f t="shared" si="1"/>
        <v>93</v>
      </c>
      <c r="K17" s="154">
        <f t="shared" si="1"/>
        <v>9</v>
      </c>
      <c r="L17" s="124">
        <f t="shared" si="1"/>
        <v>27</v>
      </c>
      <c r="M17" s="154">
        <f t="shared" si="1"/>
        <v>15</v>
      </c>
      <c r="N17" s="124">
        <f t="shared" si="1"/>
        <v>45</v>
      </c>
    </row>
    <row r="18" spans="1:14">
      <c r="A18" s="90"/>
      <c r="B18" s="92"/>
      <c r="C18" s="92"/>
      <c r="D18" s="92"/>
      <c r="E18" s="94"/>
      <c r="F18" s="94"/>
      <c r="G18" s="94"/>
      <c r="H18" s="93"/>
      <c r="I18" s="96"/>
      <c r="J18" s="96"/>
      <c r="K18" s="96"/>
    </row>
    <row r="19" spans="1:14" ht="15.75">
      <c r="A19" s="927" t="s">
        <v>396</v>
      </c>
      <c r="B19" s="927"/>
      <c r="C19" s="927"/>
      <c r="D19" s="927"/>
      <c r="E19" s="927" t="s">
        <v>397</v>
      </c>
      <c r="F19" s="927"/>
      <c r="G19" s="927" t="s">
        <v>398</v>
      </c>
      <c r="H19" s="928"/>
      <c r="I19" s="916"/>
      <c r="J19" s="917"/>
      <c r="K19" s="917"/>
    </row>
    <row r="20" spans="1:14">
      <c r="A20" s="918" t="s">
        <v>415</v>
      </c>
      <c r="B20" s="919"/>
      <c r="C20" s="920"/>
      <c r="D20" s="908" t="s">
        <v>376</v>
      </c>
      <c r="E20" s="908" t="s">
        <v>402</v>
      </c>
      <c r="F20" s="908" t="s">
        <v>403</v>
      </c>
      <c r="G20" s="908" t="s">
        <v>250</v>
      </c>
      <c r="H20" s="929" t="s">
        <v>404</v>
      </c>
      <c r="I20" s="916"/>
      <c r="J20" s="917"/>
      <c r="K20" s="917"/>
    </row>
    <row r="21" spans="1:14">
      <c r="A21" s="921"/>
      <c r="B21" s="922"/>
      <c r="C21" s="923"/>
      <c r="D21" s="909"/>
      <c r="E21" s="909"/>
      <c r="F21" s="909"/>
      <c r="G21" s="909"/>
      <c r="H21" s="930"/>
      <c r="I21" s="155"/>
      <c r="J21" s="156"/>
      <c r="K21" s="156"/>
    </row>
    <row r="22" spans="1:14">
      <c r="A22" s="924" t="s">
        <v>416</v>
      </c>
      <c r="B22" s="925"/>
      <c r="C22" s="926"/>
      <c r="D22" s="31">
        <v>12</v>
      </c>
      <c r="E22" s="31" t="s">
        <v>417</v>
      </c>
      <c r="F22" s="31">
        <v>1</v>
      </c>
      <c r="G22" s="31">
        <f>D22*F22</f>
        <v>12</v>
      </c>
      <c r="H22" s="91">
        <f>G22*3</f>
        <v>36</v>
      </c>
      <c r="I22" s="98"/>
      <c r="J22" s="931" t="s">
        <v>655</v>
      </c>
      <c r="K22" s="931"/>
      <c r="L22" s="931"/>
      <c r="M22" s="931"/>
      <c r="N22" s="931"/>
    </row>
    <row r="23" spans="1:14">
      <c r="A23" s="891" t="s">
        <v>418</v>
      </c>
      <c r="B23" s="892"/>
      <c r="C23" s="893"/>
      <c r="D23" s="31">
        <v>6</v>
      </c>
      <c r="E23" s="31" t="s">
        <v>417</v>
      </c>
      <c r="F23" s="31">
        <v>1</v>
      </c>
      <c r="G23" s="31">
        <f>D23*F23</f>
        <v>6</v>
      </c>
      <c r="H23" s="91">
        <f>G23*3</f>
        <v>18</v>
      </c>
      <c r="I23" s="98"/>
      <c r="J23" s="931"/>
      <c r="K23" s="931"/>
      <c r="L23" s="931"/>
      <c r="M23" s="931"/>
      <c r="N23" s="931"/>
    </row>
    <row r="24" spans="1:14">
      <c r="A24" s="891" t="s">
        <v>419</v>
      </c>
      <c r="B24" s="892"/>
      <c r="C24" s="893"/>
      <c r="D24" s="31">
        <v>6</v>
      </c>
      <c r="E24" s="31" t="s">
        <v>417</v>
      </c>
      <c r="F24" s="31">
        <v>1</v>
      </c>
      <c r="G24" s="31">
        <f>D24*F24</f>
        <v>6</v>
      </c>
      <c r="H24" s="91">
        <f>G24*3</f>
        <v>18</v>
      </c>
      <c r="I24" s="98"/>
      <c r="J24" s="931"/>
      <c r="K24" s="931"/>
      <c r="L24" s="931"/>
      <c r="M24" s="931"/>
      <c r="N24" s="931"/>
    </row>
    <row r="25" spans="1:14">
      <c r="A25" s="891" t="s">
        <v>420</v>
      </c>
      <c r="B25" s="892"/>
      <c r="C25" s="893"/>
      <c r="D25" s="89">
        <v>12</v>
      </c>
      <c r="E25" s="31" t="s">
        <v>417</v>
      </c>
      <c r="F25" s="31">
        <v>1</v>
      </c>
      <c r="G25" s="31">
        <f>D25*F25</f>
        <v>12</v>
      </c>
      <c r="H25" s="91">
        <f>G25*3</f>
        <v>36</v>
      </c>
      <c r="I25" s="98"/>
      <c r="J25" s="96"/>
      <c r="K25" s="96"/>
    </row>
    <row r="26" spans="1:14" ht="15.75">
      <c r="A26" s="103"/>
      <c r="B26" s="104"/>
      <c r="C26" s="104"/>
      <c r="D26" s="105"/>
      <c r="E26" s="906" t="s">
        <v>421</v>
      </c>
      <c r="F26" s="907"/>
      <c r="G26" s="153">
        <f>SUM(G22:G25)</f>
        <v>36</v>
      </c>
      <c r="H26" s="125">
        <f>SUM(H22:H25)</f>
        <v>108</v>
      </c>
      <c r="I26" s="98"/>
      <c r="J26" s="890" t="s">
        <v>405</v>
      </c>
      <c r="K26" s="890"/>
      <c r="L26" s="890"/>
      <c r="M26" s="890"/>
      <c r="N26" s="127">
        <f>J17</f>
        <v>93</v>
      </c>
    </row>
    <row r="27" spans="1:14" ht="15.75">
      <c r="A27" s="90"/>
      <c r="B27" s="92"/>
      <c r="C27" s="92"/>
      <c r="D27" s="92"/>
      <c r="E27" s="94"/>
      <c r="F27" s="94"/>
      <c r="G27" s="94"/>
      <c r="H27" s="93"/>
      <c r="I27" s="95"/>
      <c r="J27" s="121"/>
      <c r="K27" s="121"/>
      <c r="L27" s="121"/>
      <c r="M27" s="121"/>
      <c r="N27" s="122"/>
    </row>
    <row r="28" spans="1:14" ht="15.75">
      <c r="A28" s="894" t="s">
        <v>422</v>
      </c>
      <c r="B28" s="895"/>
      <c r="C28" s="895"/>
      <c r="D28" s="895"/>
      <c r="E28" s="895"/>
      <c r="F28" s="896"/>
      <c r="G28" s="109">
        <f>SUM(G17,G26)</f>
        <v>91</v>
      </c>
      <c r="H28" s="109">
        <f>SUM(H17,H26)</f>
        <v>273</v>
      </c>
      <c r="I28" s="97"/>
      <c r="J28" s="890" t="s">
        <v>656</v>
      </c>
      <c r="K28" s="890"/>
      <c r="L28" s="890"/>
      <c r="M28" s="890"/>
      <c r="N28" s="123">
        <f>H28-N26</f>
        <v>180</v>
      </c>
    </row>
    <row r="78" ht="15" customHeight="1"/>
  </sheetData>
  <sheetProtection password="EBCE" sheet="1" objects="1" scenarios="1" selectLockedCells="1"/>
  <mergeCells count="47">
    <mergeCell ref="I19:K20"/>
    <mergeCell ref="A20:C21"/>
    <mergeCell ref="A22:C22"/>
    <mergeCell ref="E19:F19"/>
    <mergeCell ref="G19:H19"/>
    <mergeCell ref="F20:F21"/>
    <mergeCell ref="G20:G21"/>
    <mergeCell ref="H20:H21"/>
    <mergeCell ref="A19:D19"/>
    <mergeCell ref="J22:N24"/>
    <mergeCell ref="A8:D8"/>
    <mergeCell ref="A15:A16"/>
    <mergeCell ref="B15:B16"/>
    <mergeCell ref="A23:C23"/>
    <mergeCell ref="I8:N8"/>
    <mergeCell ref="I9:J9"/>
    <mergeCell ref="K9:L9"/>
    <mergeCell ref="M9:N9"/>
    <mergeCell ref="A11:A12"/>
    <mergeCell ref="E8:F8"/>
    <mergeCell ref="G8:H8"/>
    <mergeCell ref="D9:D10"/>
    <mergeCell ref="F9:F10"/>
    <mergeCell ref="G9:G10"/>
    <mergeCell ref="B11:B12"/>
    <mergeCell ref="B13:B14"/>
    <mergeCell ref="E17:F17"/>
    <mergeCell ref="E26:F26"/>
    <mergeCell ref="A9:A10"/>
    <mergeCell ref="D20:D21"/>
    <mergeCell ref="E20:E21"/>
    <mergeCell ref="A13:A14"/>
    <mergeCell ref="C11:C12"/>
    <mergeCell ref="C13:C14"/>
    <mergeCell ref="D11:D12"/>
    <mergeCell ref="D13:D14"/>
    <mergeCell ref="H9:H10"/>
    <mergeCell ref="E9:E10"/>
    <mergeCell ref="C15:C16"/>
    <mergeCell ref="D15:D16"/>
    <mergeCell ref="B9:B10"/>
    <mergeCell ref="C9:C10"/>
    <mergeCell ref="J26:M26"/>
    <mergeCell ref="J28:M28"/>
    <mergeCell ref="A24:C24"/>
    <mergeCell ref="A25:C25"/>
    <mergeCell ref="A28:F28"/>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theme="0"/>
    <pageSetUpPr fitToPage="1"/>
  </sheetPr>
  <dimension ref="A1:AJ32"/>
  <sheetViews>
    <sheetView showGridLines="0" zoomScaleNormal="100" zoomScaleSheetLayoutView="90" workbookViewId="0">
      <selection activeCell="B11" sqref="B11:B12"/>
    </sheetView>
  </sheetViews>
  <sheetFormatPr defaultColWidth="9.140625" defaultRowHeight="12.75"/>
  <cols>
    <col min="1" max="1" width="32.140625" style="6" customWidth="1"/>
    <col min="2" max="2" width="73" style="6" customWidth="1"/>
    <col min="3" max="16384" width="9.140625" style="5"/>
  </cols>
  <sheetData>
    <row r="1" spans="1:6" ht="15.6" customHeight="1">
      <c r="A1" s="434"/>
      <c r="B1" s="434"/>
      <c r="C1" s="1"/>
      <c r="D1" s="1"/>
      <c r="E1" s="1"/>
      <c r="F1" s="1"/>
    </row>
    <row r="2" spans="1:6" ht="15.6" customHeight="1">
      <c r="A2" s="433" t="s">
        <v>24</v>
      </c>
      <c r="B2" s="433"/>
      <c r="C2" s="3"/>
      <c r="D2" s="3"/>
      <c r="E2" s="3"/>
      <c r="F2" s="3"/>
    </row>
    <row r="3" spans="1:6" ht="15.6" customHeight="1">
      <c r="A3" s="433" t="s">
        <v>25</v>
      </c>
      <c r="B3" s="433"/>
      <c r="C3" s="3"/>
      <c r="D3" s="3"/>
      <c r="E3" s="3"/>
      <c r="F3" s="3"/>
    </row>
    <row r="4" spans="1:6" ht="15.6" customHeight="1">
      <c r="A4" s="433" t="s">
        <v>657</v>
      </c>
      <c r="B4" s="433"/>
      <c r="C4" s="3"/>
      <c r="D4" s="3"/>
      <c r="E4" s="3"/>
      <c r="F4" s="3"/>
    </row>
    <row r="5" spans="1:6" ht="15.6" customHeight="1">
      <c r="A5"/>
      <c r="C5" s="2"/>
      <c r="D5" s="2"/>
      <c r="E5" s="2"/>
      <c r="F5" s="2"/>
    </row>
    <row r="6" spans="1:6" ht="15.6" customHeight="1"/>
    <row r="7" spans="1:6">
      <c r="A7" s="439" t="s">
        <v>26</v>
      </c>
      <c r="B7" s="437" t="s">
        <v>663</v>
      </c>
    </row>
    <row r="8" spans="1:6">
      <c r="A8" s="440"/>
      <c r="B8" s="438"/>
    </row>
    <row r="9" spans="1:6" ht="66" customHeight="1">
      <c r="A9" s="431" t="s">
        <v>27</v>
      </c>
      <c r="B9" s="435" t="s">
        <v>708</v>
      </c>
    </row>
    <row r="10" spans="1:6">
      <c r="A10" s="432"/>
      <c r="B10" s="436"/>
    </row>
    <row r="11" spans="1:6">
      <c r="A11" s="431" t="s">
        <v>28</v>
      </c>
      <c r="B11" s="441" t="s">
        <v>29</v>
      </c>
    </row>
    <row r="12" spans="1:6">
      <c r="A12" s="432"/>
      <c r="B12" s="442"/>
    </row>
    <row r="13" spans="1:6">
      <c r="A13" s="431" t="s">
        <v>30</v>
      </c>
      <c r="B13" s="429" t="s">
        <v>31</v>
      </c>
    </row>
    <row r="14" spans="1:6">
      <c r="A14" s="432"/>
      <c r="B14" s="430"/>
    </row>
    <row r="15" spans="1:6">
      <c r="A15" s="431" t="s">
        <v>32</v>
      </c>
      <c r="B15" s="429" t="s">
        <v>33</v>
      </c>
    </row>
    <row r="16" spans="1:6">
      <c r="A16" s="432"/>
      <c r="B16" s="430"/>
    </row>
    <row r="17" spans="1:36">
      <c r="A17" s="431" t="s">
        <v>34</v>
      </c>
      <c r="B17" s="429">
        <v>36</v>
      </c>
    </row>
    <row r="18" spans="1:36">
      <c r="A18" s="432"/>
      <c r="B18" s="430"/>
    </row>
    <row r="19" spans="1:36" ht="66" customHeight="1">
      <c r="A19" s="431" t="s">
        <v>35</v>
      </c>
      <c r="B19" s="435" t="s">
        <v>36</v>
      </c>
    </row>
    <row r="20" spans="1:36">
      <c r="A20" s="432"/>
      <c r="B20" s="436"/>
    </row>
    <row r="21" spans="1:36">
      <c r="A21" s="431" t="s">
        <v>37</v>
      </c>
      <c r="B21" s="429"/>
    </row>
    <row r="22" spans="1:36">
      <c r="A22" s="432"/>
      <c r="B22" s="430"/>
    </row>
    <row r="25" spans="1:36">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row>
    <row r="26" spans="1:36">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row>
    <row r="27" spans="1:36">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row>
    <row r="28" spans="1:36">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1:36">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0" spans="1:36">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1:36">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row>
    <row r="32" spans="1:36">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row>
  </sheetData>
  <mergeCells count="20">
    <mergeCell ref="A1:B1"/>
    <mergeCell ref="B19:B20"/>
    <mergeCell ref="B21:B22"/>
    <mergeCell ref="B7:B8"/>
    <mergeCell ref="A7:A8"/>
    <mergeCell ref="A4:B4"/>
    <mergeCell ref="A9:A10"/>
    <mergeCell ref="A17:A18"/>
    <mergeCell ref="A19:A20"/>
    <mergeCell ref="A21:A22"/>
    <mergeCell ref="B15:B16"/>
    <mergeCell ref="B9:B10"/>
    <mergeCell ref="A11:A12"/>
    <mergeCell ref="B11:B12"/>
    <mergeCell ref="A13:A14"/>
    <mergeCell ref="B13:B14"/>
    <mergeCell ref="A15:A16"/>
    <mergeCell ref="B17:B18"/>
    <mergeCell ref="A3:B3"/>
    <mergeCell ref="A2:B2"/>
  </mergeCells>
  <pageMargins left="0.51181102362204722" right="0.51181102362204722" top="0.78740157480314965" bottom="0.78740157480314965"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sheetPr>
    <tabColor rgb="FFFFFF00"/>
  </sheetPr>
  <dimension ref="A1:O78"/>
  <sheetViews>
    <sheetView showGridLines="0" topLeftCell="A60" zoomScale="90" zoomScaleNormal="90" zoomScaleSheetLayoutView="80" workbookViewId="0">
      <selection activeCell="F23" sqref="F23"/>
    </sheetView>
  </sheetViews>
  <sheetFormatPr defaultColWidth="9.140625" defaultRowHeight="12.75"/>
  <cols>
    <col min="1" max="1" width="9.140625" style="5"/>
    <col min="2" max="2" width="9.140625" style="34"/>
    <col min="3" max="3" width="14.85546875" style="34" customWidth="1"/>
    <col min="4" max="4" width="70" style="5" customWidth="1"/>
    <col min="5" max="5" width="9.140625" style="5"/>
    <col min="6" max="6" width="40" style="6" customWidth="1"/>
    <col min="7" max="7" width="24.140625" style="6" customWidth="1"/>
    <col min="8" max="8" width="26.5703125" style="5" customWidth="1"/>
    <col min="9" max="9" width="29.85546875" style="5" customWidth="1"/>
    <col min="10" max="11" width="14.140625" style="5" customWidth="1"/>
    <col min="12" max="12" width="9.140625" style="5"/>
    <col min="13" max="14" width="19.42578125" style="5" bestFit="1" customWidth="1"/>
    <col min="15" max="16384" width="9.140625" style="5"/>
  </cols>
  <sheetData>
    <row r="1" spans="1:15">
      <c r="F1" s="434"/>
      <c r="G1" s="434"/>
      <c r="H1" s="434"/>
      <c r="I1" s="434"/>
      <c r="J1" s="1"/>
      <c r="K1" s="1"/>
    </row>
    <row r="2" spans="1:15" ht="15" customHeight="1">
      <c r="A2" s="477" t="s">
        <v>24</v>
      </c>
      <c r="B2" s="477"/>
      <c r="C2" s="477"/>
      <c r="D2" s="477"/>
      <c r="E2" s="477"/>
      <c r="F2" s="477"/>
      <c r="G2" s="477"/>
      <c r="H2" s="477"/>
      <c r="I2" s="477"/>
      <c r="J2" s="3"/>
      <c r="K2" s="3"/>
    </row>
    <row r="3" spans="1:15" ht="15" customHeight="1">
      <c r="A3" s="477" t="s">
        <v>25</v>
      </c>
      <c r="B3" s="477"/>
      <c r="C3" s="477"/>
      <c r="D3" s="477"/>
      <c r="E3" s="477"/>
      <c r="F3" s="477"/>
      <c r="G3" s="477"/>
      <c r="H3" s="477"/>
      <c r="I3" s="477"/>
      <c r="J3" s="3"/>
      <c r="K3" s="3"/>
    </row>
    <row r="4" spans="1:15" ht="15" customHeight="1">
      <c r="A4" s="477" t="s">
        <v>657</v>
      </c>
      <c r="B4" s="477"/>
      <c r="C4" s="477"/>
      <c r="D4" s="477"/>
      <c r="E4" s="477"/>
      <c r="F4" s="477"/>
      <c r="G4" s="477"/>
      <c r="H4" s="477"/>
      <c r="I4" s="477"/>
      <c r="J4" s="3"/>
      <c r="K4" s="3"/>
    </row>
    <row r="5" spans="1:15" ht="15" customHeight="1">
      <c r="J5" s="2"/>
      <c r="K5" s="2"/>
    </row>
    <row r="6" spans="1:15">
      <c r="F6" s="7"/>
      <c r="G6" s="7"/>
      <c r="H6" s="2"/>
      <c r="I6" s="2"/>
      <c r="J6" s="2"/>
      <c r="K6" s="2"/>
    </row>
    <row r="7" spans="1:15" ht="23.25" customHeight="1">
      <c r="A7" s="478" t="s">
        <v>38</v>
      </c>
      <c r="B7" s="478"/>
      <c r="C7" s="478"/>
      <c r="D7" s="478"/>
      <c r="E7" s="478"/>
      <c r="F7" s="478"/>
      <c r="G7" s="478"/>
      <c r="H7" s="478"/>
      <c r="I7" s="478"/>
      <c r="J7" s="2"/>
      <c r="K7" s="2"/>
    </row>
    <row r="8" spans="1:15" ht="19.5" customHeight="1"/>
    <row r="9" spans="1:15" ht="15" customHeight="1">
      <c r="A9" s="479" t="s">
        <v>26</v>
      </c>
      <c r="B9" s="480"/>
      <c r="C9" s="480"/>
      <c r="D9" s="480"/>
      <c r="E9" s="480"/>
      <c r="F9" s="481"/>
      <c r="G9" s="485" t="str">
        <f>'Capa Planilha de Custos'!$B$7</f>
        <v>0004127-75.2024.4.05.7400</v>
      </c>
      <c r="H9" s="486"/>
      <c r="I9" s="487"/>
    </row>
    <row r="10" spans="1:15">
      <c r="A10" s="482"/>
      <c r="B10" s="483"/>
      <c r="C10" s="483"/>
      <c r="D10" s="483"/>
      <c r="E10" s="483"/>
      <c r="F10" s="484"/>
      <c r="G10" s="488"/>
      <c r="H10" s="489"/>
      <c r="I10" s="490"/>
    </row>
    <row r="11" spans="1:15" ht="42" customHeight="1">
      <c r="A11" s="502" t="s">
        <v>709</v>
      </c>
      <c r="B11" s="503"/>
      <c r="C11" s="503"/>
      <c r="D11" s="503"/>
      <c r="E11" s="503"/>
      <c r="F11" s="504"/>
      <c r="G11" s="494" t="str">
        <f>'Capa Planilha de Custos'!B19</f>
        <v>CONVENÇÕES COLETIVAS DE TRABALHO 2025/2025:
PB000113/2025 - SINDICATO DAS EMPRESAS DE ASSEIO E CONSERVAÇÃO DO ESTADO DA PARAÍBA SEAC-PB;
PB000092/2025 - SINDICATO DOS TRABALHADORES NAS EMPEMPRESAS PRESTADORAS DE SERVIÇOS EM CAMPINA GRANDE-PB</v>
      </c>
      <c r="H11" s="495"/>
      <c r="I11" s="496"/>
      <c r="O11"/>
    </row>
    <row r="12" spans="1:15" ht="34.5" customHeight="1">
      <c r="A12" s="505"/>
      <c r="B12" s="506"/>
      <c r="C12" s="506"/>
      <c r="D12" s="506"/>
      <c r="E12" s="506"/>
      <c r="F12" s="507"/>
      <c r="G12" s="497"/>
      <c r="H12" s="498"/>
      <c r="I12" s="499"/>
    </row>
    <row r="13" spans="1:15" ht="27.6" customHeight="1">
      <c r="A13" s="500" t="s">
        <v>39</v>
      </c>
      <c r="B13" s="500"/>
      <c r="C13" s="500"/>
      <c r="D13" s="500"/>
      <c r="E13" s="500"/>
      <c r="F13" s="500"/>
      <c r="G13" s="501">
        <f>'Capa Planilha de Custos'!B17</f>
        <v>36</v>
      </c>
      <c r="H13" s="501"/>
      <c r="I13" s="501"/>
    </row>
    <row r="14" spans="1:15" ht="18.75" customHeight="1">
      <c r="F14" s="4"/>
    </row>
    <row r="15" spans="1:15" ht="24" customHeight="1">
      <c r="A15" s="469" t="s">
        <v>40</v>
      </c>
      <c r="B15" s="463" t="s">
        <v>41</v>
      </c>
      <c r="C15" s="467" t="s">
        <v>42</v>
      </c>
      <c r="D15" s="469" t="s">
        <v>43</v>
      </c>
      <c r="E15" s="469"/>
      <c r="F15" s="469"/>
      <c r="G15" s="461" t="s">
        <v>44</v>
      </c>
      <c r="H15" s="462"/>
      <c r="I15" s="463"/>
    </row>
    <row r="16" spans="1:15" ht="24" customHeight="1">
      <c r="A16" s="469"/>
      <c r="B16" s="463"/>
      <c r="C16" s="468"/>
      <c r="D16" s="144" t="s">
        <v>45</v>
      </c>
      <c r="E16" s="144" t="s">
        <v>46</v>
      </c>
      <c r="F16" s="144" t="s">
        <v>47</v>
      </c>
      <c r="G16" s="144" t="s">
        <v>48</v>
      </c>
      <c r="H16" s="144" t="s">
        <v>49</v>
      </c>
      <c r="I16" s="144" t="s">
        <v>50</v>
      </c>
    </row>
    <row r="17" spans="1:14" ht="24" customHeight="1">
      <c r="A17" s="509">
        <v>1</v>
      </c>
      <c r="B17" s="460" t="s">
        <v>51</v>
      </c>
      <c r="C17" s="460"/>
      <c r="D17" s="460"/>
      <c r="E17" s="460"/>
      <c r="F17" s="460"/>
      <c r="G17" s="142"/>
      <c r="H17" s="142"/>
      <c r="I17" s="148"/>
    </row>
    <row r="18" spans="1:14" ht="24" customHeight="1">
      <c r="A18" s="510"/>
      <c r="B18" s="459">
        <v>1</v>
      </c>
      <c r="C18" s="475" t="s">
        <v>51</v>
      </c>
      <c r="D18" s="471" t="s">
        <v>52</v>
      </c>
      <c r="E18" s="44">
        <f>'Valor Mão de Obra'!F22</f>
        <v>1</v>
      </c>
      <c r="F18" s="132" t="s">
        <v>674</v>
      </c>
      <c r="G18" s="20">
        <f>'Valor Mão de Obra'!F158</f>
        <v>5118.5291909589314</v>
      </c>
      <c r="H18" s="20">
        <f>G18*12</f>
        <v>61422.350291507173</v>
      </c>
      <c r="I18" s="20">
        <f>G18*$G$13</f>
        <v>184267.05087452152</v>
      </c>
    </row>
    <row r="19" spans="1:14" ht="24" customHeight="1">
      <c r="A19" s="510"/>
      <c r="B19" s="459"/>
      <c r="C19" s="475"/>
      <c r="D19" s="473"/>
      <c r="E19" s="44">
        <f>'Valor Mão de Obra'!G22</f>
        <v>11</v>
      </c>
      <c r="F19" s="132" t="s">
        <v>53</v>
      </c>
      <c r="G19" s="20">
        <f>'Valor Mão de Obra'!G158</f>
        <v>49893.796685801455</v>
      </c>
      <c r="H19" s="20">
        <f>G19*12</f>
        <v>598725.5602296174</v>
      </c>
      <c r="I19" s="20">
        <f>G19*$G$13</f>
        <v>1796176.6806888524</v>
      </c>
    </row>
    <row r="20" spans="1:14" ht="24" customHeight="1">
      <c r="A20" s="510"/>
      <c r="B20" s="459"/>
      <c r="C20" s="475"/>
      <c r="D20" s="474"/>
      <c r="E20" s="44">
        <f>'Valor Mão de Obra'!H22</f>
        <v>2</v>
      </c>
      <c r="F20" s="132" t="s">
        <v>675</v>
      </c>
      <c r="G20" s="20">
        <f>'Valor Mão de Obra'!H158</f>
        <v>10405.367463000377</v>
      </c>
      <c r="H20" s="20">
        <f>G20*12</f>
        <v>124864.40955600452</v>
      </c>
      <c r="I20" s="20">
        <f>G20*$G$13</f>
        <v>374593.22866801359</v>
      </c>
    </row>
    <row r="21" spans="1:14" s="34" customFormat="1" ht="24" customHeight="1">
      <c r="A21" s="510"/>
      <c r="B21" s="450"/>
      <c r="C21" s="476"/>
      <c r="D21" s="149" t="s">
        <v>54</v>
      </c>
      <c r="E21" s="88">
        <f>SUM(E18:E20)</f>
        <v>14</v>
      </c>
      <c r="F21" s="133"/>
      <c r="G21" s="46">
        <f>SUM(G18:G20)</f>
        <v>65417.693339760765</v>
      </c>
      <c r="H21" s="46">
        <f>SUM(H18:H20)</f>
        <v>785012.32007712917</v>
      </c>
      <c r="I21" s="46">
        <f>SUM(I18:I20)</f>
        <v>2355036.9602313875</v>
      </c>
      <c r="M21" s="64"/>
      <c r="N21" s="64"/>
    </row>
    <row r="22" spans="1:14" ht="24" customHeight="1">
      <c r="A22" s="510"/>
      <c r="B22" s="445">
        <v>2</v>
      </c>
      <c r="C22" s="491" t="s">
        <v>51</v>
      </c>
      <c r="D22" s="464" t="s">
        <v>55</v>
      </c>
      <c r="E22" s="45">
        <f>'Valor Mão de Obra'!I22</f>
        <v>1</v>
      </c>
      <c r="F22" s="134" t="s">
        <v>676</v>
      </c>
      <c r="G22" s="28">
        <f>'Valor Mão de Obra'!I158</f>
        <v>5317.27600778746</v>
      </c>
      <c r="H22" s="28">
        <f>G22*12</f>
        <v>63807.312093449524</v>
      </c>
      <c r="I22" s="28">
        <f>G22*$G$13</f>
        <v>191421.93628034857</v>
      </c>
    </row>
    <row r="23" spans="1:14" ht="24" customHeight="1">
      <c r="A23" s="510"/>
      <c r="B23" s="451"/>
      <c r="C23" s="492"/>
      <c r="D23" s="465"/>
      <c r="E23" s="45">
        <f>'Valor Mão de Obra'!J22</f>
        <v>1</v>
      </c>
      <c r="F23" s="134" t="s">
        <v>56</v>
      </c>
      <c r="G23" s="28">
        <f>'Valor Mão de Obra'!J158</f>
        <v>4642.1635573850499</v>
      </c>
      <c r="H23" s="28">
        <f>G23*12</f>
        <v>55705.962688620595</v>
      </c>
      <c r="I23" s="28">
        <f>G23*$G$13</f>
        <v>167117.8880658618</v>
      </c>
    </row>
    <row r="24" spans="1:14" ht="24" customHeight="1">
      <c r="A24" s="510"/>
      <c r="B24" s="451"/>
      <c r="C24" s="492"/>
      <c r="D24" s="465"/>
      <c r="E24" s="45">
        <f>'Valor Mão de Obra'!K22</f>
        <v>5</v>
      </c>
      <c r="F24" s="134" t="s">
        <v>57</v>
      </c>
      <c r="G24" s="28">
        <f>'Valor Mão de Obra'!K158</f>
        <v>21943.285391672194</v>
      </c>
      <c r="H24" s="28">
        <f>G24*12</f>
        <v>263319.42470006633</v>
      </c>
      <c r="I24" s="28">
        <f>G24*$G$13</f>
        <v>789958.27410019899</v>
      </c>
    </row>
    <row r="25" spans="1:14" ht="24" customHeight="1">
      <c r="A25" s="510"/>
      <c r="B25" s="451"/>
      <c r="C25" s="492"/>
      <c r="D25" s="465"/>
      <c r="E25" s="45">
        <f>'Valor Mão de Obra'!L22</f>
        <v>4</v>
      </c>
      <c r="F25" s="134" t="s">
        <v>677</v>
      </c>
      <c r="G25" s="28">
        <f>'Valor Mão de Obra'!L158</f>
        <v>21662.275895569914</v>
      </c>
      <c r="H25" s="28">
        <f>G25*12</f>
        <v>259947.31074683898</v>
      </c>
      <c r="I25" s="28">
        <f>G25*$G$13</f>
        <v>779841.93224051688</v>
      </c>
    </row>
    <row r="26" spans="1:14" ht="24" customHeight="1">
      <c r="A26" s="510"/>
      <c r="B26" s="451"/>
      <c r="C26" s="492"/>
      <c r="D26" s="508"/>
      <c r="E26" s="45">
        <f>'Valor Mão de Obra'!E22</f>
        <v>1</v>
      </c>
      <c r="F26" s="134" t="s">
        <v>678</v>
      </c>
      <c r="G26" s="28">
        <f>'Valor Mão de Obra'!E158</f>
        <v>6725.7532702635863</v>
      </c>
      <c r="H26" s="28">
        <f>G26*12</f>
        <v>80709.039243163032</v>
      </c>
      <c r="I26" s="28">
        <f>G26*$G$13</f>
        <v>242127.11772948911</v>
      </c>
    </row>
    <row r="27" spans="1:14" s="34" customFormat="1" ht="24" customHeight="1">
      <c r="A27" s="510"/>
      <c r="B27" s="446"/>
      <c r="C27" s="493"/>
      <c r="D27" s="141" t="s">
        <v>58</v>
      </c>
      <c r="E27" s="110">
        <f>SUM(E22:E26)</f>
        <v>12</v>
      </c>
      <c r="F27" s="141"/>
      <c r="G27" s="47">
        <f>SUM(G22:G26)</f>
        <v>60290.754122678205</v>
      </c>
      <c r="H27" s="47">
        <f>SUM(H22:H26)</f>
        <v>723489.04947213852</v>
      </c>
      <c r="I27" s="47">
        <f>SUM(I22:I26)</f>
        <v>2170467.1484164153</v>
      </c>
    </row>
    <row r="28" spans="1:14" s="41" customFormat="1" ht="24" customHeight="1">
      <c r="A28" s="510"/>
      <c r="B28" s="443" t="s">
        <v>59</v>
      </c>
      <c r="C28" s="443"/>
      <c r="D28" s="444"/>
      <c r="E28" s="39">
        <f>SUM(E27,E21)</f>
        <v>26</v>
      </c>
      <c r="F28" s="149"/>
      <c r="G28" s="46">
        <f>SUM(G27,G21)</f>
        <v>125708.44746243897</v>
      </c>
      <c r="H28" s="50">
        <f>SUM(H27,H21)</f>
        <v>1508501.3695492677</v>
      </c>
      <c r="I28" s="50">
        <f>SUM(I27,I21)</f>
        <v>4525504.1086478028</v>
      </c>
      <c r="M28" s="64"/>
      <c r="N28" s="64"/>
    </row>
    <row r="29" spans="1:14" s="41" customFormat="1" ht="24" customHeight="1">
      <c r="A29" s="510"/>
      <c r="B29" s="460" t="s">
        <v>60</v>
      </c>
      <c r="C29" s="460"/>
      <c r="D29" s="460"/>
      <c r="E29" s="460"/>
      <c r="F29" s="460"/>
      <c r="G29" s="142"/>
      <c r="H29" s="142"/>
      <c r="I29" s="148"/>
    </row>
    <row r="30" spans="1:14" ht="63.75" customHeight="1">
      <c r="A30" s="510"/>
      <c r="B30" s="449">
        <v>3</v>
      </c>
      <c r="C30" s="447" t="s">
        <v>60</v>
      </c>
      <c r="D30" s="145" t="s">
        <v>673</v>
      </c>
      <c r="E30" s="44">
        <f>'Valor Mão de Obra'!T22</f>
        <v>1</v>
      </c>
      <c r="F30" s="132" t="s">
        <v>61</v>
      </c>
      <c r="G30" s="52">
        <f>'Valor Mão de Obra'!T158</f>
        <v>5032.5775622031988</v>
      </c>
      <c r="H30" s="52">
        <f>G30*12</f>
        <v>60390.930746438389</v>
      </c>
      <c r="I30" s="53">
        <f>G30*$G$13</f>
        <v>181172.79223931517</v>
      </c>
    </row>
    <row r="31" spans="1:14" s="34" customFormat="1" ht="27" customHeight="1">
      <c r="A31" s="510"/>
      <c r="B31" s="450"/>
      <c r="C31" s="448"/>
      <c r="D31" s="149" t="s">
        <v>54</v>
      </c>
      <c r="E31" s="88">
        <f>SUM(E30)</f>
        <v>1</v>
      </c>
      <c r="F31" s="133"/>
      <c r="G31" s="46">
        <f>SUM(G30)</f>
        <v>5032.5775622031988</v>
      </c>
      <c r="H31" s="43">
        <f>SUM(H30)</f>
        <v>60390.930746438389</v>
      </c>
      <c r="I31" s="43">
        <f>SUM(I30)</f>
        <v>181172.79223931517</v>
      </c>
      <c r="M31" s="64"/>
      <c r="N31" s="64"/>
    </row>
    <row r="32" spans="1:14" s="34" customFormat="1" ht="27" customHeight="1">
      <c r="A32" s="510"/>
      <c r="B32" s="491">
        <v>4</v>
      </c>
      <c r="C32" s="452" t="s">
        <v>60</v>
      </c>
      <c r="D32" s="464" t="s">
        <v>710</v>
      </c>
      <c r="E32" s="110">
        <f>'Valor Mão de Obra'!S22</f>
        <v>1</v>
      </c>
      <c r="F32" s="135" t="s">
        <v>679</v>
      </c>
      <c r="G32" s="111">
        <f>'Valor Mão de Obra'!S158</f>
        <v>2848.3863833295627</v>
      </c>
      <c r="H32" s="27">
        <f>G32*12</f>
        <v>34180.636599954756</v>
      </c>
      <c r="I32" s="28">
        <f>G32*$G$13</f>
        <v>102541.90979986425</v>
      </c>
      <c r="M32" s="64"/>
      <c r="N32" s="64"/>
    </row>
    <row r="33" spans="1:14" ht="51" customHeight="1">
      <c r="A33" s="510"/>
      <c r="B33" s="492"/>
      <c r="C33" s="457"/>
      <c r="D33" s="508"/>
      <c r="E33" s="110">
        <f>'Valor Mão de Obra'!U22</f>
        <v>1</v>
      </c>
      <c r="F33" s="136" t="s">
        <v>680</v>
      </c>
      <c r="G33" s="27">
        <f>'Valor Mão de Obra'!U158</f>
        <v>5921.4642274616108</v>
      </c>
      <c r="H33" s="27">
        <f>G33*12</f>
        <v>71057.570729539322</v>
      </c>
      <c r="I33" s="28">
        <f>G33*$G$13</f>
        <v>213172.712188618</v>
      </c>
    </row>
    <row r="34" spans="1:14" s="34" customFormat="1" ht="24" customHeight="1">
      <c r="A34" s="510"/>
      <c r="B34" s="493"/>
      <c r="C34" s="453"/>
      <c r="D34" s="141" t="s">
        <v>58</v>
      </c>
      <c r="E34" s="37">
        <f>SUM(E32:E33)</f>
        <v>2</v>
      </c>
      <c r="F34" s="141"/>
      <c r="G34" s="47">
        <f>SUM(G32:G33)</f>
        <v>8769.8506107911744</v>
      </c>
      <c r="H34" s="47">
        <f>SUM(H32:H33)</f>
        <v>105238.20732949408</v>
      </c>
      <c r="I34" s="47">
        <f>SUM(I32:I33)</f>
        <v>315714.62198848225</v>
      </c>
    </row>
    <row r="35" spans="1:14" s="41" customFormat="1" ht="24" customHeight="1">
      <c r="A35" s="510"/>
      <c r="B35" s="443" t="s">
        <v>62</v>
      </c>
      <c r="C35" s="443"/>
      <c r="D35" s="444"/>
      <c r="E35" s="39">
        <f>SUM(E34,E31)</f>
        <v>3</v>
      </c>
      <c r="F35" s="149"/>
      <c r="G35" s="46">
        <f>SUM(G34,G31)</f>
        <v>13802.428172994372</v>
      </c>
      <c r="H35" s="49">
        <f>SUM(H34,H31)</f>
        <v>165629.13807593245</v>
      </c>
      <c r="I35" s="50">
        <f>SUM(I34,I31)</f>
        <v>496887.41422779742</v>
      </c>
      <c r="M35" s="64"/>
      <c r="N35" s="64"/>
    </row>
    <row r="36" spans="1:14" s="41" customFormat="1" ht="24" customHeight="1">
      <c r="A36" s="510"/>
      <c r="B36" s="460" t="s">
        <v>63</v>
      </c>
      <c r="C36" s="460"/>
      <c r="D36" s="460"/>
      <c r="E36" s="460"/>
      <c r="F36" s="460"/>
      <c r="G36" s="142"/>
      <c r="H36" s="142"/>
      <c r="I36" s="148"/>
    </row>
    <row r="37" spans="1:14" ht="24.75" customHeight="1">
      <c r="A37" s="510"/>
      <c r="B37" s="449">
        <v>5</v>
      </c>
      <c r="C37" s="447" t="s">
        <v>63</v>
      </c>
      <c r="D37" s="470" t="s">
        <v>673</v>
      </c>
      <c r="E37" s="44">
        <f>'Valor Mão de Obra'!M22</f>
        <v>1</v>
      </c>
      <c r="F37" s="137" t="s">
        <v>681</v>
      </c>
      <c r="G37" s="8">
        <f>'Valor Mão de Obra'!M158</f>
        <v>5164.5293078839823</v>
      </c>
      <c r="H37" s="8">
        <f>G37*12</f>
        <v>61974.351694607787</v>
      </c>
      <c r="I37" s="20">
        <f>G37*$G$13</f>
        <v>185923.05508382336</v>
      </c>
    </row>
    <row r="38" spans="1:14" ht="25.5" customHeight="1">
      <c r="A38" s="510"/>
      <c r="B38" s="459"/>
      <c r="C38" s="458"/>
      <c r="D38" s="471"/>
      <c r="E38" s="44">
        <f>'Valor Mão de Obra'!N22</f>
        <v>3</v>
      </c>
      <c r="F38" s="132" t="s">
        <v>53</v>
      </c>
      <c r="G38" s="8">
        <f>'Valor Mão de Obra'!N158</f>
        <v>13484.013285947047</v>
      </c>
      <c r="H38" s="8">
        <f>G38*12</f>
        <v>161808.15943136456</v>
      </c>
      <c r="I38" s="20">
        <f>G38*$G$13</f>
        <v>485424.47829409369</v>
      </c>
    </row>
    <row r="39" spans="1:14" ht="24" customHeight="1">
      <c r="A39" s="510"/>
      <c r="B39" s="459"/>
      <c r="C39" s="458"/>
      <c r="D39" s="472"/>
      <c r="E39" s="44">
        <f>'Valor Mão de Obra'!O22</f>
        <v>2</v>
      </c>
      <c r="F39" s="132" t="s">
        <v>61</v>
      </c>
      <c r="G39" s="8">
        <f>'Valor Mão de Obra'!O158</f>
        <v>10323.110256213296</v>
      </c>
      <c r="H39" s="8">
        <f>G39*12</f>
        <v>123877.32307455956</v>
      </c>
      <c r="I39" s="20">
        <f>G39*$G$13</f>
        <v>371631.96922367869</v>
      </c>
    </row>
    <row r="40" spans="1:14" s="34" customFormat="1" ht="24" customHeight="1">
      <c r="A40" s="510"/>
      <c r="B40" s="450"/>
      <c r="C40" s="448"/>
      <c r="D40" s="149" t="s">
        <v>64</v>
      </c>
      <c r="E40" s="88">
        <f>SUM(E37:E39)</f>
        <v>6</v>
      </c>
      <c r="F40" s="149"/>
      <c r="G40" s="46">
        <f>SUM(G37:G39)</f>
        <v>28971.652850044324</v>
      </c>
      <c r="H40" s="46">
        <f t="shared" ref="H40:I40" si="0">SUM(H37:H39)</f>
        <v>347659.83420053194</v>
      </c>
      <c r="I40" s="46">
        <f t="shared" si="0"/>
        <v>1042979.5026015957</v>
      </c>
      <c r="M40" s="64"/>
      <c r="N40" s="64"/>
    </row>
    <row r="41" spans="1:14" ht="24" customHeight="1">
      <c r="A41" s="510"/>
      <c r="B41" s="445">
        <v>6</v>
      </c>
      <c r="C41" s="452" t="s">
        <v>63</v>
      </c>
      <c r="D41" s="464" t="s">
        <v>55</v>
      </c>
      <c r="E41" s="45">
        <f>'Valor Mão de Obra'!P22</f>
        <v>1</v>
      </c>
      <c r="F41" s="33" t="s">
        <v>56</v>
      </c>
      <c r="G41" s="27">
        <f>'Valor Mão de Obra'!P158</f>
        <v>4601.0349539915078</v>
      </c>
      <c r="H41" s="27">
        <f>G41*12</f>
        <v>55212.419447898093</v>
      </c>
      <c r="I41" s="28">
        <f>G41*$G$13</f>
        <v>165637.25834369427</v>
      </c>
    </row>
    <row r="42" spans="1:14" ht="24" customHeight="1">
      <c r="A42" s="510"/>
      <c r="B42" s="451"/>
      <c r="C42" s="457"/>
      <c r="D42" s="465"/>
      <c r="E42" s="45">
        <f>'Valor Mão de Obra'!Q22</f>
        <v>2</v>
      </c>
      <c r="F42" s="33" t="s">
        <v>57</v>
      </c>
      <c r="G42" s="27">
        <f>'Valor Mão de Obra'!Q158</f>
        <v>8695.0569498817931</v>
      </c>
      <c r="H42" s="27">
        <f>G42*12</f>
        <v>104340.68339858152</v>
      </c>
      <c r="I42" s="28">
        <f>G42*$G$13</f>
        <v>313022.05019574455</v>
      </c>
    </row>
    <row r="43" spans="1:14" ht="24" customHeight="1">
      <c r="A43" s="510"/>
      <c r="B43" s="451"/>
      <c r="C43" s="457"/>
      <c r="D43" s="466"/>
      <c r="E43" s="45">
        <f>'Valor Mão de Obra'!R22</f>
        <v>2</v>
      </c>
      <c r="F43" s="136" t="s">
        <v>682</v>
      </c>
      <c r="G43" s="27">
        <f>'Valor Mão de Obra'!R158</f>
        <v>10748.880740997873</v>
      </c>
      <c r="H43" s="27">
        <f>G43*12</f>
        <v>128986.56889197447</v>
      </c>
      <c r="I43" s="28">
        <f>G43*$G$13</f>
        <v>386959.70667592343</v>
      </c>
    </row>
    <row r="44" spans="1:14" s="34" customFormat="1" ht="24" customHeight="1">
      <c r="A44" s="510"/>
      <c r="B44" s="446"/>
      <c r="C44" s="453"/>
      <c r="D44" s="59" t="s">
        <v>58</v>
      </c>
      <c r="E44" s="110">
        <f>SUM(E41:E43)</f>
        <v>5</v>
      </c>
      <c r="F44" s="141"/>
      <c r="G44" s="47">
        <f>SUM(G41:G43)</f>
        <v>24044.972644871174</v>
      </c>
      <c r="H44" s="47">
        <f t="shared" ref="H44:I44" si="1">SUM(H41:H43)</f>
        <v>288539.67173845408</v>
      </c>
      <c r="I44" s="47">
        <f t="shared" si="1"/>
        <v>865619.01521536219</v>
      </c>
    </row>
    <row r="45" spans="1:14" s="41" customFormat="1" ht="24" customHeight="1">
      <c r="A45" s="510"/>
      <c r="B45" s="443" t="s">
        <v>65</v>
      </c>
      <c r="C45" s="443"/>
      <c r="D45" s="444"/>
      <c r="E45" s="39">
        <f>SUM(E44,E40)</f>
        <v>11</v>
      </c>
      <c r="F45" s="149"/>
      <c r="G45" s="46">
        <f>SUM(G44,G40)</f>
        <v>53016.625494915497</v>
      </c>
      <c r="H45" s="42">
        <f>SUM(H44,H40)</f>
        <v>636199.50593898608</v>
      </c>
      <c r="I45" s="42">
        <f>SUM(I44,I40)</f>
        <v>1908598.517816958</v>
      </c>
      <c r="M45" s="64"/>
      <c r="N45" s="64"/>
    </row>
    <row r="46" spans="1:14" s="41" customFormat="1" ht="24" customHeight="1">
      <c r="A46" s="510"/>
      <c r="B46" s="65"/>
      <c r="C46" s="65"/>
      <c r="D46" s="65"/>
      <c r="E46" s="65"/>
      <c r="F46" s="66"/>
      <c r="G46" s="67"/>
      <c r="H46" s="68"/>
      <c r="I46" s="68"/>
      <c r="M46" s="64"/>
      <c r="N46" s="64"/>
    </row>
    <row r="47" spans="1:14" s="41" customFormat="1" ht="24" customHeight="1">
      <c r="A47" s="510"/>
      <c r="B47" s="463" t="s">
        <v>41</v>
      </c>
      <c r="C47" s="467" t="s">
        <v>42</v>
      </c>
      <c r="D47" s="469" t="s">
        <v>43</v>
      </c>
      <c r="E47" s="469"/>
      <c r="F47" s="469"/>
      <c r="G47" s="461" t="s">
        <v>44</v>
      </c>
      <c r="H47" s="462"/>
      <c r="I47" s="463"/>
    </row>
    <row r="48" spans="1:14" s="41" customFormat="1" ht="24" customHeight="1">
      <c r="A48" s="510"/>
      <c r="B48" s="463"/>
      <c r="C48" s="468"/>
      <c r="D48" s="144" t="s">
        <v>45</v>
      </c>
      <c r="E48" s="144" t="s">
        <v>46</v>
      </c>
      <c r="F48" s="144" t="s">
        <v>47</v>
      </c>
      <c r="G48" s="144" t="s">
        <v>48</v>
      </c>
      <c r="H48" s="144" t="s">
        <v>49</v>
      </c>
      <c r="I48" s="144" t="s">
        <v>50</v>
      </c>
    </row>
    <row r="49" spans="1:14" s="41" customFormat="1" ht="24" customHeight="1">
      <c r="A49" s="510"/>
      <c r="B49" s="460" t="s">
        <v>66</v>
      </c>
      <c r="C49" s="460"/>
      <c r="D49" s="460"/>
      <c r="E49" s="460"/>
      <c r="F49" s="460"/>
      <c r="G49" s="142"/>
      <c r="H49" s="142"/>
      <c r="I49" s="148"/>
    </row>
    <row r="50" spans="1:14" ht="32.25" customHeight="1">
      <c r="A50" s="510"/>
      <c r="B50" s="449">
        <v>7</v>
      </c>
      <c r="C50" s="447" t="s">
        <v>66</v>
      </c>
      <c r="D50" s="470" t="s">
        <v>673</v>
      </c>
      <c r="E50" s="44">
        <f>'Valor Mão de Obra'!V22</f>
        <v>1</v>
      </c>
      <c r="F50" s="137" t="s">
        <v>67</v>
      </c>
      <c r="G50" s="52">
        <f>'Valor Mão de Obra'!V158</f>
        <v>4365.6935294122341</v>
      </c>
      <c r="H50" s="52">
        <f>G50*12</f>
        <v>52388.322352946809</v>
      </c>
      <c r="I50" s="53">
        <f>G50*$G$13</f>
        <v>157164.96705884044</v>
      </c>
    </row>
    <row r="51" spans="1:14" ht="30" customHeight="1">
      <c r="A51" s="510"/>
      <c r="B51" s="459"/>
      <c r="C51" s="458"/>
      <c r="D51" s="474"/>
      <c r="E51" s="44">
        <f>'Valor Mão de Obra'!W22</f>
        <v>1</v>
      </c>
      <c r="F51" s="132" t="s">
        <v>61</v>
      </c>
      <c r="G51" s="52">
        <f>'Valor Mão de Obra'!W158</f>
        <v>5032.5775622031988</v>
      </c>
      <c r="H51" s="52">
        <f>G51*12</f>
        <v>60390.930746438389</v>
      </c>
      <c r="I51" s="53">
        <f>G51*$G$13</f>
        <v>181172.79223931517</v>
      </c>
    </row>
    <row r="52" spans="1:14" s="34" customFormat="1" ht="24" customHeight="1">
      <c r="A52" s="510"/>
      <c r="B52" s="450"/>
      <c r="C52" s="448"/>
      <c r="D52" s="149" t="s">
        <v>54</v>
      </c>
      <c r="E52" s="146">
        <f>SUM(E50:E51)</f>
        <v>2</v>
      </c>
      <c r="F52" s="133"/>
      <c r="G52" s="46">
        <f>SUM(G50:G51)</f>
        <v>9398.2710916154319</v>
      </c>
      <c r="H52" s="43">
        <f>SUM(H50:H51)</f>
        <v>112779.2530993852</v>
      </c>
      <c r="I52" s="43">
        <f>SUM(I50:I51)</f>
        <v>338337.75929815561</v>
      </c>
      <c r="M52" s="64"/>
      <c r="N52" s="64"/>
    </row>
    <row r="53" spans="1:14" ht="67.5" customHeight="1">
      <c r="A53" s="510"/>
      <c r="B53" s="445">
        <v>8</v>
      </c>
      <c r="C53" s="452" t="s">
        <v>66</v>
      </c>
      <c r="D53" s="143" t="s">
        <v>55</v>
      </c>
      <c r="E53" s="45">
        <f>'Valor Mão de Obra'!X22</f>
        <v>1</v>
      </c>
      <c r="F53" s="136" t="s">
        <v>680</v>
      </c>
      <c r="G53" s="27">
        <f>'Valor Mão de Obra'!X158</f>
        <v>5921.4642274616108</v>
      </c>
      <c r="H53" s="27">
        <f>G53*12</f>
        <v>71057.570729539322</v>
      </c>
      <c r="I53" s="28">
        <f>G53*$G$13</f>
        <v>213172.712188618</v>
      </c>
    </row>
    <row r="54" spans="1:14" s="34" customFormat="1" ht="24.75" customHeight="1">
      <c r="A54" s="510"/>
      <c r="B54" s="446"/>
      <c r="C54" s="453"/>
      <c r="D54" s="141" t="s">
        <v>58</v>
      </c>
      <c r="E54" s="37">
        <f>SUM(E53)</f>
        <v>1</v>
      </c>
      <c r="F54" s="141"/>
      <c r="G54" s="47">
        <f>SUM(G53)</f>
        <v>5921.4642274616108</v>
      </c>
      <c r="H54" s="38">
        <f>SUM(H53)</f>
        <v>71057.570729539322</v>
      </c>
      <c r="I54" s="38">
        <f>SUM(I53)</f>
        <v>213172.712188618</v>
      </c>
    </row>
    <row r="55" spans="1:14" s="41" customFormat="1" ht="24.75" customHeight="1">
      <c r="A55" s="510"/>
      <c r="B55" s="443" t="s">
        <v>68</v>
      </c>
      <c r="C55" s="443"/>
      <c r="D55" s="444"/>
      <c r="E55" s="39">
        <f>SUM(E54,E52)</f>
        <v>3</v>
      </c>
      <c r="F55" s="149"/>
      <c r="G55" s="46">
        <f>SUM(G54,G52)</f>
        <v>15319.735319077043</v>
      </c>
      <c r="H55" s="49">
        <f>SUM(H54,H52)</f>
        <v>183836.82382892451</v>
      </c>
      <c r="I55" s="49">
        <f>SUM(I54,I52)</f>
        <v>551510.47148677357</v>
      </c>
      <c r="M55" s="64"/>
      <c r="N55" s="64"/>
    </row>
    <row r="56" spans="1:14" s="41" customFormat="1" ht="24.75" customHeight="1">
      <c r="A56" s="510"/>
      <c r="B56" s="460" t="s">
        <v>69</v>
      </c>
      <c r="C56" s="460"/>
      <c r="D56" s="460"/>
      <c r="E56" s="460"/>
      <c r="F56" s="460"/>
      <c r="G56" s="142"/>
      <c r="H56" s="142"/>
      <c r="I56" s="148"/>
    </row>
    <row r="57" spans="1:14" ht="57.75" customHeight="1">
      <c r="A57" s="510"/>
      <c r="B57" s="449">
        <v>9</v>
      </c>
      <c r="C57" s="447" t="s">
        <v>69</v>
      </c>
      <c r="D57" s="145" t="s">
        <v>673</v>
      </c>
      <c r="E57" s="44">
        <f>'Valor Mão de Obra'!Z22</f>
        <v>1</v>
      </c>
      <c r="F57" s="132" t="s">
        <v>61</v>
      </c>
      <c r="G57" s="8">
        <f>'Valor Mão de Obra'!Z158</f>
        <v>5032.5775622031988</v>
      </c>
      <c r="H57" s="8">
        <f>G57*12</f>
        <v>60390.930746438389</v>
      </c>
      <c r="I57" s="20">
        <f>G57*$G$13</f>
        <v>181172.79223931517</v>
      </c>
    </row>
    <row r="58" spans="1:14" s="34" customFormat="1" ht="24.75" customHeight="1">
      <c r="A58" s="510"/>
      <c r="B58" s="450"/>
      <c r="C58" s="448"/>
      <c r="D58" s="149" t="s">
        <v>54</v>
      </c>
      <c r="E58" s="146">
        <f>SUM(E57)</f>
        <v>1</v>
      </c>
      <c r="F58" s="149"/>
      <c r="G58" s="46">
        <f>SUM(G57)</f>
        <v>5032.5775622031988</v>
      </c>
      <c r="H58" s="36">
        <f>SUM(H57)</f>
        <v>60390.930746438389</v>
      </c>
      <c r="I58" s="35">
        <f>SUM(I57)</f>
        <v>181172.79223931517</v>
      </c>
      <c r="M58" s="64"/>
      <c r="N58" s="64"/>
    </row>
    <row r="59" spans="1:14" ht="57.75" customHeight="1">
      <c r="A59" s="510"/>
      <c r="B59" s="445">
        <v>10</v>
      </c>
      <c r="C59" s="452" t="s">
        <v>69</v>
      </c>
      <c r="D59" s="63" t="s">
        <v>55</v>
      </c>
      <c r="E59" s="45">
        <f>'Valor Mão de Obra'!Y22</f>
        <v>1</v>
      </c>
      <c r="F59" s="136" t="s">
        <v>679</v>
      </c>
      <c r="G59" s="27">
        <f>'Valor Mão de Obra'!Y158</f>
        <v>2848.3863833295627</v>
      </c>
      <c r="H59" s="27">
        <f>G59*12</f>
        <v>34180.636599954756</v>
      </c>
      <c r="I59" s="28">
        <f>G59*$G$13</f>
        <v>102541.90979986425</v>
      </c>
    </row>
    <row r="60" spans="1:14" ht="42" customHeight="1">
      <c r="A60" s="510"/>
      <c r="B60" s="451"/>
      <c r="C60" s="457"/>
      <c r="D60" s="112"/>
      <c r="E60" s="45">
        <f>'Valor Mão de Obra'!AA22</f>
        <v>1</v>
      </c>
      <c r="F60" s="136" t="s">
        <v>680</v>
      </c>
      <c r="G60" s="27">
        <f>'Valor Mão de Obra'!AA158</f>
        <v>5921.4642274616108</v>
      </c>
      <c r="H60" s="27">
        <f>G60*12</f>
        <v>71057.570729539322</v>
      </c>
      <c r="I60" s="28">
        <f>G60*$G$13</f>
        <v>213172.712188618</v>
      </c>
    </row>
    <row r="61" spans="1:14" s="34" customFormat="1" ht="24.75" customHeight="1">
      <c r="A61" s="510"/>
      <c r="B61" s="446"/>
      <c r="C61" s="453"/>
      <c r="D61" s="141" t="s">
        <v>58</v>
      </c>
      <c r="E61" s="110">
        <f>SUM(E59:E60)</f>
        <v>2</v>
      </c>
      <c r="F61" s="141"/>
      <c r="G61" s="47">
        <f>SUM(G59:G60)</f>
        <v>8769.8506107911744</v>
      </c>
      <c r="H61" s="47">
        <f>SUM(H59:H60)</f>
        <v>105238.20732949408</v>
      </c>
      <c r="I61" s="47">
        <f>SUM(I59:I60)</f>
        <v>315714.62198848225</v>
      </c>
    </row>
    <row r="62" spans="1:14" s="41" customFormat="1" ht="24.75" customHeight="1">
      <c r="A62" s="510"/>
      <c r="B62" s="443" t="s">
        <v>70</v>
      </c>
      <c r="C62" s="443"/>
      <c r="D62" s="444"/>
      <c r="E62" s="39">
        <f>SUM(E61,E58)</f>
        <v>3</v>
      </c>
      <c r="F62" s="149"/>
      <c r="G62" s="46">
        <f>SUM(G61,G58)</f>
        <v>13802.428172994372</v>
      </c>
      <c r="H62" s="42">
        <f>SUM(H61,H58)</f>
        <v>165629.13807593245</v>
      </c>
      <c r="I62" s="40">
        <f>SUM(I61,I58)</f>
        <v>496887.41422779742</v>
      </c>
      <c r="M62" s="64"/>
      <c r="N62" s="64"/>
    </row>
    <row r="63" spans="1:14" s="41" customFormat="1" ht="24.75" customHeight="1">
      <c r="A63" s="510"/>
      <c r="B63" s="460" t="s">
        <v>71</v>
      </c>
      <c r="C63" s="460"/>
      <c r="D63" s="460"/>
      <c r="E63" s="460"/>
      <c r="F63" s="460"/>
      <c r="G63" s="142"/>
      <c r="H63" s="142"/>
      <c r="I63" s="148"/>
    </row>
    <row r="64" spans="1:14" ht="30.75" customHeight="1">
      <c r="A64" s="510"/>
      <c r="B64" s="459">
        <v>11</v>
      </c>
      <c r="C64" s="458" t="s">
        <v>71</v>
      </c>
      <c r="D64" s="471" t="s">
        <v>52</v>
      </c>
      <c r="E64" s="44">
        <f>'Valor Mão de Obra'!AB22</f>
        <v>1</v>
      </c>
      <c r="F64" s="138" t="s">
        <v>67</v>
      </c>
      <c r="G64" s="52">
        <f>'Valor Mão de Obra'!AB158</f>
        <v>4272.1596562593204</v>
      </c>
      <c r="H64" s="52">
        <f>G64*12</f>
        <v>51265.915875111845</v>
      </c>
      <c r="I64" s="53">
        <f>G64*$G$13</f>
        <v>153797.74762533553</v>
      </c>
    </row>
    <row r="65" spans="1:14" ht="34.5" customHeight="1">
      <c r="A65" s="510"/>
      <c r="B65" s="459"/>
      <c r="C65" s="458"/>
      <c r="D65" s="472"/>
      <c r="E65" s="44">
        <f>'Valor Mão de Obra'!AC22</f>
        <v>1</v>
      </c>
      <c r="F65" s="132" t="s">
        <v>61</v>
      </c>
      <c r="G65" s="52">
        <f>'Valor Mão de Obra'!AC158</f>
        <v>4924.7558683156094</v>
      </c>
      <c r="H65" s="52">
        <f>G65*12</f>
        <v>59097.070419787313</v>
      </c>
      <c r="I65" s="53">
        <f>G65*$G$13</f>
        <v>177291.21125936194</v>
      </c>
    </row>
    <row r="66" spans="1:14" s="34" customFormat="1" ht="24" customHeight="1">
      <c r="A66" s="510"/>
      <c r="B66" s="450"/>
      <c r="C66" s="448"/>
      <c r="D66" s="149" t="s">
        <v>54</v>
      </c>
      <c r="E66" s="88">
        <f>SUM(E64:E65)</f>
        <v>2</v>
      </c>
      <c r="F66" s="133"/>
      <c r="G66" s="46">
        <f>SUM(G64:G65)</f>
        <v>9196.9155245749298</v>
      </c>
      <c r="H66" s="46">
        <f>SUM(H64:H65)</f>
        <v>110362.98629489916</v>
      </c>
      <c r="I66" s="46">
        <f>SUM(I64:I65)</f>
        <v>331088.95888469747</v>
      </c>
      <c r="M66" s="64"/>
      <c r="N66" s="64"/>
    </row>
    <row r="67" spans="1:14" ht="59.25" customHeight="1">
      <c r="A67" s="510"/>
      <c r="B67" s="445">
        <v>12</v>
      </c>
      <c r="C67" s="452" t="s">
        <v>71</v>
      </c>
      <c r="D67" s="147" t="s">
        <v>55</v>
      </c>
      <c r="E67" s="45">
        <f>'Valor Mão de Obra'!AD22</f>
        <v>1</v>
      </c>
      <c r="F67" s="136" t="s">
        <v>680</v>
      </c>
      <c r="G67" s="27">
        <f>'Valor Mão de Obra'!AD158</f>
        <v>5794.5983629203865</v>
      </c>
      <c r="H67" s="27">
        <f>G67*12</f>
        <v>69535.180355044635</v>
      </c>
      <c r="I67" s="28">
        <f>G67*$G$13</f>
        <v>208605.5410651339</v>
      </c>
    </row>
    <row r="68" spans="1:14" s="34" customFormat="1" ht="24.75" customHeight="1">
      <c r="A68" s="510"/>
      <c r="B68" s="446"/>
      <c r="C68" s="453"/>
      <c r="D68" s="141" t="s">
        <v>58</v>
      </c>
      <c r="E68" s="37">
        <f>SUM(E67)</f>
        <v>1</v>
      </c>
      <c r="F68" s="141"/>
      <c r="G68" s="47">
        <f>SUM(G67)</f>
        <v>5794.5983629203865</v>
      </c>
      <c r="H68" s="38">
        <f>SUM(H67)</f>
        <v>69535.180355044635</v>
      </c>
      <c r="I68" s="38">
        <f>SUM(I67)</f>
        <v>208605.5410651339</v>
      </c>
      <c r="M68" s="64"/>
      <c r="N68" s="64"/>
    </row>
    <row r="69" spans="1:14" s="41" customFormat="1" ht="24.75" customHeight="1">
      <c r="A69" s="511"/>
      <c r="B69" s="517" t="s">
        <v>72</v>
      </c>
      <c r="C69" s="517"/>
      <c r="D69" s="518"/>
      <c r="E69" s="55">
        <f>SUM(E68,E66)</f>
        <v>3</v>
      </c>
      <c r="F69" s="56"/>
      <c r="G69" s="57">
        <f>SUM(G68,G66)</f>
        <v>14991.513887495315</v>
      </c>
      <c r="H69" s="58">
        <f>SUM(H68,H66)</f>
        <v>179898.1666499438</v>
      </c>
      <c r="I69" s="58">
        <f>SUM(I68,I66)</f>
        <v>539694.4999498314</v>
      </c>
      <c r="M69" s="64"/>
      <c r="N69" s="64"/>
    </row>
    <row r="70" spans="1:14" s="34" customFormat="1" ht="24.75" customHeight="1">
      <c r="A70" s="60"/>
      <c r="B70" s="61"/>
      <c r="C70" s="61"/>
      <c r="D70" s="61"/>
      <c r="E70" s="61"/>
      <c r="F70" s="61"/>
      <c r="G70" s="61"/>
      <c r="H70" s="61"/>
      <c r="I70" s="62"/>
    </row>
    <row r="71" spans="1:14" s="34" customFormat="1" ht="24.75" customHeight="1">
      <c r="A71" s="519" t="s">
        <v>73</v>
      </c>
      <c r="B71" s="520"/>
      <c r="C71" s="520"/>
      <c r="D71" s="521"/>
      <c r="E71" s="88">
        <f>SUM(E21,E31,E40,E52,E58,E66)</f>
        <v>26</v>
      </c>
      <c r="F71" s="149"/>
      <c r="G71" s="51">
        <f>SUM(G21,G31,G40,G52,G58,G66)</f>
        <v>123049.68793040184</v>
      </c>
      <c r="H71" s="51">
        <f>SUM(H21,H31,H40,H52,H58,H66)</f>
        <v>1476596.2551648223</v>
      </c>
      <c r="I71" s="51">
        <f>SUM(I21,I31,I40,I52,I58,I66)</f>
        <v>4429788.7654944668</v>
      </c>
      <c r="M71" s="64"/>
      <c r="N71" s="64"/>
    </row>
    <row r="72" spans="1:14" s="34" customFormat="1" ht="24.75" customHeight="1">
      <c r="A72" s="454" t="s">
        <v>74</v>
      </c>
      <c r="B72" s="455"/>
      <c r="C72" s="455"/>
      <c r="D72" s="456"/>
      <c r="E72" s="110">
        <f>SUM(E27,E34,E44,E54,E61,E68)</f>
        <v>23</v>
      </c>
      <c r="F72" s="141"/>
      <c r="G72" s="54">
        <f>SUM(G27,G34,G44,G54,G61,G68)</f>
        <v>113591.4905795137</v>
      </c>
      <c r="H72" s="54">
        <f>SUM(H27,H34,H44,H54,H61,H68)</f>
        <v>1363097.8869541646</v>
      </c>
      <c r="I72" s="54">
        <f>SUM(I27,I34,I44,I54,I61,I68)</f>
        <v>4089293.6608624943</v>
      </c>
      <c r="M72" s="64"/>
      <c r="N72" s="64"/>
    </row>
    <row r="73" spans="1:14" s="34" customFormat="1" ht="24.75" customHeight="1">
      <c r="A73" s="150"/>
      <c r="B73" s="150"/>
      <c r="C73" s="150"/>
      <c r="D73" s="150"/>
      <c r="E73" s="150"/>
      <c r="F73" s="150"/>
      <c r="G73" s="87"/>
      <c r="H73" s="87"/>
      <c r="I73" s="87"/>
      <c r="M73" s="64"/>
      <c r="N73" s="64"/>
    </row>
    <row r="74" spans="1:14" s="48" customFormat="1" ht="29.25" customHeight="1">
      <c r="A74" s="515" t="s">
        <v>75</v>
      </c>
      <c r="B74" s="460"/>
      <c r="C74" s="460"/>
      <c r="D74" s="516"/>
      <c r="E74" s="69">
        <f>SUM(E69,E62,E55,E45,E35,E28)</f>
        <v>49</v>
      </c>
      <c r="F74" s="69"/>
      <c r="G74" s="70">
        <f>SUM(G71:G72)</f>
        <v>236641.17850991554</v>
      </c>
      <c r="H74" s="70">
        <f>SUM(H71:H72)</f>
        <v>2839694.1421189867</v>
      </c>
      <c r="I74" s="70">
        <f>SUM(I71:I72)</f>
        <v>8519082.4263569601</v>
      </c>
      <c r="M74" s="64"/>
      <c r="N74" s="64"/>
    </row>
    <row r="76" spans="1:14" ht="28.5" customHeight="1">
      <c r="A76" s="512" t="s">
        <v>76</v>
      </c>
      <c r="B76" s="513"/>
      <c r="C76" s="513"/>
      <c r="D76" s="514"/>
      <c r="E76" s="113"/>
      <c r="F76" s="113"/>
      <c r="G76" s="114">
        <f>H76/12</f>
        <v>1332.0201094726751</v>
      </c>
      <c r="H76" s="114">
        <f>'Estimativa Custos Eventuais'!H15</f>
        <v>15984.241313672101</v>
      </c>
      <c r="I76" s="114">
        <f>'Estimativa Custos Eventuais'!I15</f>
        <v>47952.723941016302</v>
      </c>
    </row>
    <row r="78" spans="1:14" ht="28.5" customHeight="1">
      <c r="A78" s="515" t="s">
        <v>77</v>
      </c>
      <c r="B78" s="460"/>
      <c r="C78" s="460"/>
      <c r="D78" s="516"/>
      <c r="E78" s="69">
        <f>E74+E76</f>
        <v>49</v>
      </c>
      <c r="F78" s="69"/>
      <c r="G78" s="70">
        <f>SUM(G76,G74)</f>
        <v>237973.19861938822</v>
      </c>
      <c r="H78" s="70">
        <f>SUM(H76,H74)</f>
        <v>2855678.3834326589</v>
      </c>
      <c r="I78" s="70">
        <f>SUM(I76,I74)</f>
        <v>8567035.150297977</v>
      </c>
    </row>
  </sheetData>
  <sheetProtection password="EBCE" sheet="1" objects="1" scenarios="1" selectLockedCells="1"/>
  <mergeCells count="69">
    <mergeCell ref="A76:D76"/>
    <mergeCell ref="A78:D78"/>
    <mergeCell ref="C32:C34"/>
    <mergeCell ref="B32:B34"/>
    <mergeCell ref="D32:D33"/>
    <mergeCell ref="D50:D51"/>
    <mergeCell ref="B49:F49"/>
    <mergeCell ref="C50:C52"/>
    <mergeCell ref="A74:D74"/>
    <mergeCell ref="B62:D62"/>
    <mergeCell ref="B69:D69"/>
    <mergeCell ref="C67:C68"/>
    <mergeCell ref="B67:B68"/>
    <mergeCell ref="B50:B52"/>
    <mergeCell ref="D64:D65"/>
    <mergeCell ref="A71:D71"/>
    <mergeCell ref="A9:F10"/>
    <mergeCell ref="G9:I10"/>
    <mergeCell ref="B18:B21"/>
    <mergeCell ref="C22:C27"/>
    <mergeCell ref="G11:I12"/>
    <mergeCell ref="A13:F13"/>
    <mergeCell ref="G13:I13"/>
    <mergeCell ref="A15:A16"/>
    <mergeCell ref="B15:B16"/>
    <mergeCell ref="C15:C16"/>
    <mergeCell ref="D15:F15"/>
    <mergeCell ref="G15:I15"/>
    <mergeCell ref="A11:F12"/>
    <mergeCell ref="D22:D26"/>
    <mergeCell ref="A17:A69"/>
    <mergeCell ref="B17:F17"/>
    <mergeCell ref="F1:I1"/>
    <mergeCell ref="A2:I2"/>
    <mergeCell ref="A3:I3"/>
    <mergeCell ref="A4:I4"/>
    <mergeCell ref="A7:I7"/>
    <mergeCell ref="D18:D20"/>
    <mergeCell ref="B45:D45"/>
    <mergeCell ref="C37:C40"/>
    <mergeCell ref="B37:B40"/>
    <mergeCell ref="B22:B27"/>
    <mergeCell ref="B30:B31"/>
    <mergeCell ref="C30:C31"/>
    <mergeCell ref="B29:F29"/>
    <mergeCell ref="B28:D28"/>
    <mergeCell ref="C18:C21"/>
    <mergeCell ref="G47:I47"/>
    <mergeCell ref="D41:D43"/>
    <mergeCell ref="B35:D35"/>
    <mergeCell ref="B41:B44"/>
    <mergeCell ref="B47:B48"/>
    <mergeCell ref="C47:C48"/>
    <mergeCell ref="D47:F47"/>
    <mergeCell ref="C41:C44"/>
    <mergeCell ref="B36:F36"/>
    <mergeCell ref="D37:D39"/>
    <mergeCell ref="A72:D72"/>
    <mergeCell ref="C59:C61"/>
    <mergeCell ref="C64:C66"/>
    <mergeCell ref="B64:B66"/>
    <mergeCell ref="B56:F56"/>
    <mergeCell ref="B63:F63"/>
    <mergeCell ref="B55:D55"/>
    <mergeCell ref="B53:B54"/>
    <mergeCell ref="C57:C58"/>
    <mergeCell ref="B57:B58"/>
    <mergeCell ref="B59:B61"/>
    <mergeCell ref="C53:C54"/>
  </mergeCells>
  <pageMargins left="0.51181102362204722" right="1.1023622047244095" top="0.19685039370078741" bottom="0.19685039370078741"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sheetPr>
    <tabColor theme="0"/>
    <pageSetUpPr fitToPage="1"/>
  </sheetPr>
  <dimension ref="A1:Z1000"/>
  <sheetViews>
    <sheetView showGridLines="0" zoomScaleNormal="100" zoomScaleSheetLayoutView="90" workbookViewId="0">
      <selection activeCell="K18" sqref="K18"/>
    </sheetView>
  </sheetViews>
  <sheetFormatPr defaultColWidth="15.140625" defaultRowHeight="15"/>
  <cols>
    <col min="1" max="11" width="8" customWidth="1"/>
    <col min="12" max="26" width="7" customWidth="1"/>
  </cols>
  <sheetData>
    <row r="1" spans="1:26" ht="12.75" customHeight="1">
      <c r="A1" s="9"/>
      <c r="B1" s="10"/>
      <c r="C1" s="10"/>
      <c r="D1" s="10"/>
      <c r="E1" s="10"/>
      <c r="F1" s="10"/>
      <c r="G1" s="10"/>
      <c r="H1" s="10"/>
      <c r="I1" s="10"/>
      <c r="J1" s="11"/>
      <c r="K1" s="12"/>
      <c r="L1" s="12"/>
      <c r="M1" s="12"/>
      <c r="N1" s="12"/>
      <c r="O1" s="12"/>
      <c r="P1" s="12"/>
      <c r="Q1" s="12"/>
      <c r="R1" s="12"/>
      <c r="S1" s="12"/>
      <c r="T1" s="12"/>
      <c r="U1" s="12"/>
      <c r="V1" s="12"/>
      <c r="W1" s="12"/>
      <c r="X1" s="12"/>
      <c r="Y1" s="12"/>
      <c r="Z1" s="12"/>
    </row>
    <row r="2" spans="1:26" ht="12.75" customHeight="1">
      <c r="A2" s="13"/>
      <c r="B2" s="14"/>
      <c r="C2" s="14"/>
      <c r="D2" s="14"/>
      <c r="E2" s="14"/>
      <c r="F2" s="14"/>
      <c r="G2" s="14"/>
      <c r="H2" s="14"/>
      <c r="I2" s="14"/>
      <c r="J2" s="15"/>
      <c r="K2" s="12"/>
      <c r="L2" s="12"/>
      <c r="M2" s="12"/>
      <c r="N2" s="12"/>
      <c r="O2" s="12"/>
      <c r="P2" s="12"/>
      <c r="Q2" s="12"/>
      <c r="R2" s="12"/>
      <c r="S2" s="12"/>
      <c r="T2" s="12"/>
      <c r="U2" s="12"/>
      <c r="V2" s="12"/>
      <c r="W2" s="12"/>
      <c r="X2" s="12"/>
      <c r="Y2" s="12"/>
      <c r="Z2" s="12"/>
    </row>
    <row r="3" spans="1:26" ht="12.75" customHeight="1">
      <c r="A3" s="13"/>
      <c r="B3" s="14"/>
      <c r="C3" s="14"/>
      <c r="D3" s="14"/>
      <c r="E3" s="14"/>
      <c r="F3" s="14"/>
      <c r="G3" s="14"/>
      <c r="H3" s="14"/>
      <c r="I3" s="14"/>
      <c r="J3" s="15"/>
      <c r="K3" s="12"/>
      <c r="L3" s="12"/>
      <c r="M3" s="12"/>
      <c r="N3" s="12"/>
      <c r="O3" s="12"/>
      <c r="P3" s="12"/>
      <c r="Q3" s="12"/>
      <c r="R3" s="12"/>
      <c r="S3" s="12"/>
      <c r="T3" s="12"/>
      <c r="U3" s="12"/>
      <c r="V3" s="12"/>
      <c r="W3" s="12"/>
      <c r="X3" s="12"/>
      <c r="Y3" s="12"/>
      <c r="Z3" s="12"/>
    </row>
    <row r="4" spans="1:26" ht="12.75" customHeight="1">
      <c r="A4" s="13"/>
      <c r="B4" s="14"/>
      <c r="C4" s="14"/>
      <c r="D4" s="14"/>
      <c r="E4" s="14"/>
      <c r="F4" s="14"/>
      <c r="G4" s="14"/>
      <c r="H4" s="14"/>
      <c r="I4" s="14"/>
      <c r="J4" s="15"/>
      <c r="K4" s="12"/>
      <c r="L4" s="12"/>
      <c r="M4" s="12"/>
      <c r="N4" s="12"/>
      <c r="O4" s="12"/>
      <c r="P4" s="12"/>
      <c r="Q4" s="12"/>
      <c r="R4" s="12"/>
      <c r="S4" s="12"/>
      <c r="T4" s="12"/>
      <c r="U4" s="12"/>
      <c r="V4" s="12"/>
      <c r="W4" s="12"/>
      <c r="X4" s="12"/>
      <c r="Y4" s="12"/>
      <c r="Z4" s="12"/>
    </row>
    <row r="5" spans="1:26" ht="12.75" customHeight="1">
      <c r="A5" s="13"/>
      <c r="B5" s="14"/>
      <c r="C5" s="14"/>
      <c r="D5" s="14"/>
      <c r="E5" s="14"/>
      <c r="F5" s="14"/>
      <c r="G5" s="14"/>
      <c r="H5" s="14"/>
      <c r="I5" s="14"/>
      <c r="J5" s="15"/>
      <c r="K5" s="12"/>
      <c r="L5" s="12"/>
      <c r="M5" s="12"/>
      <c r="N5" s="12"/>
      <c r="O5" s="12"/>
      <c r="P5" s="12"/>
      <c r="Q5" s="12"/>
      <c r="R5" s="12"/>
      <c r="S5" s="12"/>
      <c r="T5" s="12"/>
      <c r="U5" s="12"/>
      <c r="V5" s="12"/>
      <c r="W5" s="12"/>
      <c r="X5" s="12"/>
      <c r="Y5" s="12"/>
      <c r="Z5" s="12"/>
    </row>
    <row r="6" spans="1:26" ht="12.75" customHeight="1">
      <c r="A6" s="13"/>
      <c r="B6" s="14"/>
      <c r="C6" s="14"/>
      <c r="D6" s="14"/>
      <c r="E6" s="14"/>
      <c r="F6" s="14"/>
      <c r="G6" s="14"/>
      <c r="H6" s="14"/>
      <c r="I6" s="14"/>
      <c r="J6" s="15"/>
      <c r="K6" s="12"/>
      <c r="L6" s="12"/>
      <c r="M6" s="12"/>
      <c r="N6" s="12"/>
      <c r="O6" s="12"/>
      <c r="P6" s="12"/>
      <c r="Q6" s="12"/>
      <c r="R6" s="12"/>
      <c r="S6" s="12"/>
      <c r="T6" s="12"/>
      <c r="U6" s="12"/>
      <c r="V6" s="12"/>
      <c r="W6" s="12"/>
      <c r="X6" s="12"/>
      <c r="Y6" s="12"/>
      <c r="Z6" s="12"/>
    </row>
    <row r="7" spans="1:26" ht="4.5" customHeight="1">
      <c r="A7" s="530"/>
      <c r="B7" s="523"/>
      <c r="C7" s="523"/>
      <c r="D7" s="523"/>
      <c r="E7" s="523"/>
      <c r="F7" s="523"/>
      <c r="G7" s="523"/>
      <c r="H7" s="523"/>
      <c r="I7" s="523"/>
      <c r="J7" s="524"/>
      <c r="K7" s="12"/>
      <c r="L7" s="12"/>
      <c r="M7" s="12"/>
      <c r="N7" s="12"/>
      <c r="O7" s="12"/>
      <c r="P7" s="12"/>
      <c r="Q7" s="12"/>
      <c r="R7" s="12"/>
      <c r="S7" s="12"/>
      <c r="T7" s="12"/>
      <c r="U7" s="12"/>
      <c r="V7" s="12"/>
      <c r="W7" s="12"/>
      <c r="X7" s="12"/>
      <c r="Y7" s="12"/>
      <c r="Z7" s="12"/>
    </row>
    <row r="8" spans="1:26" ht="12.75" customHeight="1">
      <c r="A8" s="13"/>
      <c r="B8" s="14"/>
      <c r="C8" s="14"/>
      <c r="D8" s="14"/>
      <c r="E8" s="14"/>
      <c r="F8" s="14"/>
      <c r="G8" s="14"/>
      <c r="H8" s="14"/>
      <c r="I8" s="14"/>
      <c r="J8" s="15"/>
      <c r="K8" s="12"/>
      <c r="L8" s="12"/>
      <c r="M8" s="12"/>
      <c r="N8" s="12"/>
      <c r="O8" s="12"/>
      <c r="P8" s="12"/>
      <c r="Q8" s="12"/>
      <c r="R8" s="12"/>
      <c r="S8" s="12"/>
      <c r="T8" s="12"/>
      <c r="U8" s="12"/>
      <c r="V8" s="12"/>
      <c r="W8" s="12"/>
      <c r="X8" s="12"/>
      <c r="Y8" s="12"/>
      <c r="Z8" s="12"/>
    </row>
    <row r="9" spans="1:26" ht="12.75" customHeight="1">
      <c r="A9" s="13"/>
      <c r="B9" s="14"/>
      <c r="C9" s="14"/>
      <c r="D9" s="14"/>
      <c r="E9" s="14"/>
      <c r="F9" s="14"/>
      <c r="G9" s="14"/>
      <c r="H9" s="14"/>
      <c r="I9" s="14"/>
      <c r="J9" s="15"/>
      <c r="K9" s="12"/>
      <c r="L9" s="12"/>
      <c r="M9" s="12"/>
      <c r="N9" s="12"/>
      <c r="O9" s="12"/>
      <c r="P9" s="12"/>
      <c r="Q9" s="12"/>
      <c r="R9" s="12"/>
      <c r="S9" s="12"/>
      <c r="T9" s="12"/>
      <c r="U9" s="12"/>
      <c r="V9" s="12"/>
      <c r="W9" s="12"/>
      <c r="X9" s="12"/>
      <c r="Y9" s="12"/>
      <c r="Z9" s="12"/>
    </row>
    <row r="10" spans="1:26" ht="12.75" customHeight="1">
      <c r="A10" s="13"/>
      <c r="B10" s="14"/>
      <c r="C10" s="14"/>
      <c r="D10" s="14"/>
      <c r="E10" s="14"/>
      <c r="F10" s="14"/>
      <c r="G10" s="14"/>
      <c r="H10" s="14"/>
      <c r="I10" s="14"/>
      <c r="J10" s="15"/>
      <c r="K10" s="12"/>
      <c r="L10" s="12"/>
      <c r="M10" s="12"/>
      <c r="N10" s="12"/>
      <c r="O10" s="12"/>
      <c r="P10" s="12"/>
      <c r="Q10" s="12"/>
      <c r="R10" s="12"/>
      <c r="S10" s="12"/>
      <c r="T10" s="12"/>
      <c r="U10" s="12"/>
      <c r="V10" s="12"/>
      <c r="W10" s="12"/>
      <c r="X10" s="12"/>
      <c r="Y10" s="12"/>
      <c r="Z10" s="12"/>
    </row>
    <row r="11" spans="1:26" ht="12.75" customHeight="1">
      <c r="A11" s="13"/>
      <c r="B11" s="14"/>
      <c r="C11" s="14"/>
      <c r="D11" s="14"/>
      <c r="E11" s="14"/>
      <c r="F11" s="14"/>
      <c r="G11" s="14"/>
      <c r="H11" s="14"/>
      <c r="I11" s="14"/>
      <c r="J11" s="15"/>
      <c r="K11" s="12"/>
      <c r="L11" s="12"/>
      <c r="M11" s="12"/>
      <c r="N11" s="12"/>
      <c r="O11" s="12"/>
      <c r="P11" s="12"/>
      <c r="Q11" s="12"/>
      <c r="R11" s="12"/>
      <c r="S11" s="12"/>
      <c r="T11" s="12"/>
      <c r="U11" s="12"/>
      <c r="V11" s="12"/>
      <c r="W11" s="12"/>
      <c r="X11" s="12"/>
      <c r="Y11" s="12"/>
      <c r="Z11" s="12"/>
    </row>
    <row r="12" spans="1:26" ht="12.75" customHeight="1">
      <c r="A12" s="13"/>
      <c r="B12" s="14"/>
      <c r="C12" s="14"/>
      <c r="D12" s="14"/>
      <c r="E12" s="14"/>
      <c r="F12" s="14"/>
      <c r="G12" s="14"/>
      <c r="H12" s="14"/>
      <c r="I12" s="14"/>
      <c r="J12" s="15"/>
      <c r="K12" s="12"/>
      <c r="L12" s="12"/>
      <c r="M12" s="12"/>
      <c r="N12" s="12"/>
      <c r="O12" s="12"/>
      <c r="P12" s="12"/>
      <c r="Q12" s="12"/>
      <c r="R12" s="12"/>
      <c r="S12" s="12"/>
      <c r="T12" s="12"/>
      <c r="U12" s="12"/>
      <c r="V12" s="12"/>
      <c r="W12" s="12"/>
      <c r="X12" s="12"/>
      <c r="Y12" s="12"/>
      <c r="Z12" s="12"/>
    </row>
    <row r="13" spans="1:26" ht="12.75" customHeight="1">
      <c r="A13" s="13"/>
      <c r="B13" s="14"/>
      <c r="C13" s="14"/>
      <c r="D13" s="14"/>
      <c r="E13" s="14"/>
      <c r="F13" s="14"/>
      <c r="G13" s="14"/>
      <c r="H13" s="14"/>
      <c r="I13" s="14"/>
      <c r="J13" s="15"/>
      <c r="K13" s="12"/>
      <c r="L13" s="12"/>
      <c r="M13" s="12"/>
      <c r="N13" s="12"/>
      <c r="O13" s="12"/>
      <c r="P13" s="12"/>
      <c r="Q13" s="12"/>
      <c r="R13" s="12"/>
      <c r="S13" s="12"/>
      <c r="T13" s="12"/>
      <c r="U13" s="12"/>
      <c r="V13" s="12"/>
      <c r="W13" s="12"/>
      <c r="X13" s="12"/>
      <c r="Y13" s="12"/>
      <c r="Z13" s="12"/>
    </row>
    <row r="14" spans="1:26" ht="12.75" customHeight="1">
      <c r="A14" s="13"/>
      <c r="B14" s="14"/>
      <c r="C14" s="14"/>
      <c r="D14" s="14"/>
      <c r="E14" s="14"/>
      <c r="F14" s="14"/>
      <c r="G14" s="14"/>
      <c r="H14" s="14"/>
      <c r="I14" s="14"/>
      <c r="J14" s="15"/>
      <c r="K14" s="12"/>
      <c r="L14" s="12"/>
      <c r="M14" s="12"/>
      <c r="N14" s="12"/>
      <c r="O14" s="12"/>
      <c r="P14" s="12"/>
      <c r="Q14" s="12"/>
      <c r="R14" s="12"/>
      <c r="S14" s="12"/>
      <c r="T14" s="12"/>
      <c r="U14" s="12"/>
      <c r="V14" s="12"/>
      <c r="W14" s="12"/>
      <c r="X14" s="12"/>
      <c r="Y14" s="12"/>
      <c r="Z14" s="12"/>
    </row>
    <row r="15" spans="1:26" ht="12.75" customHeight="1">
      <c r="A15" s="13"/>
      <c r="B15" s="14"/>
      <c r="C15" s="14"/>
      <c r="D15" s="14"/>
      <c r="E15" s="14"/>
      <c r="F15" s="14"/>
      <c r="G15" s="14"/>
      <c r="H15" s="14"/>
      <c r="I15" s="14"/>
      <c r="J15" s="15"/>
      <c r="K15" s="12"/>
      <c r="L15" s="12"/>
      <c r="M15" s="12"/>
      <c r="N15" s="12"/>
      <c r="O15" s="12"/>
      <c r="P15" s="12"/>
      <c r="Q15" s="12"/>
      <c r="R15" s="12"/>
      <c r="S15" s="12"/>
      <c r="T15" s="12"/>
      <c r="U15" s="12"/>
      <c r="V15" s="12"/>
      <c r="W15" s="12"/>
      <c r="X15" s="12"/>
      <c r="Y15" s="12"/>
      <c r="Z15" s="12"/>
    </row>
    <row r="16" spans="1:26" ht="12.75" customHeight="1">
      <c r="A16" s="13"/>
      <c r="B16" s="14"/>
      <c r="C16" s="14"/>
      <c r="D16" s="14"/>
      <c r="E16" s="14"/>
      <c r="F16" s="14"/>
      <c r="G16" s="14"/>
      <c r="H16" s="14"/>
      <c r="I16" s="14"/>
      <c r="J16" s="15"/>
      <c r="K16" s="12"/>
      <c r="L16" s="12"/>
      <c r="M16" s="12"/>
      <c r="N16" s="12"/>
      <c r="O16" s="12"/>
      <c r="P16" s="12"/>
      <c r="Q16" s="12"/>
      <c r="R16" s="12"/>
      <c r="S16" s="12"/>
      <c r="T16" s="12"/>
      <c r="U16" s="12"/>
      <c r="V16" s="12"/>
      <c r="W16" s="12"/>
      <c r="X16" s="12"/>
      <c r="Y16" s="12"/>
      <c r="Z16" s="12"/>
    </row>
    <row r="17" spans="1:26" ht="12.75" customHeight="1">
      <c r="A17" s="13"/>
      <c r="B17" s="14"/>
      <c r="C17" s="14"/>
      <c r="D17" s="14"/>
      <c r="E17" s="14"/>
      <c r="F17" s="14"/>
      <c r="G17" s="14"/>
      <c r="H17" s="14"/>
      <c r="I17" s="14"/>
      <c r="J17" s="15"/>
      <c r="K17" s="12"/>
      <c r="L17" s="12"/>
      <c r="M17" s="12"/>
      <c r="N17" s="12"/>
      <c r="O17" s="12"/>
      <c r="P17" s="12"/>
      <c r="Q17" s="12"/>
      <c r="R17" s="12"/>
      <c r="S17" s="12"/>
      <c r="T17" s="12"/>
      <c r="U17" s="12"/>
      <c r="V17" s="12"/>
      <c r="W17" s="12"/>
      <c r="X17" s="12"/>
      <c r="Y17" s="12"/>
      <c r="Z17" s="12"/>
    </row>
    <row r="18" spans="1:26" ht="12.75" customHeight="1">
      <c r="A18" s="13"/>
      <c r="B18" s="14"/>
      <c r="C18" s="14"/>
      <c r="D18" s="14"/>
      <c r="E18" s="14"/>
      <c r="F18" s="14"/>
      <c r="G18" s="14"/>
      <c r="H18" s="14"/>
      <c r="I18" s="14"/>
      <c r="J18" s="15"/>
      <c r="K18" s="12"/>
      <c r="L18" s="12"/>
      <c r="M18" s="12"/>
      <c r="N18" s="12"/>
      <c r="O18" s="12"/>
      <c r="P18" s="12"/>
      <c r="Q18" s="12"/>
      <c r="R18" s="12"/>
      <c r="S18" s="12"/>
      <c r="T18" s="12"/>
      <c r="U18" s="12"/>
      <c r="V18" s="12"/>
      <c r="W18" s="12"/>
      <c r="X18" s="12"/>
      <c r="Y18" s="12"/>
      <c r="Z18" s="12"/>
    </row>
    <row r="19" spans="1:26" ht="12.75" customHeight="1">
      <c r="A19" s="13"/>
      <c r="B19" s="14"/>
      <c r="C19" s="14"/>
      <c r="D19" s="14"/>
      <c r="E19" s="14"/>
      <c r="F19" s="14"/>
      <c r="G19" s="14"/>
      <c r="H19" s="14"/>
      <c r="I19" s="14"/>
      <c r="J19" s="15"/>
      <c r="K19" s="12"/>
      <c r="L19" s="12"/>
      <c r="M19" s="12"/>
      <c r="N19" s="12"/>
      <c r="O19" s="12"/>
      <c r="P19" s="12"/>
      <c r="Q19" s="12"/>
      <c r="R19" s="12"/>
      <c r="S19" s="12"/>
      <c r="T19" s="12"/>
      <c r="U19" s="12"/>
      <c r="V19" s="12"/>
      <c r="W19" s="12"/>
      <c r="X19" s="12"/>
      <c r="Y19" s="12"/>
      <c r="Z19" s="12"/>
    </row>
    <row r="20" spans="1:26" ht="12.75" customHeight="1">
      <c r="A20" s="13"/>
      <c r="B20" s="14"/>
      <c r="C20" s="14"/>
      <c r="D20" s="14"/>
      <c r="E20" s="14"/>
      <c r="F20" s="14"/>
      <c r="G20" s="14"/>
      <c r="H20" s="14"/>
      <c r="I20" s="14"/>
      <c r="J20" s="15"/>
      <c r="K20" s="12"/>
      <c r="L20" s="12"/>
      <c r="M20" s="12"/>
      <c r="N20" s="12"/>
      <c r="O20" s="12"/>
      <c r="P20" s="12"/>
      <c r="Q20" s="12"/>
      <c r="R20" s="12"/>
      <c r="S20" s="12"/>
      <c r="T20" s="12"/>
      <c r="U20" s="12"/>
      <c r="V20" s="12"/>
      <c r="W20" s="12"/>
      <c r="X20" s="12"/>
      <c r="Y20" s="12"/>
      <c r="Z20" s="12"/>
    </row>
    <row r="21" spans="1:26" ht="12.75" customHeight="1">
      <c r="A21" s="23"/>
      <c r="B21" s="24"/>
      <c r="C21" s="24"/>
      <c r="D21" s="24"/>
      <c r="E21" s="24"/>
      <c r="F21" s="24"/>
      <c r="G21" s="24"/>
      <c r="H21" s="24"/>
      <c r="I21" s="24"/>
      <c r="J21" s="25"/>
      <c r="K21" s="12"/>
      <c r="L21" s="12"/>
      <c r="M21" s="12"/>
      <c r="N21" s="12"/>
      <c r="O21" s="12"/>
      <c r="P21" s="12"/>
      <c r="Q21" s="12"/>
      <c r="R21" s="12"/>
      <c r="S21" s="12"/>
      <c r="T21" s="12"/>
      <c r="U21" s="12"/>
      <c r="V21" s="12"/>
      <c r="W21" s="12"/>
      <c r="X21" s="12"/>
      <c r="Y21" s="12"/>
      <c r="Z21" s="12"/>
    </row>
    <row r="22" spans="1:26" ht="12.75" customHeight="1">
      <c r="A22" s="26"/>
      <c r="B22" s="21"/>
      <c r="C22" s="21"/>
      <c r="D22" s="21"/>
      <c r="E22" s="21"/>
      <c r="F22" s="21"/>
      <c r="G22" s="21"/>
      <c r="H22" s="21"/>
      <c r="I22" s="21"/>
      <c r="J22" s="25"/>
      <c r="K22" s="12"/>
      <c r="L22" s="12"/>
      <c r="M22" s="12"/>
      <c r="N22" s="12"/>
      <c r="O22" s="12"/>
      <c r="P22" s="12"/>
      <c r="Q22" s="12"/>
      <c r="R22" s="12"/>
      <c r="S22" s="12"/>
      <c r="T22" s="12"/>
      <c r="U22" s="12"/>
      <c r="V22" s="12"/>
      <c r="W22" s="12"/>
      <c r="X22" s="12"/>
      <c r="Y22" s="12"/>
      <c r="Z22" s="12"/>
    </row>
    <row r="23" spans="1:26" ht="12.75" customHeight="1">
      <c r="A23" s="26"/>
      <c r="B23" s="21"/>
      <c r="C23" s="21"/>
      <c r="D23" s="21"/>
      <c r="E23" s="21"/>
      <c r="F23" s="21"/>
      <c r="G23" s="21"/>
      <c r="H23" s="21"/>
      <c r="I23" s="21"/>
      <c r="J23" s="25"/>
      <c r="K23" s="12"/>
      <c r="L23" s="12"/>
      <c r="M23" s="12"/>
      <c r="N23" s="12"/>
      <c r="O23" s="12"/>
      <c r="P23" s="12"/>
      <c r="Q23" s="12"/>
      <c r="R23" s="12"/>
      <c r="S23" s="12"/>
      <c r="T23" s="12"/>
      <c r="U23" s="12"/>
      <c r="V23" s="12"/>
      <c r="W23" s="12"/>
      <c r="X23" s="12"/>
      <c r="Y23" s="12"/>
      <c r="Z23" s="12"/>
    </row>
    <row r="24" spans="1:26" ht="12.75" customHeight="1">
      <c r="A24" s="26"/>
      <c r="B24" s="21"/>
      <c r="C24" s="21"/>
      <c r="D24" s="21"/>
      <c r="E24" s="21"/>
      <c r="F24" s="21"/>
      <c r="G24" s="21"/>
      <c r="H24" s="21"/>
      <c r="I24" s="21"/>
      <c r="J24" s="25"/>
      <c r="K24" s="12"/>
      <c r="L24" s="12"/>
      <c r="M24" s="12"/>
      <c r="N24" s="12"/>
      <c r="O24" s="12"/>
      <c r="P24" s="12"/>
      <c r="Q24" s="12"/>
      <c r="R24" s="12"/>
      <c r="S24" s="12"/>
      <c r="T24" s="12"/>
      <c r="U24" s="12"/>
      <c r="V24" s="12"/>
      <c r="W24" s="12"/>
      <c r="X24" s="12"/>
      <c r="Y24" s="12"/>
      <c r="Z24" s="12"/>
    </row>
    <row r="25" spans="1:26" ht="12.75" customHeight="1">
      <c r="A25" s="26"/>
      <c r="B25" s="24"/>
      <c r="C25" s="24"/>
      <c r="D25" s="24"/>
      <c r="E25" s="24"/>
      <c r="F25" s="24"/>
      <c r="G25" s="24"/>
      <c r="H25" s="24"/>
      <c r="I25" s="24"/>
      <c r="J25" s="25"/>
      <c r="K25" s="12"/>
      <c r="L25" s="12"/>
      <c r="M25" s="12"/>
      <c r="N25" s="12"/>
      <c r="O25" s="12"/>
      <c r="P25" s="12"/>
      <c r="Q25" s="12"/>
      <c r="R25" s="12"/>
      <c r="S25" s="12"/>
      <c r="T25" s="12"/>
      <c r="U25" s="12"/>
      <c r="V25" s="12"/>
      <c r="W25" s="12"/>
      <c r="X25" s="12"/>
      <c r="Y25" s="12"/>
      <c r="Z25" s="12"/>
    </row>
    <row r="26" spans="1:26" ht="12.75" customHeight="1">
      <c r="A26" s="522"/>
      <c r="B26" s="523"/>
      <c r="C26" s="523"/>
      <c r="D26" s="523"/>
      <c r="E26" s="523"/>
      <c r="F26" s="523"/>
      <c r="G26" s="523"/>
      <c r="H26" s="523"/>
      <c r="I26" s="523"/>
      <c r="J26" s="524"/>
      <c r="K26" s="12"/>
      <c r="L26" s="12"/>
      <c r="M26" s="12"/>
      <c r="N26" s="12"/>
      <c r="O26" s="12"/>
      <c r="P26" s="12"/>
      <c r="Q26" s="12"/>
      <c r="R26" s="12"/>
      <c r="S26" s="12"/>
      <c r="T26" s="12"/>
      <c r="U26" s="12"/>
      <c r="V26" s="12"/>
      <c r="W26" s="12"/>
      <c r="X26" s="12"/>
      <c r="Y26" s="12"/>
      <c r="Z26" s="12"/>
    </row>
    <row r="27" spans="1:26" ht="12.75" customHeight="1">
      <c r="A27" s="525"/>
      <c r="B27" s="523"/>
      <c r="C27" s="523"/>
      <c r="D27" s="523"/>
      <c r="E27" s="523"/>
      <c r="F27" s="523"/>
      <c r="G27" s="523"/>
      <c r="H27" s="523"/>
      <c r="I27" s="523"/>
      <c r="J27" s="524"/>
      <c r="K27" s="12"/>
      <c r="L27" s="12"/>
      <c r="M27" s="12"/>
      <c r="N27" s="12"/>
      <c r="O27" s="12"/>
      <c r="P27" s="12"/>
      <c r="Q27" s="12"/>
      <c r="R27" s="12"/>
      <c r="S27" s="12"/>
      <c r="T27" s="12"/>
      <c r="U27" s="12"/>
      <c r="V27" s="12"/>
      <c r="W27" s="12"/>
      <c r="X27" s="12"/>
      <c r="Y27" s="12"/>
      <c r="Z27" s="12"/>
    </row>
    <row r="28" spans="1:26" ht="12.75" customHeight="1">
      <c r="A28" s="13"/>
      <c r="B28" s="14"/>
      <c r="C28" s="14"/>
      <c r="D28" s="14"/>
      <c r="E28" s="14"/>
      <c r="F28" s="14"/>
      <c r="G28" s="14"/>
      <c r="H28" s="14"/>
      <c r="I28" s="14"/>
      <c r="J28" s="15"/>
      <c r="K28" s="12"/>
      <c r="L28" s="12"/>
      <c r="M28" s="12"/>
      <c r="N28" s="12"/>
      <c r="O28" s="12"/>
      <c r="P28" s="12"/>
      <c r="Q28" s="12"/>
      <c r="R28" s="12"/>
      <c r="S28" s="12"/>
      <c r="T28" s="12"/>
      <c r="U28" s="12"/>
      <c r="V28" s="12"/>
      <c r="W28" s="12"/>
      <c r="X28" s="12"/>
      <c r="Y28" s="12"/>
      <c r="Z28" s="12"/>
    </row>
    <row r="29" spans="1:26" ht="12.75" customHeight="1">
      <c r="A29" s="13"/>
      <c r="B29" s="14"/>
      <c r="C29" s="14"/>
      <c r="D29" s="14"/>
      <c r="E29" s="14"/>
      <c r="F29" s="14"/>
      <c r="G29" s="14"/>
      <c r="H29" s="14"/>
      <c r="I29" s="14"/>
      <c r="J29" s="15"/>
      <c r="K29" s="12"/>
      <c r="L29" s="12"/>
      <c r="M29" s="12"/>
      <c r="N29" s="12"/>
      <c r="O29" s="12"/>
      <c r="P29" s="12"/>
      <c r="Q29" s="12"/>
      <c r="R29" s="12"/>
      <c r="S29" s="12"/>
      <c r="T29" s="12"/>
      <c r="U29" s="12"/>
      <c r="V29" s="12"/>
      <c r="W29" s="12"/>
      <c r="X29" s="12"/>
      <c r="Y29" s="12"/>
      <c r="Z29" s="12"/>
    </row>
    <row r="30" spans="1:26" ht="12.75" customHeight="1">
      <c r="A30" s="13"/>
      <c r="B30" s="14"/>
      <c r="C30" s="14"/>
      <c r="D30" s="14"/>
      <c r="E30" s="14"/>
      <c r="F30" s="14"/>
      <c r="G30" s="14"/>
      <c r="H30" s="14"/>
      <c r="I30" s="14"/>
      <c r="J30" s="15"/>
      <c r="K30" s="12"/>
      <c r="L30" s="12"/>
      <c r="M30" s="12"/>
      <c r="N30" s="12"/>
      <c r="O30" s="12"/>
      <c r="P30" s="12"/>
      <c r="Q30" s="12"/>
      <c r="R30" s="12"/>
      <c r="S30" s="12"/>
      <c r="T30" s="12"/>
      <c r="U30" s="12"/>
      <c r="V30" s="12"/>
      <c r="W30" s="12"/>
      <c r="X30" s="12"/>
      <c r="Y30" s="12"/>
      <c r="Z30" s="12"/>
    </row>
    <row r="31" spans="1:26" ht="12.75" customHeight="1">
      <c r="A31" s="13"/>
      <c r="B31" s="14"/>
      <c r="C31" s="14"/>
      <c r="D31" s="14"/>
      <c r="E31" s="14"/>
      <c r="F31" s="14"/>
      <c r="G31" s="14"/>
      <c r="H31" s="14"/>
      <c r="I31" s="14"/>
      <c r="J31" s="15"/>
      <c r="K31" s="12"/>
      <c r="L31" s="12"/>
      <c r="M31" s="12"/>
      <c r="N31" s="12"/>
      <c r="O31" s="12"/>
      <c r="P31" s="12"/>
      <c r="Q31" s="12"/>
      <c r="R31" s="12"/>
      <c r="S31" s="12"/>
      <c r="T31" s="12"/>
      <c r="U31" s="12"/>
      <c r="V31" s="12"/>
      <c r="W31" s="12"/>
      <c r="X31" s="12"/>
      <c r="Y31" s="12"/>
      <c r="Z31" s="12"/>
    </row>
    <row r="32" spans="1:26" ht="12.75" customHeight="1">
      <c r="A32" s="13"/>
      <c r="B32" s="14"/>
      <c r="C32" s="14"/>
      <c r="D32" s="14"/>
      <c r="E32" s="14"/>
      <c r="F32" s="14"/>
      <c r="G32" s="14"/>
      <c r="H32" s="14"/>
      <c r="I32" s="14"/>
      <c r="J32" s="15"/>
      <c r="K32" s="12"/>
      <c r="L32" s="12"/>
      <c r="M32" s="12"/>
      <c r="N32" s="12"/>
      <c r="O32" s="12"/>
      <c r="P32" s="12"/>
      <c r="Q32" s="12"/>
      <c r="R32" s="12"/>
      <c r="S32" s="12"/>
      <c r="T32" s="12"/>
      <c r="U32" s="12"/>
      <c r="V32" s="12"/>
      <c r="W32" s="12"/>
      <c r="X32" s="12"/>
      <c r="Y32" s="12"/>
      <c r="Z32" s="12"/>
    </row>
    <row r="33" spans="1:26" ht="12.75" customHeight="1">
      <c r="A33" s="13"/>
      <c r="B33" s="14"/>
      <c r="C33" s="14"/>
      <c r="D33" s="14"/>
      <c r="E33" s="14"/>
      <c r="F33" s="14"/>
      <c r="G33" s="14"/>
      <c r="H33" s="14"/>
      <c r="I33" s="14"/>
      <c r="J33" s="15"/>
      <c r="K33" s="12"/>
      <c r="L33" s="12"/>
      <c r="M33" s="12"/>
      <c r="N33" s="12"/>
      <c r="O33" s="12"/>
      <c r="P33" s="12"/>
      <c r="Q33" s="12"/>
      <c r="R33" s="12"/>
      <c r="S33" s="12"/>
      <c r="T33" s="12"/>
      <c r="U33" s="12"/>
      <c r="V33" s="12"/>
      <c r="W33" s="12"/>
      <c r="X33" s="12"/>
      <c r="Y33" s="12"/>
      <c r="Z33" s="12"/>
    </row>
    <row r="34" spans="1:26" ht="12.75" customHeight="1">
      <c r="A34" s="13"/>
      <c r="B34" s="14"/>
      <c r="C34" s="14"/>
      <c r="D34" s="14"/>
      <c r="E34" s="14"/>
      <c r="F34" s="14"/>
      <c r="G34" s="14"/>
      <c r="H34" s="14"/>
      <c r="I34" s="14"/>
      <c r="J34" s="15"/>
      <c r="K34" s="12"/>
      <c r="L34" s="12"/>
      <c r="M34" s="12"/>
      <c r="N34" s="12"/>
      <c r="O34" s="12"/>
      <c r="P34" s="12"/>
      <c r="Q34" s="12"/>
      <c r="R34" s="12"/>
      <c r="S34" s="12"/>
      <c r="T34" s="12"/>
      <c r="U34" s="12"/>
      <c r="V34" s="12"/>
      <c r="W34" s="12"/>
      <c r="X34" s="12"/>
      <c r="Y34" s="12"/>
      <c r="Z34" s="12"/>
    </row>
    <row r="35" spans="1:26" ht="12.75" customHeight="1">
      <c r="A35" s="13"/>
      <c r="B35" s="14"/>
      <c r="C35" s="14"/>
      <c r="D35" s="14"/>
      <c r="E35" s="14"/>
      <c r="F35" s="14"/>
      <c r="G35" s="14"/>
      <c r="H35" s="14"/>
      <c r="I35" s="14"/>
      <c r="J35" s="15"/>
      <c r="K35" s="12"/>
      <c r="L35" s="12"/>
      <c r="M35" s="12"/>
      <c r="N35" s="12"/>
      <c r="O35" s="12"/>
      <c r="P35" s="12"/>
      <c r="Q35" s="12"/>
      <c r="R35" s="12"/>
      <c r="S35" s="12"/>
      <c r="T35" s="12"/>
      <c r="U35" s="12"/>
      <c r="V35" s="12"/>
      <c r="W35" s="12"/>
      <c r="X35" s="12"/>
      <c r="Y35" s="12"/>
      <c r="Z35" s="12"/>
    </row>
    <row r="36" spans="1:26" ht="12.75" customHeight="1">
      <c r="A36" s="526" t="s">
        <v>81</v>
      </c>
      <c r="B36" s="527"/>
      <c r="C36" s="527"/>
      <c r="D36" s="527"/>
      <c r="E36" s="527"/>
      <c r="F36" s="527"/>
      <c r="G36" s="527"/>
      <c r="H36" s="527"/>
      <c r="I36" s="527"/>
      <c r="J36" s="528"/>
      <c r="K36" s="12"/>
      <c r="L36" s="12"/>
      <c r="M36" s="12"/>
      <c r="N36" s="12"/>
      <c r="O36" s="12"/>
      <c r="P36" s="12"/>
      <c r="Q36" s="12"/>
      <c r="R36" s="12"/>
      <c r="S36" s="12"/>
      <c r="T36" s="12"/>
      <c r="U36" s="12"/>
      <c r="V36" s="12"/>
      <c r="W36" s="12"/>
      <c r="X36" s="12"/>
      <c r="Y36" s="12"/>
      <c r="Z36" s="12"/>
    </row>
    <row r="37" spans="1:26" ht="12.75" customHeight="1">
      <c r="A37" s="529"/>
      <c r="B37" s="527"/>
      <c r="C37" s="527"/>
      <c r="D37" s="527"/>
      <c r="E37" s="527"/>
      <c r="F37" s="527"/>
      <c r="G37" s="527"/>
      <c r="H37" s="527"/>
      <c r="I37" s="527"/>
      <c r="J37" s="528"/>
      <c r="K37" s="12"/>
      <c r="L37" s="12"/>
      <c r="M37" s="12"/>
      <c r="N37" s="12"/>
      <c r="O37" s="12"/>
      <c r="P37" s="12"/>
      <c r="Q37" s="12"/>
      <c r="R37" s="12"/>
      <c r="S37" s="12"/>
      <c r="T37" s="12"/>
      <c r="U37" s="12"/>
      <c r="V37" s="12"/>
      <c r="W37" s="12"/>
      <c r="X37" s="12"/>
      <c r="Y37" s="12"/>
      <c r="Z37" s="12"/>
    </row>
    <row r="38" spans="1:26" ht="12.75" customHeight="1">
      <c r="A38" s="13"/>
      <c r="B38" s="14"/>
      <c r="C38" s="14"/>
      <c r="D38" s="14"/>
      <c r="E38" s="14"/>
      <c r="F38" s="14"/>
      <c r="G38" s="14"/>
      <c r="H38" s="14"/>
      <c r="I38" s="14"/>
      <c r="J38" s="15"/>
      <c r="K38" s="12"/>
      <c r="L38" s="12"/>
      <c r="M38" s="12"/>
      <c r="N38" s="12"/>
      <c r="O38" s="12"/>
      <c r="P38" s="12"/>
      <c r="Q38" s="12"/>
      <c r="R38" s="12"/>
      <c r="S38" s="12"/>
      <c r="T38" s="12"/>
      <c r="U38" s="12"/>
      <c r="V38" s="12"/>
      <c r="W38" s="12"/>
      <c r="X38" s="12"/>
      <c r="Y38" s="12"/>
      <c r="Z38" s="12"/>
    </row>
    <row r="39" spans="1:26" ht="12.75" customHeight="1">
      <c r="A39" s="13"/>
      <c r="B39" s="14"/>
      <c r="C39" s="14"/>
      <c r="D39" s="14"/>
      <c r="E39" s="14"/>
      <c r="F39" s="14"/>
      <c r="G39" s="14"/>
      <c r="H39" s="14"/>
      <c r="I39" s="14"/>
      <c r="J39" s="15"/>
      <c r="K39" s="12"/>
      <c r="L39" s="12"/>
      <c r="M39" s="12"/>
      <c r="N39" s="12"/>
      <c r="O39" s="12"/>
      <c r="P39" s="12"/>
      <c r="Q39" s="12"/>
      <c r="R39" s="12"/>
      <c r="S39" s="12"/>
      <c r="T39" s="12"/>
      <c r="U39" s="12"/>
      <c r="V39" s="12"/>
      <c r="W39" s="12"/>
      <c r="X39" s="12"/>
      <c r="Y39" s="12"/>
      <c r="Z39" s="12"/>
    </row>
    <row r="40" spans="1:26" ht="12.75" customHeight="1">
      <c r="A40" s="13"/>
      <c r="B40" s="14"/>
      <c r="C40" s="14"/>
      <c r="D40" s="14"/>
      <c r="E40" s="14"/>
      <c r="F40" s="14"/>
      <c r="G40" s="14"/>
      <c r="H40" s="14"/>
      <c r="I40" s="14"/>
      <c r="J40" s="15"/>
      <c r="K40" s="12"/>
      <c r="L40" s="12"/>
      <c r="M40" s="12"/>
      <c r="N40" s="12"/>
      <c r="O40" s="12"/>
      <c r="P40" s="12"/>
      <c r="Q40" s="12"/>
      <c r="R40" s="12"/>
      <c r="S40" s="12"/>
      <c r="T40" s="12"/>
      <c r="U40" s="12"/>
      <c r="V40" s="12"/>
      <c r="W40" s="12"/>
      <c r="X40" s="12"/>
      <c r="Y40" s="12"/>
      <c r="Z40" s="12"/>
    </row>
    <row r="41" spans="1:26" ht="12.75" customHeight="1">
      <c r="A41" s="13"/>
      <c r="B41" s="14"/>
      <c r="C41" s="14"/>
      <c r="D41" s="14"/>
      <c r="E41" s="14"/>
      <c r="F41" s="14"/>
      <c r="G41" s="14"/>
      <c r="H41" s="14"/>
      <c r="I41" s="14"/>
      <c r="J41" s="15"/>
      <c r="K41" s="12"/>
      <c r="L41" s="12"/>
      <c r="M41" s="12"/>
      <c r="N41" s="12"/>
      <c r="O41" s="12"/>
      <c r="P41" s="12"/>
      <c r="Q41" s="12"/>
      <c r="R41" s="12"/>
      <c r="S41" s="12"/>
      <c r="T41" s="12"/>
      <c r="U41" s="12"/>
      <c r="V41" s="12"/>
      <c r="W41" s="12"/>
      <c r="X41" s="12"/>
      <c r="Y41" s="12"/>
      <c r="Z41" s="12"/>
    </row>
    <row r="42" spans="1:26" ht="12.75" customHeight="1">
      <c r="A42" s="13"/>
      <c r="B42" s="14"/>
      <c r="C42" s="14"/>
      <c r="D42" s="14"/>
      <c r="E42" s="14"/>
      <c r="F42" s="14"/>
      <c r="G42" s="14"/>
      <c r="H42" s="14"/>
      <c r="I42" s="14"/>
      <c r="J42" s="15"/>
      <c r="K42" s="12"/>
      <c r="L42" s="12"/>
      <c r="M42" s="12"/>
      <c r="N42" s="12"/>
      <c r="O42" s="12"/>
      <c r="P42" s="12"/>
      <c r="Q42" s="12"/>
      <c r="R42" s="12"/>
      <c r="S42" s="12"/>
      <c r="T42" s="12"/>
      <c r="U42" s="12"/>
      <c r="V42" s="12"/>
      <c r="W42" s="12"/>
      <c r="X42" s="12"/>
      <c r="Y42" s="12"/>
      <c r="Z42" s="12"/>
    </row>
    <row r="43" spans="1:26" ht="12.75" customHeight="1">
      <c r="A43" s="13"/>
      <c r="B43" s="14"/>
      <c r="C43" s="14"/>
      <c r="D43" s="14"/>
      <c r="E43" s="14"/>
      <c r="F43" s="14"/>
      <c r="G43" s="14"/>
      <c r="H43" s="14"/>
      <c r="I43" s="14"/>
      <c r="J43" s="15"/>
      <c r="K43" s="12"/>
      <c r="L43" s="12"/>
      <c r="M43" s="12"/>
      <c r="N43" s="12"/>
      <c r="O43" s="12"/>
      <c r="P43" s="12"/>
      <c r="Q43" s="12"/>
      <c r="R43" s="12"/>
      <c r="S43" s="12"/>
      <c r="T43" s="12"/>
      <c r="U43" s="12"/>
      <c r="V43" s="12"/>
      <c r="W43" s="12"/>
      <c r="X43" s="12"/>
      <c r="Y43" s="12"/>
      <c r="Z43" s="12"/>
    </row>
    <row r="44" spans="1:26" ht="12.75" customHeight="1">
      <c r="A44" s="13"/>
      <c r="B44" s="14"/>
      <c r="C44" s="14"/>
      <c r="D44" s="14"/>
      <c r="E44" s="14"/>
      <c r="F44" s="14"/>
      <c r="G44" s="14"/>
      <c r="H44" s="14"/>
      <c r="I44" s="14"/>
      <c r="J44" s="15"/>
      <c r="K44" s="12"/>
      <c r="L44" s="12"/>
      <c r="M44" s="12"/>
      <c r="N44" s="12"/>
      <c r="O44" s="12"/>
      <c r="P44" s="12"/>
      <c r="Q44" s="12"/>
      <c r="R44" s="12"/>
      <c r="S44" s="12"/>
      <c r="T44" s="12"/>
      <c r="U44" s="12"/>
      <c r="V44" s="12"/>
      <c r="W44" s="12"/>
      <c r="X44" s="12"/>
      <c r="Y44" s="12"/>
      <c r="Z44" s="12"/>
    </row>
    <row r="45" spans="1:26" ht="12.75" customHeight="1">
      <c r="A45" s="13"/>
      <c r="B45" s="14"/>
      <c r="C45" s="14"/>
      <c r="D45" s="14"/>
      <c r="E45" s="14"/>
      <c r="F45" s="14"/>
      <c r="G45" s="14"/>
      <c r="H45" s="14"/>
      <c r="I45" s="14"/>
      <c r="J45" s="15"/>
      <c r="K45" s="12"/>
      <c r="L45" s="12"/>
      <c r="M45" s="12"/>
      <c r="N45" s="12"/>
      <c r="O45" s="12"/>
      <c r="P45" s="12"/>
      <c r="Q45" s="12"/>
      <c r="R45" s="12"/>
      <c r="S45" s="12"/>
      <c r="T45" s="12"/>
      <c r="U45" s="12"/>
      <c r="V45" s="12"/>
      <c r="W45" s="12"/>
      <c r="X45" s="12"/>
      <c r="Y45" s="12"/>
      <c r="Z45" s="12"/>
    </row>
    <row r="46" spans="1:26" ht="12.75" customHeight="1">
      <c r="A46" s="13"/>
      <c r="B46" s="14"/>
      <c r="C46" s="14"/>
      <c r="D46" s="14"/>
      <c r="E46" s="14"/>
      <c r="F46" s="14"/>
      <c r="G46" s="14"/>
      <c r="H46" s="14"/>
      <c r="I46" s="14"/>
      <c r="J46" s="15"/>
      <c r="K46" s="12"/>
      <c r="L46" s="12"/>
      <c r="M46" s="12"/>
      <c r="N46" s="12"/>
      <c r="O46" s="12"/>
      <c r="P46" s="12"/>
      <c r="Q46" s="12"/>
      <c r="R46" s="12"/>
      <c r="S46" s="12"/>
      <c r="T46" s="12"/>
      <c r="U46" s="12"/>
      <c r="V46" s="12"/>
      <c r="W46" s="12"/>
      <c r="X46" s="12"/>
      <c r="Y46" s="12"/>
      <c r="Z46" s="12"/>
    </row>
    <row r="47" spans="1:26" ht="12.75" customHeight="1">
      <c r="A47" s="13"/>
      <c r="B47" s="14"/>
      <c r="C47" s="14"/>
      <c r="D47" s="14"/>
      <c r="E47" s="14"/>
      <c r="F47" s="14"/>
      <c r="G47" s="14"/>
      <c r="H47" s="14"/>
      <c r="I47" s="14"/>
      <c r="J47" s="15"/>
      <c r="K47" s="12"/>
      <c r="L47" s="12"/>
      <c r="M47" s="12"/>
      <c r="N47" s="12"/>
      <c r="O47" s="12"/>
      <c r="P47" s="12"/>
      <c r="Q47" s="12"/>
      <c r="R47" s="12"/>
      <c r="S47" s="12"/>
      <c r="T47" s="12"/>
      <c r="U47" s="12"/>
      <c r="V47" s="12"/>
      <c r="W47" s="12"/>
      <c r="X47" s="12"/>
      <c r="Y47" s="12"/>
      <c r="Z47" s="12"/>
    </row>
    <row r="48" spans="1:26" ht="12.75" customHeight="1">
      <c r="A48" s="13"/>
      <c r="B48" s="14"/>
      <c r="C48" s="14"/>
      <c r="D48" s="14"/>
      <c r="E48" s="14"/>
      <c r="F48" s="14"/>
      <c r="G48" s="14"/>
      <c r="H48" s="14"/>
      <c r="I48" s="14"/>
      <c r="J48" s="15"/>
      <c r="K48" s="12"/>
      <c r="L48" s="12"/>
      <c r="M48" s="12"/>
      <c r="N48" s="12"/>
      <c r="O48" s="12"/>
      <c r="P48" s="12"/>
      <c r="Q48" s="12"/>
      <c r="R48" s="12"/>
      <c r="S48" s="12"/>
      <c r="T48" s="12"/>
      <c r="U48" s="12"/>
      <c r="V48" s="12"/>
      <c r="W48" s="12"/>
      <c r="X48" s="12"/>
      <c r="Y48" s="12"/>
      <c r="Z48" s="12"/>
    </row>
    <row r="49" spans="1:26" ht="12.75" customHeight="1">
      <c r="A49" s="13"/>
      <c r="B49" s="14"/>
      <c r="C49" s="14"/>
      <c r="D49" s="14"/>
      <c r="E49" s="14"/>
      <c r="F49" s="14"/>
      <c r="G49" s="14"/>
      <c r="H49" s="14"/>
      <c r="I49" s="14"/>
      <c r="J49" s="15"/>
      <c r="K49" s="12"/>
      <c r="L49" s="12"/>
      <c r="M49" s="12"/>
      <c r="N49" s="12"/>
      <c r="O49" s="12"/>
      <c r="P49" s="12"/>
      <c r="Q49" s="12"/>
      <c r="R49" s="12"/>
      <c r="S49" s="12"/>
      <c r="T49" s="12"/>
      <c r="U49" s="12"/>
      <c r="V49" s="12"/>
      <c r="W49" s="12"/>
      <c r="X49" s="12"/>
      <c r="Y49" s="12"/>
      <c r="Z49" s="12"/>
    </row>
    <row r="50" spans="1:26" ht="12.75" customHeight="1">
      <c r="A50" s="13"/>
      <c r="B50" s="14"/>
      <c r="C50" s="14"/>
      <c r="D50" s="14"/>
      <c r="E50" s="14"/>
      <c r="F50" s="14"/>
      <c r="G50" s="14"/>
      <c r="H50" s="14"/>
      <c r="I50" s="14"/>
      <c r="J50" s="15"/>
      <c r="K50" s="12"/>
      <c r="L50" s="12"/>
      <c r="M50" s="12"/>
      <c r="N50" s="12"/>
      <c r="O50" s="12"/>
      <c r="P50" s="12"/>
      <c r="Q50" s="12"/>
      <c r="R50" s="12"/>
      <c r="S50" s="12"/>
      <c r="T50" s="12"/>
      <c r="U50" s="12"/>
      <c r="V50" s="12"/>
      <c r="W50" s="12"/>
      <c r="X50" s="12"/>
      <c r="Y50" s="12"/>
      <c r="Z50" s="12"/>
    </row>
    <row r="51" spans="1:26" ht="12.75" customHeight="1">
      <c r="A51" s="13"/>
      <c r="B51" s="14"/>
      <c r="C51" s="14"/>
      <c r="D51" s="14"/>
      <c r="E51" s="14"/>
      <c r="F51" s="14"/>
      <c r="G51" s="14"/>
      <c r="H51" s="14"/>
      <c r="I51" s="14"/>
      <c r="J51" s="15"/>
      <c r="K51" s="12"/>
      <c r="L51" s="12"/>
      <c r="M51" s="12"/>
      <c r="N51" s="12"/>
      <c r="O51" s="12"/>
      <c r="P51" s="12"/>
      <c r="Q51" s="12"/>
      <c r="R51" s="12"/>
      <c r="S51" s="12"/>
      <c r="T51" s="12"/>
      <c r="U51" s="12"/>
      <c r="V51" s="12"/>
      <c r="W51" s="12"/>
      <c r="X51" s="12"/>
      <c r="Y51" s="12"/>
      <c r="Z51" s="12"/>
    </row>
    <row r="52" spans="1:26" ht="12.75" customHeight="1">
      <c r="A52" s="13"/>
      <c r="B52" s="14"/>
      <c r="C52" s="14"/>
      <c r="D52" s="14"/>
      <c r="E52" s="14"/>
      <c r="F52" s="14"/>
      <c r="G52" s="14"/>
      <c r="H52" s="14"/>
      <c r="I52" s="14"/>
      <c r="J52" s="15"/>
      <c r="K52" s="12"/>
      <c r="L52" s="12"/>
      <c r="M52" s="12"/>
      <c r="N52" s="12"/>
      <c r="O52" s="12"/>
      <c r="P52" s="12"/>
      <c r="Q52" s="12"/>
      <c r="R52" s="12"/>
      <c r="S52" s="12"/>
      <c r="T52" s="12"/>
      <c r="U52" s="12"/>
      <c r="V52" s="12"/>
      <c r="W52" s="12"/>
      <c r="X52" s="12"/>
      <c r="Y52" s="12"/>
      <c r="Z52" s="12"/>
    </row>
    <row r="53" spans="1:26" ht="12.75" customHeight="1">
      <c r="A53" s="13"/>
      <c r="B53" s="14"/>
      <c r="C53" s="14"/>
      <c r="D53" s="14"/>
      <c r="E53" s="14"/>
      <c r="F53" s="14"/>
      <c r="G53" s="14"/>
      <c r="H53" s="14"/>
      <c r="I53" s="14"/>
      <c r="J53" s="15"/>
      <c r="K53" s="12"/>
      <c r="L53" s="12"/>
      <c r="M53" s="12"/>
      <c r="N53" s="12"/>
      <c r="O53" s="12"/>
      <c r="P53" s="12"/>
      <c r="Q53" s="12"/>
      <c r="R53" s="12"/>
      <c r="S53" s="12"/>
      <c r="T53" s="12"/>
      <c r="U53" s="12"/>
      <c r="V53" s="12"/>
      <c r="W53" s="12"/>
      <c r="X53" s="12"/>
      <c r="Y53" s="12"/>
      <c r="Z53" s="12"/>
    </row>
    <row r="54" spans="1:26" ht="12.75" customHeight="1">
      <c r="A54" s="13"/>
      <c r="B54" s="14"/>
      <c r="C54" s="14"/>
      <c r="D54" s="14"/>
      <c r="E54" s="14"/>
      <c r="F54" s="14"/>
      <c r="G54" s="14"/>
      <c r="H54" s="14"/>
      <c r="I54" s="14"/>
      <c r="J54" s="15"/>
      <c r="K54" s="12"/>
      <c r="L54" s="12"/>
      <c r="M54" s="12"/>
      <c r="N54" s="12"/>
      <c r="O54" s="12"/>
      <c r="P54" s="12"/>
      <c r="Q54" s="12"/>
      <c r="R54" s="12"/>
      <c r="S54" s="12"/>
      <c r="T54" s="12"/>
      <c r="U54" s="12"/>
      <c r="V54" s="12"/>
      <c r="W54" s="12"/>
      <c r="X54" s="12"/>
      <c r="Y54" s="12"/>
      <c r="Z54" s="12"/>
    </row>
    <row r="55" spans="1:26" ht="12.75" customHeight="1">
      <c r="A55" s="13"/>
      <c r="B55" s="14"/>
      <c r="C55" s="14"/>
      <c r="D55" s="14"/>
      <c r="E55" s="14"/>
      <c r="F55" s="14"/>
      <c r="G55" s="14"/>
      <c r="H55" s="14"/>
      <c r="I55" s="14"/>
      <c r="J55" s="15"/>
      <c r="K55" s="12"/>
      <c r="L55" s="12"/>
      <c r="M55" s="12"/>
      <c r="N55" s="12"/>
      <c r="O55" s="12"/>
      <c r="P55" s="12"/>
      <c r="Q55" s="12"/>
      <c r="R55" s="12"/>
      <c r="S55" s="12"/>
      <c r="T55" s="12"/>
      <c r="U55" s="12"/>
      <c r="V55" s="12"/>
      <c r="W55" s="12"/>
      <c r="X55" s="12"/>
      <c r="Y55" s="12"/>
      <c r="Z55" s="12"/>
    </row>
    <row r="56" spans="1:26" ht="12.75" customHeight="1">
      <c r="A56" s="13"/>
      <c r="B56" s="14"/>
      <c r="C56" s="14"/>
      <c r="D56" s="14"/>
      <c r="E56" s="14"/>
      <c r="F56" s="14"/>
      <c r="G56" s="14"/>
      <c r="H56" s="14"/>
      <c r="I56" s="14"/>
      <c r="J56" s="15"/>
      <c r="K56" s="12"/>
      <c r="L56" s="12"/>
      <c r="M56" s="12"/>
      <c r="N56" s="12"/>
      <c r="O56" s="12"/>
      <c r="P56" s="12"/>
      <c r="Q56" s="12"/>
      <c r="R56" s="12"/>
      <c r="S56" s="12"/>
      <c r="T56" s="12"/>
      <c r="U56" s="12"/>
      <c r="V56" s="12"/>
      <c r="W56" s="12"/>
      <c r="X56" s="12"/>
      <c r="Y56" s="12"/>
      <c r="Z56" s="12"/>
    </row>
    <row r="57" spans="1:26" ht="12.75" customHeight="1">
      <c r="A57" s="526" t="s">
        <v>654</v>
      </c>
      <c r="B57" s="527"/>
      <c r="C57" s="527"/>
      <c r="D57" s="527"/>
      <c r="E57" s="527"/>
      <c r="F57" s="527"/>
      <c r="G57" s="527"/>
      <c r="H57" s="527"/>
      <c r="I57" s="527"/>
      <c r="J57" s="528"/>
      <c r="K57" s="12"/>
      <c r="L57" s="12"/>
      <c r="M57" s="12"/>
      <c r="N57" s="12"/>
      <c r="O57" s="12"/>
      <c r="P57" s="12"/>
      <c r="Q57" s="12"/>
      <c r="R57" s="12"/>
      <c r="S57" s="12"/>
      <c r="T57" s="12"/>
      <c r="U57" s="12"/>
      <c r="V57" s="12"/>
      <c r="W57" s="12"/>
      <c r="X57" s="12"/>
      <c r="Y57" s="12"/>
      <c r="Z57" s="12"/>
    </row>
    <row r="58" spans="1:26" ht="12.75" customHeight="1">
      <c r="A58" s="529"/>
      <c r="B58" s="527"/>
      <c r="C58" s="527"/>
      <c r="D58" s="527"/>
      <c r="E58" s="527"/>
      <c r="F58" s="527"/>
      <c r="G58" s="527"/>
      <c r="H58" s="527"/>
      <c r="I58" s="527"/>
      <c r="J58" s="528"/>
      <c r="K58" s="12"/>
      <c r="L58" s="12"/>
      <c r="M58" s="12"/>
      <c r="N58" s="12"/>
      <c r="O58" s="12"/>
      <c r="P58" s="12"/>
      <c r="Q58" s="12"/>
      <c r="R58" s="12"/>
      <c r="S58" s="12"/>
      <c r="T58" s="12"/>
      <c r="U58" s="12"/>
      <c r="V58" s="12"/>
      <c r="W58" s="12"/>
      <c r="X58" s="12"/>
      <c r="Y58" s="12"/>
      <c r="Z58" s="12"/>
    </row>
    <row r="59" spans="1:26" ht="13.5" customHeight="1" thickBot="1">
      <c r="A59" s="16"/>
      <c r="B59" s="17"/>
      <c r="C59" s="17"/>
      <c r="D59" s="17"/>
      <c r="E59" s="17"/>
      <c r="F59" s="17"/>
      <c r="G59" s="17"/>
      <c r="H59" s="17"/>
      <c r="I59" s="17"/>
      <c r="J59" s="18"/>
      <c r="K59" s="12"/>
      <c r="L59" s="12"/>
      <c r="M59" s="12"/>
      <c r="N59" s="12"/>
      <c r="O59" s="12"/>
      <c r="P59" s="12"/>
      <c r="Q59" s="12"/>
      <c r="R59" s="12"/>
      <c r="S59" s="12"/>
      <c r="T59" s="12"/>
      <c r="U59" s="12"/>
      <c r="V59" s="12"/>
      <c r="W59" s="12"/>
      <c r="X59" s="12"/>
      <c r="Y59" s="12"/>
      <c r="Z59" s="12"/>
    </row>
    <row r="60" spans="1:26" ht="12.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
    <mergeCell ref="A26:J27"/>
    <mergeCell ref="A36:J37"/>
    <mergeCell ref="A7:J7"/>
    <mergeCell ref="A57:J58"/>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FFFFCC"/>
  </sheetPr>
  <dimension ref="A1:AK163"/>
  <sheetViews>
    <sheetView showGridLines="0" topLeftCell="A58" zoomScale="80" zoomScaleNormal="80" zoomScaleSheetLayoutView="90" workbookViewId="0">
      <selection activeCell="C106" sqref="C106:D106"/>
    </sheetView>
  </sheetViews>
  <sheetFormatPr defaultColWidth="8.7109375" defaultRowHeight="12.75"/>
  <cols>
    <col min="1" max="1" width="6" style="19" customWidth="1"/>
    <col min="2" max="2" width="91.85546875" style="19" customWidth="1"/>
    <col min="3" max="3" width="9.5703125" style="19" customWidth="1"/>
    <col min="4" max="4" width="11.7109375" style="19" customWidth="1"/>
    <col min="5" max="5" width="14.5703125" style="19" customWidth="1"/>
    <col min="6" max="6" width="18.140625" style="19" customWidth="1"/>
    <col min="7" max="10" width="14.5703125" style="19" customWidth="1"/>
    <col min="11" max="11" width="13.7109375" style="19" customWidth="1"/>
    <col min="12" max="12" width="16" style="19" customWidth="1"/>
    <col min="13" max="13" width="18.140625" style="19" customWidth="1"/>
    <col min="14" max="14" width="14.5703125" style="19" customWidth="1"/>
    <col min="15" max="15" width="16.140625" style="19" customWidth="1"/>
    <col min="16" max="16" width="12.5703125" style="19" customWidth="1"/>
    <col min="17" max="17" width="13.28515625" style="19" customWidth="1"/>
    <col min="18" max="18" width="14.85546875" style="19" customWidth="1"/>
    <col min="19" max="19" width="13.7109375" style="19" customWidth="1"/>
    <col min="20" max="20" width="16.7109375" style="19" customWidth="1"/>
    <col min="21" max="21" width="15.85546875" style="19" customWidth="1"/>
    <col min="22" max="22" width="14.42578125" style="19" customWidth="1"/>
    <col min="23" max="23" width="15" style="19" customWidth="1"/>
    <col min="24" max="24" width="16" style="19" customWidth="1"/>
    <col min="25" max="25" width="13.5703125" style="19" customWidth="1"/>
    <col min="26" max="26" width="15.7109375" style="19" customWidth="1"/>
    <col min="27" max="27" width="16.7109375" style="19" customWidth="1"/>
    <col min="28" max="28" width="14.5703125" style="19" customWidth="1"/>
    <col min="29" max="29" width="15" style="19" customWidth="1"/>
    <col min="30" max="30" width="16.42578125" style="19" customWidth="1"/>
    <col min="31" max="31" width="2.42578125" style="247" customWidth="1"/>
    <col min="32" max="32" width="2.5703125" style="247" customWidth="1"/>
    <col min="33" max="36" width="2.42578125" style="19" customWidth="1"/>
    <col min="37" max="37" width="3.5703125" style="19" customWidth="1"/>
    <col min="38" max="16384" width="8.7109375" style="19"/>
  </cols>
  <sheetData>
    <row r="1" spans="1:30" ht="15" customHeight="1">
      <c r="A1" s="550"/>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row>
    <row r="2" spans="1:30" ht="15" customHeight="1">
      <c r="A2" s="562" t="s">
        <v>24</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row>
    <row r="3" spans="1:30" ht="15" customHeight="1">
      <c r="A3" s="562" t="s">
        <v>25</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row>
    <row r="4" spans="1:30" ht="15" customHeight="1">
      <c r="A4" s="562" t="s">
        <v>657</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row>
    <row r="5" spans="1:30" ht="15" customHeight="1">
      <c r="A5" s="578" t="s">
        <v>714</v>
      </c>
      <c r="B5" s="578"/>
      <c r="C5" s="248"/>
    </row>
    <row r="6" spans="1:30" ht="15" customHeight="1"/>
    <row r="7" spans="1:30" ht="14.45" customHeight="1">
      <c r="A7" s="590" t="s">
        <v>82</v>
      </c>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row>
    <row r="8" spans="1:30" ht="14.45" customHeight="1">
      <c r="A8" s="591" t="s">
        <v>83</v>
      </c>
      <c r="B8" s="591"/>
      <c r="C8" s="591"/>
      <c r="D8" s="591"/>
      <c r="E8" s="591"/>
      <c r="F8" s="591"/>
      <c r="G8" s="591"/>
      <c r="H8" s="591"/>
      <c r="I8" s="591"/>
      <c r="J8" s="591"/>
      <c r="K8" s="591"/>
      <c r="L8" s="591"/>
      <c r="M8" s="591"/>
      <c r="N8" s="591"/>
      <c r="O8" s="591"/>
      <c r="P8" s="591"/>
      <c r="Q8" s="591"/>
      <c r="R8" s="591"/>
      <c r="S8" s="591"/>
      <c r="T8" s="591"/>
      <c r="U8" s="591"/>
      <c r="V8" s="591"/>
      <c r="W8" s="591"/>
      <c r="X8" s="591"/>
      <c r="Y8" s="591"/>
      <c r="Z8" s="591"/>
      <c r="AA8" s="591"/>
      <c r="AB8" s="591"/>
      <c r="AC8" s="591"/>
      <c r="AD8" s="591"/>
    </row>
    <row r="9" spans="1:30" ht="14.45" customHeight="1">
      <c r="A9" s="556"/>
      <c r="B9" s="556"/>
      <c r="C9" s="556"/>
      <c r="D9" s="556"/>
      <c r="E9" s="556"/>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row>
    <row r="10" spans="1:30" ht="14.45" customHeight="1">
      <c r="A10" s="592" t="s">
        <v>84</v>
      </c>
      <c r="B10" s="592"/>
      <c r="C10" s="592"/>
      <c r="D10" s="592"/>
      <c r="E10" s="592"/>
      <c r="F10" s="592"/>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row>
    <row r="11" spans="1:30" ht="14.45" customHeight="1">
      <c r="A11" s="593"/>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row>
    <row r="12" spans="1:30" ht="14.45" customHeight="1">
      <c r="A12" s="249"/>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row>
    <row r="13" spans="1:30" ht="14.45" customHeight="1">
      <c r="A13" s="532" t="s">
        <v>85</v>
      </c>
      <c r="B13" s="533"/>
      <c r="C13" s="533"/>
      <c r="D13" s="533"/>
      <c r="E13" s="533"/>
      <c r="F13" s="533"/>
      <c r="G13" s="533"/>
      <c r="H13" s="533"/>
      <c r="I13" s="533"/>
      <c r="J13" s="561"/>
      <c r="K13" s="250"/>
      <c r="L13" s="532" t="s">
        <v>86</v>
      </c>
      <c r="M13" s="561"/>
      <c r="N13" s="251"/>
      <c r="O13" s="252" t="s">
        <v>715</v>
      </c>
      <c r="P13" s="250"/>
      <c r="Q13" s="250"/>
      <c r="R13" s="250"/>
      <c r="S13" s="250"/>
      <c r="T13" s="250"/>
      <c r="U13" s="250"/>
      <c r="V13" s="250"/>
      <c r="W13" s="250"/>
      <c r="X13" s="250"/>
      <c r="Y13" s="250"/>
      <c r="Z13" s="250"/>
      <c r="AA13" s="250"/>
      <c r="AB13" s="250"/>
      <c r="AC13" s="250"/>
      <c r="AD13" s="250"/>
    </row>
    <row r="14" spans="1:30" ht="14.45" customHeight="1">
      <c r="A14" s="253" t="s">
        <v>87</v>
      </c>
      <c r="B14" s="536" t="s">
        <v>88</v>
      </c>
      <c r="C14" s="536"/>
      <c r="D14" s="536"/>
      <c r="E14" s="255"/>
      <c r="F14" s="255"/>
      <c r="G14" s="255"/>
      <c r="H14" s="255"/>
      <c r="I14" s="256"/>
      <c r="J14" s="255"/>
      <c r="K14" s="257"/>
      <c r="L14" s="255" t="s">
        <v>14</v>
      </c>
      <c r="M14" s="255" t="s">
        <v>16</v>
      </c>
      <c r="N14" s="257"/>
      <c r="O14" s="258">
        <v>1518</v>
      </c>
      <c r="P14" s="257"/>
      <c r="Q14" s="257"/>
      <c r="R14" s="257"/>
      <c r="S14" s="257"/>
      <c r="T14" s="257"/>
      <c r="U14" s="257"/>
      <c r="V14" s="257"/>
      <c r="W14" s="257"/>
      <c r="X14" s="257"/>
      <c r="Y14" s="257"/>
      <c r="Z14" s="257"/>
      <c r="AA14" s="257"/>
      <c r="AB14" s="257"/>
      <c r="AC14" s="257"/>
      <c r="AD14" s="257"/>
    </row>
    <row r="15" spans="1:30" ht="15">
      <c r="A15" s="253" t="s">
        <v>89</v>
      </c>
      <c r="B15" s="536" t="s">
        <v>90</v>
      </c>
      <c r="C15" s="536"/>
      <c r="D15" s="537"/>
      <c r="E15" s="194" t="s">
        <v>14</v>
      </c>
      <c r="F15" s="194" t="s">
        <v>16</v>
      </c>
      <c r="G15" s="194" t="s">
        <v>15</v>
      </c>
      <c r="H15" s="194" t="s">
        <v>17</v>
      </c>
      <c r="I15" s="194" t="s">
        <v>18</v>
      </c>
      <c r="J15" s="194" t="s">
        <v>19</v>
      </c>
      <c r="K15" s="195"/>
      <c r="L15" s="196">
        <v>5.2</v>
      </c>
      <c r="M15" s="196">
        <v>4.6500000000000004</v>
      </c>
      <c r="N15" s="195"/>
      <c r="O15" s="195"/>
      <c r="P15" s="195"/>
      <c r="Q15" s="195"/>
      <c r="R15" s="195"/>
      <c r="S15" s="195"/>
      <c r="T15" s="195"/>
      <c r="U15" s="195"/>
      <c r="V15" s="195"/>
      <c r="W15" s="195"/>
      <c r="X15" s="195"/>
      <c r="Y15" s="195"/>
      <c r="Z15" s="195"/>
      <c r="AA15" s="195"/>
      <c r="AB15" s="195"/>
      <c r="AC15" s="195"/>
      <c r="AD15" s="195"/>
    </row>
    <row r="16" spans="1:30" ht="14.45" customHeight="1">
      <c r="A16" s="253" t="s">
        <v>91</v>
      </c>
      <c r="B16" s="536" t="s">
        <v>92</v>
      </c>
      <c r="C16" s="536"/>
      <c r="D16" s="537"/>
      <c r="E16" s="197" t="s">
        <v>93</v>
      </c>
      <c r="F16" s="197" t="s">
        <v>94</v>
      </c>
      <c r="G16" s="198" t="str">
        <f>$E16</f>
        <v>PB000113/2025</v>
      </c>
      <c r="H16" s="198" t="str">
        <f t="shared" ref="H16:J17" si="0">$E16</f>
        <v>PB000113/2025</v>
      </c>
      <c r="I16" s="198" t="str">
        <f t="shared" si="0"/>
        <v>PB000113/2025</v>
      </c>
      <c r="J16" s="198" t="str">
        <f t="shared" si="0"/>
        <v>PB000113/2025</v>
      </c>
      <c r="K16" s="199"/>
      <c r="L16" s="557" t="s">
        <v>95</v>
      </c>
      <c r="M16" s="557"/>
      <c r="N16" s="259"/>
      <c r="O16" s="199"/>
      <c r="P16" s="199"/>
      <c r="Q16" s="199"/>
      <c r="R16" s="199"/>
      <c r="S16" s="199"/>
      <c r="T16" s="199"/>
      <c r="U16" s="199"/>
      <c r="V16" s="199"/>
      <c r="W16" s="199"/>
      <c r="X16" s="199"/>
      <c r="Y16" s="199"/>
      <c r="Z16" s="199"/>
      <c r="AA16" s="199"/>
      <c r="AB16" s="199"/>
      <c r="AC16" s="199"/>
      <c r="AD16" s="199"/>
    </row>
    <row r="17" spans="1:32" ht="14.45" customHeight="1">
      <c r="A17" s="253" t="s">
        <v>96</v>
      </c>
      <c r="B17" s="536" t="s">
        <v>97</v>
      </c>
      <c r="C17" s="536"/>
      <c r="D17" s="537"/>
      <c r="E17" s="200">
        <v>36</v>
      </c>
      <c r="F17" s="201">
        <f>$E17</f>
        <v>36</v>
      </c>
      <c r="G17" s="201">
        <f>$E17</f>
        <v>36</v>
      </c>
      <c r="H17" s="201">
        <f t="shared" si="0"/>
        <v>36</v>
      </c>
      <c r="I17" s="201">
        <f t="shared" si="0"/>
        <v>36</v>
      </c>
      <c r="J17" s="201">
        <f t="shared" si="0"/>
        <v>36</v>
      </c>
      <c r="K17" s="202"/>
      <c r="L17" s="557" t="s">
        <v>98</v>
      </c>
      <c r="M17" s="557"/>
      <c r="N17" s="259"/>
      <c r="O17" s="202"/>
      <c r="P17" s="202"/>
      <c r="Q17" s="202"/>
      <c r="R17" s="202"/>
      <c r="S17" s="202"/>
      <c r="T17" s="202"/>
      <c r="U17" s="202"/>
      <c r="V17" s="202"/>
      <c r="W17" s="202"/>
      <c r="X17" s="202"/>
      <c r="Y17" s="202"/>
      <c r="Z17" s="202"/>
      <c r="AA17" s="202"/>
      <c r="AB17" s="202"/>
      <c r="AC17" s="202"/>
      <c r="AD17" s="202"/>
    </row>
    <row r="18" spans="1:32" ht="14.45" customHeight="1">
      <c r="A18" s="251"/>
      <c r="B18" s="555"/>
      <c r="C18" s="555"/>
      <c r="D18" s="555"/>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row>
    <row r="19" spans="1:32" ht="14.45" customHeight="1">
      <c r="A19" s="532" t="s">
        <v>90</v>
      </c>
      <c r="B19" s="533"/>
      <c r="C19" s="533"/>
      <c r="D19" s="533"/>
      <c r="E19" s="595" t="s">
        <v>99</v>
      </c>
      <c r="F19" s="596"/>
      <c r="G19" s="596"/>
      <c r="H19" s="596"/>
      <c r="I19" s="596"/>
      <c r="J19" s="596"/>
      <c r="K19" s="596"/>
      <c r="L19" s="597"/>
      <c r="M19" s="543" t="s">
        <v>100</v>
      </c>
      <c r="N19" s="544"/>
      <c r="O19" s="544"/>
      <c r="P19" s="544"/>
      <c r="Q19" s="544"/>
      <c r="R19" s="545"/>
      <c r="S19" s="534" t="s">
        <v>101</v>
      </c>
      <c r="T19" s="534"/>
      <c r="U19" s="535"/>
      <c r="V19" s="558" t="s">
        <v>102</v>
      </c>
      <c r="W19" s="559"/>
      <c r="X19" s="560"/>
      <c r="Y19" s="564" t="s">
        <v>103</v>
      </c>
      <c r="Z19" s="564"/>
      <c r="AA19" s="565"/>
      <c r="AB19" s="541" t="s">
        <v>104</v>
      </c>
      <c r="AC19" s="541"/>
      <c r="AD19" s="542"/>
    </row>
    <row r="20" spans="1:32" s="267" customFormat="1" ht="51">
      <c r="A20" s="551" t="s">
        <v>105</v>
      </c>
      <c r="B20" s="552"/>
      <c r="C20" s="552"/>
      <c r="D20" s="552"/>
      <c r="E20" s="260" t="s">
        <v>106</v>
      </c>
      <c r="F20" s="260" t="s">
        <v>683</v>
      </c>
      <c r="G20" s="260" t="s">
        <v>53</v>
      </c>
      <c r="H20" s="260" t="s">
        <v>684</v>
      </c>
      <c r="I20" s="260" t="s">
        <v>685</v>
      </c>
      <c r="J20" s="260" t="s">
        <v>107</v>
      </c>
      <c r="K20" s="260" t="s">
        <v>108</v>
      </c>
      <c r="L20" s="260" t="s">
        <v>686</v>
      </c>
      <c r="M20" s="261" t="s">
        <v>683</v>
      </c>
      <c r="N20" s="261" t="s">
        <v>53</v>
      </c>
      <c r="O20" s="261" t="s">
        <v>495</v>
      </c>
      <c r="P20" s="261" t="s">
        <v>107</v>
      </c>
      <c r="Q20" s="261" t="s">
        <v>108</v>
      </c>
      <c r="R20" s="261" t="s">
        <v>687</v>
      </c>
      <c r="S20" s="262" t="s">
        <v>110</v>
      </c>
      <c r="T20" s="262" t="s">
        <v>688</v>
      </c>
      <c r="U20" s="262" t="s">
        <v>689</v>
      </c>
      <c r="V20" s="263" t="s">
        <v>111</v>
      </c>
      <c r="W20" s="263" t="s">
        <v>688</v>
      </c>
      <c r="X20" s="263" t="s">
        <v>690</v>
      </c>
      <c r="Y20" s="264" t="str">
        <f>S20</f>
        <v>Copeira
26h</v>
      </c>
      <c r="Z20" s="264" t="s">
        <v>688</v>
      </c>
      <c r="AA20" s="264" t="s">
        <v>690</v>
      </c>
      <c r="AB20" s="265" t="s">
        <v>112</v>
      </c>
      <c r="AC20" s="265" t="s">
        <v>688</v>
      </c>
      <c r="AD20" s="265" t="s">
        <v>691</v>
      </c>
      <c r="AE20" s="266"/>
      <c r="AF20" s="266"/>
    </row>
    <row r="21" spans="1:32" ht="14.45" customHeight="1">
      <c r="A21" s="553" t="s">
        <v>113</v>
      </c>
      <c r="B21" s="554"/>
      <c r="C21" s="554"/>
      <c r="D21" s="554"/>
      <c r="E21" s="268" t="s">
        <v>114</v>
      </c>
      <c r="F21" s="268" t="s">
        <v>114</v>
      </c>
      <c r="G21" s="268" t="s">
        <v>114</v>
      </c>
      <c r="H21" s="268" t="s">
        <v>114</v>
      </c>
      <c r="I21" s="268" t="s">
        <v>114</v>
      </c>
      <c r="J21" s="268" t="s">
        <v>114</v>
      </c>
      <c r="K21" s="268" t="s">
        <v>114</v>
      </c>
      <c r="L21" s="268" t="s">
        <v>114</v>
      </c>
      <c r="M21" s="268" t="s">
        <v>114</v>
      </c>
      <c r="N21" s="268" t="s">
        <v>114</v>
      </c>
      <c r="O21" s="268" t="s">
        <v>114</v>
      </c>
      <c r="P21" s="268" t="s">
        <v>114</v>
      </c>
      <c r="Q21" s="268" t="s">
        <v>114</v>
      </c>
      <c r="R21" s="268" t="s">
        <v>114</v>
      </c>
      <c r="S21" s="268" t="s">
        <v>114</v>
      </c>
      <c r="T21" s="268" t="s">
        <v>114</v>
      </c>
      <c r="U21" s="268" t="s">
        <v>114</v>
      </c>
      <c r="V21" s="268" t="s">
        <v>114</v>
      </c>
      <c r="W21" s="268" t="s">
        <v>114</v>
      </c>
      <c r="X21" s="268" t="s">
        <v>114</v>
      </c>
      <c r="Y21" s="268" t="s">
        <v>114</v>
      </c>
      <c r="Z21" s="268" t="s">
        <v>114</v>
      </c>
      <c r="AA21" s="268" t="s">
        <v>114</v>
      </c>
      <c r="AB21" s="268" t="s">
        <v>114</v>
      </c>
      <c r="AC21" s="268" t="s">
        <v>114</v>
      </c>
      <c r="AD21" s="268" t="s">
        <v>114</v>
      </c>
    </row>
    <row r="22" spans="1:32" s="267" customFormat="1" ht="14.45" customHeight="1">
      <c r="A22" s="587" t="s">
        <v>115</v>
      </c>
      <c r="B22" s="587"/>
      <c r="C22" s="587"/>
      <c r="D22" s="587"/>
      <c r="E22" s="269">
        <v>1</v>
      </c>
      <c r="F22" s="269">
        <v>1</v>
      </c>
      <c r="G22" s="269">
        <v>11</v>
      </c>
      <c r="H22" s="269">
        <v>2</v>
      </c>
      <c r="I22" s="269">
        <v>1</v>
      </c>
      <c r="J22" s="269">
        <v>1</v>
      </c>
      <c r="K22" s="269">
        <v>5</v>
      </c>
      <c r="L22" s="269">
        <v>4</v>
      </c>
      <c r="M22" s="269">
        <v>1</v>
      </c>
      <c r="N22" s="269">
        <v>3</v>
      </c>
      <c r="O22" s="269">
        <v>2</v>
      </c>
      <c r="P22" s="269">
        <v>1</v>
      </c>
      <c r="Q22" s="269">
        <v>2</v>
      </c>
      <c r="R22" s="269">
        <v>2</v>
      </c>
      <c r="S22" s="269">
        <v>1</v>
      </c>
      <c r="T22" s="269">
        <v>1</v>
      </c>
      <c r="U22" s="269">
        <v>1</v>
      </c>
      <c r="V22" s="269">
        <v>1</v>
      </c>
      <c r="W22" s="269">
        <v>1</v>
      </c>
      <c r="X22" s="269">
        <v>1</v>
      </c>
      <c r="Y22" s="269">
        <v>1</v>
      </c>
      <c r="Z22" s="269">
        <v>1</v>
      </c>
      <c r="AA22" s="269">
        <v>1</v>
      </c>
      <c r="AB22" s="269">
        <v>1</v>
      </c>
      <c r="AC22" s="269">
        <v>1</v>
      </c>
      <c r="AD22" s="269">
        <v>1</v>
      </c>
      <c r="AE22" s="266"/>
      <c r="AF22" s="266"/>
    </row>
    <row r="23" spans="1:32" s="273" customFormat="1" ht="14.45" customHeight="1">
      <c r="A23" s="270"/>
      <c r="B23" s="598" t="s">
        <v>116</v>
      </c>
      <c r="C23" s="598"/>
      <c r="D23" s="270">
        <f>SUM(L23,R23,U23,X23,AA23,AD23)</f>
        <v>49</v>
      </c>
      <c r="E23" s="271"/>
      <c r="F23" s="271"/>
      <c r="G23" s="271"/>
      <c r="H23" s="271"/>
      <c r="I23" s="271"/>
      <c r="J23" s="271"/>
      <c r="K23" s="271" t="s">
        <v>117</v>
      </c>
      <c r="L23" s="271">
        <f>SUM(E22:L22)</f>
        <v>26</v>
      </c>
      <c r="M23" s="271"/>
      <c r="N23" s="271"/>
      <c r="O23" s="271"/>
      <c r="P23" s="271"/>
      <c r="Q23" s="271" t="s">
        <v>118</v>
      </c>
      <c r="R23" s="271">
        <f>SUM(M22:R22)</f>
        <v>11</v>
      </c>
      <c r="S23" s="271"/>
      <c r="T23" s="271" t="s">
        <v>119</v>
      </c>
      <c r="U23" s="271">
        <f>SUM(S22:U22)</f>
        <v>3</v>
      </c>
      <c r="V23" s="271"/>
      <c r="W23" s="271" t="s">
        <v>120</v>
      </c>
      <c r="X23" s="271">
        <f>SUM(V22:X22)</f>
        <v>3</v>
      </c>
      <c r="Y23" s="271"/>
      <c r="Z23" s="271" t="s">
        <v>121</v>
      </c>
      <c r="AA23" s="271">
        <f>SUM(Y22:AA22)</f>
        <v>3</v>
      </c>
      <c r="AB23" s="271"/>
      <c r="AC23" s="271" t="s">
        <v>122</v>
      </c>
      <c r="AD23" s="271">
        <f>SUM(AB22:AD22)</f>
        <v>3</v>
      </c>
      <c r="AE23" s="272"/>
      <c r="AF23" s="272"/>
    </row>
    <row r="24" spans="1:32" s="273" customFormat="1" ht="14.45" customHeight="1">
      <c r="A24" s="271"/>
      <c r="B24" s="599" t="s">
        <v>123</v>
      </c>
      <c r="C24" s="599"/>
      <c r="D24" s="271">
        <f>SUM(L24,R24,U24,X24,AA24,AD24)</f>
        <v>23</v>
      </c>
      <c r="E24" s="271"/>
      <c r="F24" s="271"/>
      <c r="G24" s="271"/>
      <c r="H24" s="271"/>
      <c r="I24" s="271"/>
      <c r="J24" s="271"/>
      <c r="K24" s="271" t="s">
        <v>123</v>
      </c>
      <c r="L24" s="271">
        <f>SUM(E22,I22,J22,K22,L22)</f>
        <v>12</v>
      </c>
      <c r="M24" s="271"/>
      <c r="N24" s="271"/>
      <c r="O24" s="271"/>
      <c r="P24" s="271"/>
      <c r="Q24" s="271" t="s">
        <v>123</v>
      </c>
      <c r="R24" s="271">
        <f>SUM(P22:R22)</f>
        <v>5</v>
      </c>
      <c r="S24" s="271"/>
      <c r="T24" s="271" t="s">
        <v>123</v>
      </c>
      <c r="U24" s="271">
        <v>2</v>
      </c>
      <c r="V24" s="271"/>
      <c r="W24" s="271" t="s">
        <v>123</v>
      </c>
      <c r="X24" s="271">
        <f>SUM(X22)</f>
        <v>1</v>
      </c>
      <c r="Y24" s="271"/>
      <c r="Z24" s="271" t="s">
        <v>123</v>
      </c>
      <c r="AA24" s="271">
        <v>2</v>
      </c>
      <c r="AB24" s="271"/>
      <c r="AC24" s="271" t="s">
        <v>123</v>
      </c>
      <c r="AD24" s="271">
        <f>SUM(AD22)</f>
        <v>1</v>
      </c>
      <c r="AE24" s="272"/>
      <c r="AF24" s="272"/>
    </row>
    <row r="25" spans="1:32" s="273" customFormat="1" ht="14.45" customHeight="1">
      <c r="A25" s="274"/>
      <c r="B25" s="600" t="s">
        <v>124</v>
      </c>
      <c r="C25" s="600"/>
      <c r="D25" s="274">
        <f>SUM(L25,R25,U25,X25,AA25,AD25)</f>
        <v>26</v>
      </c>
      <c r="E25" s="271"/>
      <c r="F25" s="271"/>
      <c r="G25" s="271"/>
      <c r="H25" s="271"/>
      <c r="I25" s="271"/>
      <c r="J25" s="271"/>
      <c r="K25" s="271" t="s">
        <v>124</v>
      </c>
      <c r="L25" s="271">
        <f>SUM(F22,G22,H22)</f>
        <v>14</v>
      </c>
      <c r="M25" s="271"/>
      <c r="N25" s="271"/>
      <c r="O25" s="271"/>
      <c r="P25" s="271"/>
      <c r="Q25" s="271" t="s">
        <v>124</v>
      </c>
      <c r="R25" s="271">
        <f>SUM(M22:O22)</f>
        <v>6</v>
      </c>
      <c r="S25" s="271"/>
      <c r="T25" s="271" t="s">
        <v>124</v>
      </c>
      <c r="U25" s="271">
        <v>1</v>
      </c>
      <c r="V25" s="271"/>
      <c r="W25" s="271" t="s">
        <v>124</v>
      </c>
      <c r="X25" s="271">
        <f>SUM(V22:W22)</f>
        <v>2</v>
      </c>
      <c r="Y25" s="271"/>
      <c r="Z25" s="271" t="s">
        <v>124</v>
      </c>
      <c r="AA25" s="271">
        <v>1</v>
      </c>
      <c r="AB25" s="271"/>
      <c r="AC25" s="271" t="s">
        <v>124</v>
      </c>
      <c r="AD25" s="271">
        <f>SUM(AB22:AC22)</f>
        <v>2</v>
      </c>
      <c r="AE25" s="272"/>
      <c r="AF25" s="272"/>
    </row>
    <row r="26" spans="1:32" ht="14.45" customHeight="1">
      <c r="A26" s="275" t="s">
        <v>125</v>
      </c>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7"/>
    </row>
    <row r="27" spans="1:32" ht="14.45" customHeight="1">
      <c r="A27" s="278"/>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row>
    <row r="28" spans="1:32" ht="14.45" customHeight="1">
      <c r="A28" s="279" t="s">
        <v>126</v>
      </c>
      <c r="B28" s="280"/>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1"/>
    </row>
    <row r="29" spans="1:32" ht="14.45" customHeight="1">
      <c r="A29" s="279"/>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1"/>
    </row>
    <row r="30" spans="1:32" ht="14.45" customHeight="1">
      <c r="A30" s="253">
        <v>1</v>
      </c>
      <c r="B30" s="536" t="s">
        <v>128</v>
      </c>
      <c r="C30" s="536"/>
      <c r="D30" s="536"/>
      <c r="E30" s="203" t="s">
        <v>129</v>
      </c>
      <c r="F30" s="203" t="s">
        <v>130</v>
      </c>
      <c r="G30" s="203" t="s">
        <v>131</v>
      </c>
      <c r="H30" s="203" t="s">
        <v>131</v>
      </c>
      <c r="I30" s="203" t="s">
        <v>132</v>
      </c>
      <c r="J30" s="203" t="s">
        <v>132</v>
      </c>
      <c r="K30" s="203" t="s">
        <v>133</v>
      </c>
      <c r="L30" s="203" t="s">
        <v>109</v>
      </c>
      <c r="M30" s="204" t="s">
        <v>131</v>
      </c>
      <c r="N30" s="204" t="s">
        <v>131</v>
      </c>
      <c r="O30" s="204" t="s">
        <v>131</v>
      </c>
      <c r="P30" s="204" t="s">
        <v>132</v>
      </c>
      <c r="Q30" s="204" t="s">
        <v>133</v>
      </c>
      <c r="R30" s="204" t="s">
        <v>109</v>
      </c>
      <c r="S30" s="205" t="s">
        <v>133</v>
      </c>
      <c r="T30" s="205" t="s">
        <v>131</v>
      </c>
      <c r="U30" s="205" t="s">
        <v>109</v>
      </c>
      <c r="V30" s="206" t="s">
        <v>131</v>
      </c>
      <c r="W30" s="206" t="s">
        <v>131</v>
      </c>
      <c r="X30" s="206" t="s">
        <v>109</v>
      </c>
      <c r="Y30" s="207" t="s">
        <v>133</v>
      </c>
      <c r="Z30" s="207" t="s">
        <v>131</v>
      </c>
      <c r="AA30" s="207" t="s">
        <v>109</v>
      </c>
      <c r="AB30" s="208" t="s">
        <v>131</v>
      </c>
      <c r="AC30" s="208" t="s">
        <v>131</v>
      </c>
      <c r="AD30" s="208" t="s">
        <v>109</v>
      </c>
    </row>
    <row r="31" spans="1:32" ht="14.45" customHeight="1">
      <c r="A31" s="253">
        <v>2</v>
      </c>
      <c r="B31" s="536" t="s">
        <v>134</v>
      </c>
      <c r="C31" s="536"/>
      <c r="D31" s="537"/>
      <c r="E31" s="198" t="s">
        <v>135</v>
      </c>
      <c r="F31" s="198" t="s">
        <v>136</v>
      </c>
      <c r="G31" s="198" t="s">
        <v>136</v>
      </c>
      <c r="H31" s="198" t="s">
        <v>136</v>
      </c>
      <c r="I31" s="198" t="s">
        <v>137</v>
      </c>
      <c r="J31" s="198" t="s">
        <v>137</v>
      </c>
      <c r="K31" s="198" t="s">
        <v>138</v>
      </c>
      <c r="L31" s="198" t="s">
        <v>139</v>
      </c>
      <c r="M31" s="198" t="s">
        <v>136</v>
      </c>
      <c r="N31" s="198" t="s">
        <v>136</v>
      </c>
      <c r="O31" s="198" t="s">
        <v>136</v>
      </c>
      <c r="P31" s="198" t="s">
        <v>137</v>
      </c>
      <c r="Q31" s="198" t="s">
        <v>138</v>
      </c>
      <c r="R31" s="198" t="s">
        <v>139</v>
      </c>
      <c r="S31" s="198" t="s">
        <v>138</v>
      </c>
      <c r="T31" s="198" t="s">
        <v>136</v>
      </c>
      <c r="U31" s="198" t="s">
        <v>139</v>
      </c>
      <c r="V31" s="198" t="s">
        <v>136</v>
      </c>
      <c r="W31" s="198" t="s">
        <v>136</v>
      </c>
      <c r="X31" s="198" t="s">
        <v>139</v>
      </c>
      <c r="Y31" s="198" t="s">
        <v>138</v>
      </c>
      <c r="Z31" s="198" t="s">
        <v>136</v>
      </c>
      <c r="AA31" s="198" t="s">
        <v>139</v>
      </c>
      <c r="AB31" s="198" t="s">
        <v>136</v>
      </c>
      <c r="AC31" s="198" t="s">
        <v>136</v>
      </c>
      <c r="AD31" s="198" t="s">
        <v>139</v>
      </c>
    </row>
    <row r="32" spans="1:32" ht="14.45" customHeight="1">
      <c r="A32" s="253">
        <v>3</v>
      </c>
      <c r="B32" s="536" t="s">
        <v>140</v>
      </c>
      <c r="C32" s="536"/>
      <c r="D32" s="537"/>
      <c r="E32" s="209">
        <v>2007.81</v>
      </c>
      <c r="F32" s="209">
        <v>1524.77</v>
      </c>
      <c r="G32" s="209">
        <v>1524.77</v>
      </c>
      <c r="H32" s="210">
        <f>G32</f>
        <v>1524.77</v>
      </c>
      <c r="I32" s="209">
        <v>1536.73</v>
      </c>
      <c r="J32" s="210">
        <f>I32</f>
        <v>1536.73</v>
      </c>
      <c r="K32" s="209">
        <v>1524.77</v>
      </c>
      <c r="L32" s="209">
        <v>1536.73</v>
      </c>
      <c r="M32" s="210">
        <f>G32</f>
        <v>1524.77</v>
      </c>
      <c r="N32" s="210">
        <f>G32</f>
        <v>1524.77</v>
      </c>
      <c r="O32" s="210">
        <f>H32</f>
        <v>1524.77</v>
      </c>
      <c r="P32" s="210">
        <f>J32</f>
        <v>1536.73</v>
      </c>
      <c r="Q32" s="210">
        <f>K32</f>
        <v>1524.77</v>
      </c>
      <c r="R32" s="210">
        <f>L32</f>
        <v>1536.73</v>
      </c>
      <c r="S32" s="210">
        <f>(K32/220)*130</f>
        <v>901.00045454545455</v>
      </c>
      <c r="T32" s="210">
        <f>H32</f>
        <v>1524.77</v>
      </c>
      <c r="U32" s="210">
        <f>L32</f>
        <v>1536.73</v>
      </c>
      <c r="V32" s="210">
        <f>G32</f>
        <v>1524.77</v>
      </c>
      <c r="W32" s="210">
        <f>H32</f>
        <v>1524.77</v>
      </c>
      <c r="X32" s="210">
        <f>L32</f>
        <v>1536.73</v>
      </c>
      <c r="Y32" s="210">
        <f>S32</f>
        <v>901.00045454545455</v>
      </c>
      <c r="Z32" s="210">
        <f>H32</f>
        <v>1524.77</v>
      </c>
      <c r="AA32" s="210">
        <f>L32</f>
        <v>1536.73</v>
      </c>
      <c r="AB32" s="210">
        <f>G32</f>
        <v>1524.77</v>
      </c>
      <c r="AC32" s="210">
        <f>H32</f>
        <v>1524.77</v>
      </c>
      <c r="AD32" s="210">
        <f>L32</f>
        <v>1536.73</v>
      </c>
    </row>
    <row r="33" spans="1:32" ht="57" customHeight="1">
      <c r="A33" s="253">
        <v>4</v>
      </c>
      <c r="B33" s="536" t="s">
        <v>141</v>
      </c>
      <c r="C33" s="536"/>
      <c r="D33" s="537"/>
      <c r="E33" s="211" t="s">
        <v>693</v>
      </c>
      <c r="F33" s="211" t="s">
        <v>142</v>
      </c>
      <c r="G33" s="211" t="s">
        <v>142</v>
      </c>
      <c r="H33" s="211" t="s">
        <v>143</v>
      </c>
      <c r="I33" s="211" t="s">
        <v>107</v>
      </c>
      <c r="J33" s="211" t="s">
        <v>107</v>
      </c>
      <c r="K33" s="211" t="s">
        <v>108</v>
      </c>
      <c r="L33" s="211" t="s">
        <v>109</v>
      </c>
      <c r="M33" s="211" t="s">
        <v>142</v>
      </c>
      <c r="N33" s="211" t="s">
        <v>142</v>
      </c>
      <c r="O33" s="211" t="s">
        <v>143</v>
      </c>
      <c r="P33" s="211" t="s">
        <v>107</v>
      </c>
      <c r="Q33" s="211" t="s">
        <v>108</v>
      </c>
      <c r="R33" s="211" t="s">
        <v>109</v>
      </c>
      <c r="S33" s="211" t="s">
        <v>108</v>
      </c>
      <c r="T33" s="211" t="s">
        <v>142</v>
      </c>
      <c r="U33" s="211" t="s">
        <v>109</v>
      </c>
      <c r="V33" s="211" t="s">
        <v>144</v>
      </c>
      <c r="W33" s="211" t="s">
        <v>142</v>
      </c>
      <c r="X33" s="211" t="s">
        <v>109</v>
      </c>
      <c r="Y33" s="211" t="s">
        <v>108</v>
      </c>
      <c r="Z33" s="211" t="s">
        <v>142</v>
      </c>
      <c r="AA33" s="211" t="s">
        <v>109</v>
      </c>
      <c r="AB33" s="211" t="s">
        <v>144</v>
      </c>
      <c r="AC33" s="211" t="s">
        <v>142</v>
      </c>
      <c r="AD33" s="211" t="s">
        <v>109</v>
      </c>
    </row>
    <row r="34" spans="1:32" ht="14.45" customHeight="1">
      <c r="A34" s="253">
        <v>5</v>
      </c>
      <c r="B34" s="539" t="s">
        <v>145</v>
      </c>
      <c r="C34" s="539"/>
      <c r="D34" s="537"/>
      <c r="E34" s="212">
        <v>45658</v>
      </c>
      <c r="F34" s="213">
        <f>$E34</f>
        <v>45658</v>
      </c>
      <c r="G34" s="213">
        <f t="shared" ref="G34:AD34" si="1">$E34</f>
        <v>45658</v>
      </c>
      <c r="H34" s="213">
        <f t="shared" si="1"/>
        <v>45658</v>
      </c>
      <c r="I34" s="213">
        <f t="shared" si="1"/>
        <v>45658</v>
      </c>
      <c r="J34" s="213">
        <f t="shared" si="1"/>
        <v>45658</v>
      </c>
      <c r="K34" s="213">
        <f t="shared" si="1"/>
        <v>45658</v>
      </c>
      <c r="L34" s="213">
        <f t="shared" si="1"/>
        <v>45658</v>
      </c>
      <c r="M34" s="213">
        <f t="shared" si="1"/>
        <v>45658</v>
      </c>
      <c r="N34" s="213">
        <f t="shared" si="1"/>
        <v>45658</v>
      </c>
      <c r="O34" s="213">
        <f t="shared" si="1"/>
        <v>45658</v>
      </c>
      <c r="P34" s="213">
        <f t="shared" si="1"/>
        <v>45658</v>
      </c>
      <c r="Q34" s="213">
        <f t="shared" si="1"/>
        <v>45658</v>
      </c>
      <c r="R34" s="213">
        <f t="shared" si="1"/>
        <v>45658</v>
      </c>
      <c r="S34" s="213">
        <f t="shared" si="1"/>
        <v>45658</v>
      </c>
      <c r="T34" s="213">
        <f t="shared" si="1"/>
        <v>45658</v>
      </c>
      <c r="U34" s="213">
        <f t="shared" si="1"/>
        <v>45658</v>
      </c>
      <c r="V34" s="213">
        <f t="shared" si="1"/>
        <v>45658</v>
      </c>
      <c r="W34" s="213">
        <f t="shared" si="1"/>
        <v>45658</v>
      </c>
      <c r="X34" s="213">
        <f t="shared" si="1"/>
        <v>45658</v>
      </c>
      <c r="Y34" s="213">
        <f t="shared" si="1"/>
        <v>45658</v>
      </c>
      <c r="Z34" s="213">
        <f t="shared" si="1"/>
        <v>45658</v>
      </c>
      <c r="AA34" s="213">
        <f t="shared" si="1"/>
        <v>45658</v>
      </c>
      <c r="AB34" s="213">
        <f t="shared" si="1"/>
        <v>45658</v>
      </c>
      <c r="AC34" s="213">
        <f t="shared" si="1"/>
        <v>45658</v>
      </c>
      <c r="AD34" s="213">
        <f t="shared" si="1"/>
        <v>45658</v>
      </c>
    </row>
    <row r="35" spans="1:32" s="267" customFormat="1" ht="14.45" customHeight="1">
      <c r="A35" s="282"/>
      <c r="B35" s="283"/>
      <c r="C35" s="283"/>
      <c r="D35" s="284"/>
      <c r="E35" s="285" t="s">
        <v>146</v>
      </c>
      <c r="F35" s="285" t="s">
        <v>146</v>
      </c>
      <c r="G35" s="285" t="s">
        <v>146</v>
      </c>
      <c r="H35" s="285" t="s">
        <v>146</v>
      </c>
      <c r="I35" s="285" t="s">
        <v>146</v>
      </c>
      <c r="J35" s="285" t="s">
        <v>146</v>
      </c>
      <c r="K35" s="285" t="s">
        <v>146</v>
      </c>
      <c r="L35" s="285" t="s">
        <v>146</v>
      </c>
      <c r="M35" s="285" t="s">
        <v>146</v>
      </c>
      <c r="N35" s="285" t="s">
        <v>146</v>
      </c>
      <c r="O35" s="285" t="s">
        <v>146</v>
      </c>
      <c r="P35" s="285" t="s">
        <v>146</v>
      </c>
      <c r="Q35" s="285" t="s">
        <v>146</v>
      </c>
      <c r="R35" s="285" t="s">
        <v>146</v>
      </c>
      <c r="S35" s="285" t="s">
        <v>147</v>
      </c>
      <c r="T35" s="285" t="s">
        <v>146</v>
      </c>
      <c r="U35" s="285" t="s">
        <v>146</v>
      </c>
      <c r="V35" s="285" t="s">
        <v>146</v>
      </c>
      <c r="W35" s="285" t="s">
        <v>146</v>
      </c>
      <c r="X35" s="285" t="s">
        <v>146</v>
      </c>
      <c r="Y35" s="285" t="str">
        <f>S35</f>
        <v>26h Semanais</v>
      </c>
      <c r="Z35" s="285" t="s">
        <v>146</v>
      </c>
      <c r="AA35" s="285" t="s">
        <v>146</v>
      </c>
      <c r="AB35" s="285" t="s">
        <v>146</v>
      </c>
      <c r="AC35" s="285" t="s">
        <v>146</v>
      </c>
      <c r="AD35" s="285" t="s">
        <v>146</v>
      </c>
      <c r="AE35" s="266"/>
      <c r="AF35" s="266"/>
    </row>
    <row r="36" spans="1:32" ht="14.45" customHeight="1">
      <c r="A36" s="286" t="s">
        <v>148</v>
      </c>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8"/>
    </row>
    <row r="37" spans="1:32" s="250" customFormat="1" ht="14.45" customHeight="1"/>
    <row r="38" spans="1:32" s="250" customFormat="1" ht="14.45" customHeight="1">
      <c r="A38" s="289">
        <v>1</v>
      </c>
      <c r="B38" s="290" t="s">
        <v>149</v>
      </c>
      <c r="C38" s="574" t="s">
        <v>150</v>
      </c>
      <c r="D38" s="575"/>
      <c r="E38" s="214" t="s">
        <v>151</v>
      </c>
      <c r="F38" s="214" t="s">
        <v>151</v>
      </c>
      <c r="G38" s="214" t="s">
        <v>151</v>
      </c>
      <c r="H38" s="214" t="s">
        <v>151</v>
      </c>
      <c r="I38" s="214" t="s">
        <v>151</v>
      </c>
      <c r="J38" s="214" t="s">
        <v>151</v>
      </c>
      <c r="K38" s="214" t="s">
        <v>151</v>
      </c>
      <c r="L38" s="214" t="s">
        <v>151</v>
      </c>
      <c r="M38" s="215" t="s">
        <v>151</v>
      </c>
      <c r="N38" s="215" t="s">
        <v>151</v>
      </c>
      <c r="O38" s="215" t="s">
        <v>151</v>
      </c>
      <c r="P38" s="215" t="s">
        <v>151</v>
      </c>
      <c r="Q38" s="215" t="s">
        <v>151</v>
      </c>
      <c r="R38" s="215" t="s">
        <v>151</v>
      </c>
      <c r="S38" s="216" t="s">
        <v>151</v>
      </c>
      <c r="T38" s="216" t="s">
        <v>151</v>
      </c>
      <c r="U38" s="216" t="s">
        <v>151</v>
      </c>
      <c r="V38" s="217" t="s">
        <v>151</v>
      </c>
      <c r="W38" s="217" t="s">
        <v>151</v>
      </c>
      <c r="X38" s="217" t="s">
        <v>151</v>
      </c>
      <c r="Y38" s="218" t="s">
        <v>151</v>
      </c>
      <c r="Z38" s="218" t="s">
        <v>151</v>
      </c>
      <c r="AA38" s="218" t="s">
        <v>151</v>
      </c>
      <c r="AB38" s="219" t="s">
        <v>151</v>
      </c>
      <c r="AC38" s="219" t="s">
        <v>151</v>
      </c>
      <c r="AD38" s="219" t="s">
        <v>151</v>
      </c>
      <c r="AE38" s="291"/>
      <c r="AF38" s="291"/>
    </row>
    <row r="39" spans="1:32" ht="14.45" customHeight="1">
      <c r="A39" s="253" t="s">
        <v>87</v>
      </c>
      <c r="B39" s="254" t="s">
        <v>152</v>
      </c>
      <c r="C39" s="579"/>
      <c r="D39" s="580"/>
      <c r="E39" s="220">
        <f>E32</f>
        <v>2007.81</v>
      </c>
      <c r="F39" s="220">
        <f t="shared" ref="F39:AC39" si="2">F32</f>
        <v>1524.77</v>
      </c>
      <c r="G39" s="220">
        <f t="shared" si="2"/>
        <v>1524.77</v>
      </c>
      <c r="H39" s="220">
        <f t="shared" si="2"/>
        <v>1524.77</v>
      </c>
      <c r="I39" s="220">
        <f t="shared" si="2"/>
        <v>1536.73</v>
      </c>
      <c r="J39" s="220">
        <f t="shared" si="2"/>
        <v>1536.73</v>
      </c>
      <c r="K39" s="220">
        <f t="shared" si="2"/>
        <v>1524.77</v>
      </c>
      <c r="L39" s="220">
        <f>L32</f>
        <v>1536.73</v>
      </c>
      <c r="M39" s="220">
        <f t="shared" si="2"/>
        <v>1524.77</v>
      </c>
      <c r="N39" s="220">
        <f t="shared" si="2"/>
        <v>1524.77</v>
      </c>
      <c r="O39" s="220">
        <f>O32</f>
        <v>1524.77</v>
      </c>
      <c r="P39" s="220">
        <f>P32</f>
        <v>1536.73</v>
      </c>
      <c r="Q39" s="220">
        <f t="shared" si="2"/>
        <v>1524.77</v>
      </c>
      <c r="R39" s="220">
        <f t="shared" si="2"/>
        <v>1536.73</v>
      </c>
      <c r="S39" s="220">
        <f t="shared" si="2"/>
        <v>901.00045454545455</v>
      </c>
      <c r="T39" s="220">
        <f t="shared" si="2"/>
        <v>1524.77</v>
      </c>
      <c r="U39" s="220">
        <f t="shared" si="2"/>
        <v>1536.73</v>
      </c>
      <c r="V39" s="220">
        <f t="shared" si="2"/>
        <v>1524.77</v>
      </c>
      <c r="W39" s="220">
        <f t="shared" si="2"/>
        <v>1524.77</v>
      </c>
      <c r="X39" s="220">
        <f t="shared" si="2"/>
        <v>1536.73</v>
      </c>
      <c r="Y39" s="220">
        <f t="shared" si="2"/>
        <v>901.00045454545455</v>
      </c>
      <c r="Z39" s="220">
        <f t="shared" si="2"/>
        <v>1524.77</v>
      </c>
      <c r="AA39" s="220">
        <f t="shared" si="2"/>
        <v>1536.73</v>
      </c>
      <c r="AB39" s="220">
        <f t="shared" si="2"/>
        <v>1524.77</v>
      </c>
      <c r="AC39" s="220">
        <f t="shared" si="2"/>
        <v>1524.77</v>
      </c>
      <c r="AD39" s="220">
        <f>AD32</f>
        <v>1536.73</v>
      </c>
    </row>
    <row r="40" spans="1:32" ht="14.45" customHeight="1">
      <c r="A40" s="253" t="s">
        <v>89</v>
      </c>
      <c r="B40" s="254" t="s">
        <v>153</v>
      </c>
      <c r="C40" s="581"/>
      <c r="D40" s="582"/>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row>
    <row r="41" spans="1:32" ht="14.45" customHeight="1">
      <c r="A41" s="253" t="s">
        <v>91</v>
      </c>
      <c r="B41" s="254" t="s">
        <v>154</v>
      </c>
      <c r="C41" s="583">
        <v>0.2</v>
      </c>
      <c r="D41" s="584"/>
      <c r="E41" s="221"/>
      <c r="F41" s="221"/>
      <c r="G41" s="221"/>
      <c r="H41" s="222">
        <f>O14*C41</f>
        <v>303.60000000000002</v>
      </c>
      <c r="I41" s="221"/>
      <c r="J41" s="221"/>
      <c r="K41" s="221"/>
      <c r="L41" s="221"/>
      <c r="M41" s="221"/>
      <c r="N41" s="221"/>
      <c r="O41" s="222">
        <f>O14*C41</f>
        <v>303.60000000000002</v>
      </c>
      <c r="P41" s="221"/>
      <c r="Q41" s="221"/>
      <c r="R41" s="221"/>
      <c r="S41" s="221"/>
      <c r="T41" s="222">
        <f>O14*C41</f>
        <v>303.60000000000002</v>
      </c>
      <c r="U41" s="221"/>
      <c r="V41" s="221"/>
      <c r="W41" s="222">
        <f>O14*C41</f>
        <v>303.60000000000002</v>
      </c>
      <c r="X41" s="221"/>
      <c r="Y41" s="221"/>
      <c r="Z41" s="222">
        <f>O14*C41</f>
        <v>303.60000000000002</v>
      </c>
      <c r="AA41" s="221"/>
      <c r="AB41" s="221"/>
      <c r="AC41" s="222">
        <f>O14*C41</f>
        <v>303.60000000000002</v>
      </c>
      <c r="AD41" s="221"/>
    </row>
    <row r="42" spans="1:32" ht="14.45" customHeight="1">
      <c r="A42" s="253" t="s">
        <v>96</v>
      </c>
      <c r="B42" s="254" t="s">
        <v>155</v>
      </c>
      <c r="C42" s="581"/>
      <c r="D42" s="582"/>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row>
    <row r="43" spans="1:32" ht="14.45" customHeight="1">
      <c r="A43" s="253" t="s">
        <v>156</v>
      </c>
      <c r="B43" s="254" t="s">
        <v>157</v>
      </c>
      <c r="C43" s="581"/>
      <c r="D43" s="582"/>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row>
    <row r="44" spans="1:32" ht="14.45" customHeight="1">
      <c r="A44" s="253" t="s">
        <v>158</v>
      </c>
      <c r="B44" s="254" t="s">
        <v>159</v>
      </c>
      <c r="C44" s="581"/>
      <c r="D44" s="582"/>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2" ht="14.45" customHeight="1">
      <c r="A45" s="253" t="s">
        <v>160</v>
      </c>
      <c r="B45" s="254" t="s">
        <v>161</v>
      </c>
      <c r="C45" s="585">
        <v>0.3</v>
      </c>
      <c r="D45" s="586"/>
      <c r="E45" s="222">
        <f>E39*C45</f>
        <v>602.34299999999996</v>
      </c>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row>
    <row r="46" spans="1:32" ht="14.45" customHeight="1">
      <c r="A46" s="253" t="s">
        <v>162</v>
      </c>
      <c r="B46" s="292" t="s">
        <v>163</v>
      </c>
      <c r="C46" s="585">
        <v>0.2</v>
      </c>
      <c r="D46" s="586"/>
      <c r="E46" s="293"/>
      <c r="F46" s="294">
        <f>F39*C46</f>
        <v>304.95400000000001</v>
      </c>
      <c r="G46" s="221"/>
      <c r="H46" s="293"/>
      <c r="I46" s="293"/>
      <c r="J46" s="293"/>
      <c r="K46" s="293"/>
      <c r="L46" s="293"/>
      <c r="M46" s="294">
        <f>M39*C46</f>
        <v>304.95400000000001</v>
      </c>
      <c r="N46" s="293"/>
      <c r="O46" s="293"/>
      <c r="P46" s="293"/>
      <c r="Q46" s="293"/>
      <c r="R46" s="221"/>
      <c r="S46" s="293"/>
      <c r="T46" s="293"/>
      <c r="U46" s="294">
        <f>U39*C46</f>
        <v>307.346</v>
      </c>
      <c r="V46" s="293"/>
      <c r="W46" s="293"/>
      <c r="X46" s="294">
        <f>X39*C46</f>
        <v>307.346</v>
      </c>
      <c r="Y46" s="293"/>
      <c r="Z46" s="293"/>
      <c r="AA46" s="294">
        <f>AA39*C46</f>
        <v>307.346</v>
      </c>
      <c r="AB46" s="293"/>
      <c r="AC46" s="293"/>
      <c r="AD46" s="294">
        <f>AD39*C46</f>
        <v>307.346</v>
      </c>
    </row>
    <row r="47" spans="1:32" ht="14.45" customHeight="1">
      <c r="A47" s="253" t="s">
        <v>164</v>
      </c>
      <c r="B47" s="292" t="s">
        <v>165</v>
      </c>
      <c r="C47" s="585">
        <v>0.3</v>
      </c>
      <c r="D47" s="586"/>
      <c r="E47" s="293"/>
      <c r="F47" s="293"/>
      <c r="G47" s="293"/>
      <c r="H47" s="293"/>
      <c r="I47" s="293"/>
      <c r="J47" s="293"/>
      <c r="K47" s="293"/>
      <c r="L47" s="294">
        <f>L39*C47</f>
        <v>461.01900000000001</v>
      </c>
      <c r="M47" s="293"/>
      <c r="N47" s="293"/>
      <c r="O47" s="293"/>
      <c r="P47" s="293"/>
      <c r="Q47" s="293"/>
      <c r="R47" s="294">
        <f>R39*C47</f>
        <v>461.01900000000001</v>
      </c>
      <c r="S47" s="293"/>
      <c r="T47" s="293"/>
      <c r="U47" s="294">
        <f>U39*C47</f>
        <v>461.01900000000001</v>
      </c>
      <c r="V47" s="293"/>
      <c r="W47" s="293"/>
      <c r="X47" s="294">
        <f>X39*C47</f>
        <v>461.01900000000001</v>
      </c>
      <c r="Y47" s="293"/>
      <c r="Z47" s="293"/>
      <c r="AA47" s="294">
        <f>AA39*C47</f>
        <v>461.01900000000001</v>
      </c>
      <c r="AB47" s="293"/>
      <c r="AC47" s="293"/>
      <c r="AD47" s="294">
        <f>AD39*C47</f>
        <v>461.01900000000001</v>
      </c>
    </row>
    <row r="48" spans="1:32" ht="14.45" customHeight="1">
      <c r="A48" s="253" t="s">
        <v>166</v>
      </c>
      <c r="B48" s="292" t="s">
        <v>167</v>
      </c>
      <c r="C48" s="585">
        <v>0.2</v>
      </c>
      <c r="D48" s="586"/>
      <c r="E48" s="293"/>
      <c r="F48" s="293"/>
      <c r="G48" s="293"/>
      <c r="H48" s="293"/>
      <c r="I48" s="294">
        <f>I39*C48</f>
        <v>307.346</v>
      </c>
      <c r="J48" s="293"/>
      <c r="K48" s="293"/>
      <c r="L48" s="293"/>
      <c r="M48" s="293"/>
      <c r="N48" s="293"/>
      <c r="O48" s="293"/>
      <c r="P48" s="293"/>
      <c r="Q48" s="293"/>
      <c r="R48" s="293"/>
      <c r="S48" s="293"/>
      <c r="T48" s="293"/>
      <c r="U48" s="293"/>
      <c r="V48" s="293"/>
      <c r="W48" s="293"/>
      <c r="X48" s="293"/>
      <c r="Y48" s="293"/>
      <c r="Z48" s="293"/>
      <c r="AA48" s="293"/>
      <c r="AB48" s="293"/>
      <c r="AC48" s="293"/>
      <c r="AD48" s="293"/>
    </row>
    <row r="49" spans="1:32" ht="14.45" customHeight="1">
      <c r="A49" s="540" t="s">
        <v>168</v>
      </c>
      <c r="B49" s="540"/>
      <c r="C49" s="540"/>
      <c r="D49" s="540"/>
      <c r="E49" s="223">
        <f>SUM(E39:E48)</f>
        <v>2610.1529999999998</v>
      </c>
      <c r="F49" s="223">
        <f t="shared" ref="F49:AC49" si="3">SUM(F39:F48)</f>
        <v>1829.7239999999999</v>
      </c>
      <c r="G49" s="223">
        <f t="shared" si="3"/>
        <v>1524.77</v>
      </c>
      <c r="H49" s="223">
        <f t="shared" si="3"/>
        <v>1828.37</v>
      </c>
      <c r="I49" s="223">
        <f t="shared" si="3"/>
        <v>1844.076</v>
      </c>
      <c r="J49" s="223">
        <f t="shared" si="3"/>
        <v>1536.73</v>
      </c>
      <c r="K49" s="223">
        <f t="shared" si="3"/>
        <v>1524.77</v>
      </c>
      <c r="L49" s="223">
        <f t="shared" si="3"/>
        <v>1997.749</v>
      </c>
      <c r="M49" s="223">
        <f t="shared" si="3"/>
        <v>1829.7239999999999</v>
      </c>
      <c r="N49" s="223">
        <f t="shared" si="3"/>
        <v>1524.77</v>
      </c>
      <c r="O49" s="223">
        <f t="shared" si="3"/>
        <v>1828.37</v>
      </c>
      <c r="P49" s="223">
        <f t="shared" si="3"/>
        <v>1536.73</v>
      </c>
      <c r="Q49" s="223">
        <f t="shared" si="3"/>
        <v>1524.77</v>
      </c>
      <c r="R49" s="223">
        <f t="shared" si="3"/>
        <v>1997.749</v>
      </c>
      <c r="S49" s="223">
        <f t="shared" si="3"/>
        <v>901.00045454545455</v>
      </c>
      <c r="T49" s="223">
        <f t="shared" si="3"/>
        <v>1828.37</v>
      </c>
      <c r="U49" s="223">
        <f t="shared" si="3"/>
        <v>2305.0950000000003</v>
      </c>
      <c r="V49" s="223">
        <f t="shared" si="3"/>
        <v>1524.77</v>
      </c>
      <c r="W49" s="223">
        <f t="shared" si="3"/>
        <v>1828.37</v>
      </c>
      <c r="X49" s="223">
        <f t="shared" si="3"/>
        <v>2305.0950000000003</v>
      </c>
      <c r="Y49" s="223">
        <f t="shared" si="3"/>
        <v>901.00045454545455</v>
      </c>
      <c r="Z49" s="223">
        <f t="shared" si="3"/>
        <v>1828.37</v>
      </c>
      <c r="AA49" s="223">
        <f t="shared" si="3"/>
        <v>2305.0950000000003</v>
      </c>
      <c r="AB49" s="223">
        <f t="shared" si="3"/>
        <v>1524.77</v>
      </c>
      <c r="AC49" s="223">
        <f t="shared" si="3"/>
        <v>1828.37</v>
      </c>
      <c r="AD49" s="223">
        <f>SUM(AD39:AD48)</f>
        <v>2305.0950000000003</v>
      </c>
    </row>
    <row r="50" spans="1:32" ht="14.45" customHeight="1">
      <c r="A50" s="251"/>
      <c r="B50" s="251"/>
      <c r="C50" s="251"/>
      <c r="D50" s="246"/>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row>
    <row r="51" spans="1:32" ht="14.45" customHeight="1">
      <c r="A51" s="295" t="s">
        <v>169</v>
      </c>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row>
    <row r="52" spans="1:32" ht="14.45" customHeight="1">
      <c r="A52" s="298" t="s">
        <v>170</v>
      </c>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row>
    <row r="53" spans="1:32" ht="14.45" customHeight="1">
      <c r="A53" s="289" t="s">
        <v>171</v>
      </c>
      <c r="B53" s="290" t="s">
        <v>172</v>
      </c>
      <c r="C53" s="574" t="s">
        <v>150</v>
      </c>
      <c r="D53" s="575"/>
      <c r="E53" s="214" t="s">
        <v>151</v>
      </c>
      <c r="F53" s="214" t="s">
        <v>151</v>
      </c>
      <c r="G53" s="214" t="s">
        <v>151</v>
      </c>
      <c r="H53" s="214" t="s">
        <v>151</v>
      </c>
      <c r="I53" s="214" t="s">
        <v>151</v>
      </c>
      <c r="J53" s="214" t="s">
        <v>151</v>
      </c>
      <c r="K53" s="214" t="s">
        <v>151</v>
      </c>
      <c r="L53" s="214" t="s">
        <v>151</v>
      </c>
      <c r="M53" s="215" t="s">
        <v>151</v>
      </c>
      <c r="N53" s="215" t="s">
        <v>151</v>
      </c>
      <c r="O53" s="215" t="s">
        <v>151</v>
      </c>
      <c r="P53" s="215" t="s">
        <v>151</v>
      </c>
      <c r="Q53" s="215" t="s">
        <v>151</v>
      </c>
      <c r="R53" s="215" t="s">
        <v>151</v>
      </c>
      <c r="S53" s="216" t="s">
        <v>151</v>
      </c>
      <c r="T53" s="216" t="s">
        <v>151</v>
      </c>
      <c r="U53" s="216" t="s">
        <v>151</v>
      </c>
      <c r="V53" s="217" t="s">
        <v>151</v>
      </c>
      <c r="W53" s="217" t="s">
        <v>151</v>
      </c>
      <c r="X53" s="217" t="s">
        <v>151</v>
      </c>
      <c r="Y53" s="218" t="s">
        <v>151</v>
      </c>
      <c r="Z53" s="218" t="s">
        <v>151</v>
      </c>
      <c r="AA53" s="218" t="s">
        <v>151</v>
      </c>
      <c r="AB53" s="219" t="s">
        <v>151</v>
      </c>
      <c r="AC53" s="219" t="s">
        <v>151</v>
      </c>
      <c r="AD53" s="219" t="s">
        <v>151</v>
      </c>
    </row>
    <row r="54" spans="1:32" ht="14.45" customHeight="1">
      <c r="A54" s="253" t="s">
        <v>87</v>
      </c>
      <c r="B54" s="254" t="s">
        <v>173</v>
      </c>
      <c r="C54" s="588">
        <v>9.0899999999999995E-2</v>
      </c>
      <c r="D54" s="589"/>
      <c r="E54" s="220">
        <f t="shared" ref="E54:AD54" si="4">$C54*E49</f>
        <v>237.26290769999997</v>
      </c>
      <c r="F54" s="220">
        <f t="shared" si="4"/>
        <v>166.32191159999999</v>
      </c>
      <c r="G54" s="220">
        <f t="shared" si="4"/>
        <v>138.60159299999998</v>
      </c>
      <c r="H54" s="220">
        <f t="shared" si="4"/>
        <v>166.19883299999998</v>
      </c>
      <c r="I54" s="220">
        <f t="shared" si="4"/>
        <v>167.62650840000001</v>
      </c>
      <c r="J54" s="220">
        <f t="shared" si="4"/>
        <v>139.68875699999998</v>
      </c>
      <c r="K54" s="220">
        <f t="shared" si="4"/>
        <v>138.60159299999998</v>
      </c>
      <c r="L54" s="220">
        <f t="shared" si="4"/>
        <v>181.59538409999999</v>
      </c>
      <c r="M54" s="220">
        <f t="shared" si="4"/>
        <v>166.32191159999999</v>
      </c>
      <c r="N54" s="220">
        <f t="shared" si="4"/>
        <v>138.60159299999998</v>
      </c>
      <c r="O54" s="220">
        <f t="shared" si="4"/>
        <v>166.19883299999998</v>
      </c>
      <c r="P54" s="220">
        <f t="shared" si="4"/>
        <v>139.68875699999998</v>
      </c>
      <c r="Q54" s="220">
        <f t="shared" si="4"/>
        <v>138.60159299999998</v>
      </c>
      <c r="R54" s="220">
        <f t="shared" si="4"/>
        <v>181.59538409999999</v>
      </c>
      <c r="S54" s="220">
        <f t="shared" si="4"/>
        <v>81.900941318181808</v>
      </c>
      <c r="T54" s="220">
        <f t="shared" si="4"/>
        <v>166.19883299999998</v>
      </c>
      <c r="U54" s="220">
        <f t="shared" si="4"/>
        <v>209.53313550000001</v>
      </c>
      <c r="V54" s="220">
        <f t="shared" si="4"/>
        <v>138.60159299999998</v>
      </c>
      <c r="W54" s="220">
        <f t="shared" si="4"/>
        <v>166.19883299999998</v>
      </c>
      <c r="X54" s="220">
        <f t="shared" si="4"/>
        <v>209.53313550000001</v>
      </c>
      <c r="Y54" s="220">
        <f t="shared" si="4"/>
        <v>81.900941318181808</v>
      </c>
      <c r="Z54" s="220">
        <f t="shared" si="4"/>
        <v>166.19883299999998</v>
      </c>
      <c r="AA54" s="220">
        <f t="shared" si="4"/>
        <v>209.53313550000001</v>
      </c>
      <c r="AB54" s="220">
        <f t="shared" si="4"/>
        <v>138.60159299999998</v>
      </c>
      <c r="AC54" s="220">
        <f t="shared" si="4"/>
        <v>166.19883299999998</v>
      </c>
      <c r="AD54" s="220">
        <f t="shared" si="4"/>
        <v>209.53313550000001</v>
      </c>
    </row>
    <row r="55" spans="1:32" ht="14.45" customHeight="1">
      <c r="A55" s="253" t="s">
        <v>89</v>
      </c>
      <c r="B55" s="254" t="s">
        <v>174</v>
      </c>
      <c r="C55" s="588">
        <v>3.0300000000000001E-2</v>
      </c>
      <c r="D55" s="589"/>
      <c r="E55" s="220">
        <f t="shared" ref="E55:AD55" si="5">$C55*E49</f>
        <v>79.087635899999995</v>
      </c>
      <c r="F55" s="220">
        <f t="shared" si="5"/>
        <v>55.440637199999998</v>
      </c>
      <c r="G55" s="220">
        <f t="shared" si="5"/>
        <v>46.200530999999998</v>
      </c>
      <c r="H55" s="220">
        <f t="shared" si="5"/>
        <v>55.399611</v>
      </c>
      <c r="I55" s="220">
        <f t="shared" si="5"/>
        <v>55.8755028</v>
      </c>
      <c r="J55" s="220">
        <f t="shared" si="5"/>
        <v>46.562919000000001</v>
      </c>
      <c r="K55" s="220">
        <f t="shared" si="5"/>
        <v>46.200530999999998</v>
      </c>
      <c r="L55" s="220">
        <f t="shared" si="5"/>
        <v>60.531794699999999</v>
      </c>
      <c r="M55" s="220">
        <f t="shared" si="5"/>
        <v>55.440637199999998</v>
      </c>
      <c r="N55" s="220">
        <f t="shared" si="5"/>
        <v>46.200530999999998</v>
      </c>
      <c r="O55" s="220">
        <f t="shared" si="5"/>
        <v>55.399611</v>
      </c>
      <c r="P55" s="220">
        <f t="shared" si="5"/>
        <v>46.562919000000001</v>
      </c>
      <c r="Q55" s="220">
        <f t="shared" si="5"/>
        <v>46.200530999999998</v>
      </c>
      <c r="R55" s="220">
        <f t="shared" si="5"/>
        <v>60.531794699999999</v>
      </c>
      <c r="S55" s="220">
        <f t="shared" si="5"/>
        <v>27.300313772727272</v>
      </c>
      <c r="T55" s="220">
        <f t="shared" si="5"/>
        <v>55.399611</v>
      </c>
      <c r="U55" s="220">
        <f t="shared" si="5"/>
        <v>69.844378500000005</v>
      </c>
      <c r="V55" s="220">
        <f t="shared" si="5"/>
        <v>46.200530999999998</v>
      </c>
      <c r="W55" s="220">
        <f t="shared" si="5"/>
        <v>55.399611</v>
      </c>
      <c r="X55" s="220">
        <f t="shared" si="5"/>
        <v>69.844378500000005</v>
      </c>
      <c r="Y55" s="220">
        <f t="shared" si="5"/>
        <v>27.300313772727272</v>
      </c>
      <c r="Z55" s="220">
        <f t="shared" si="5"/>
        <v>55.399611</v>
      </c>
      <c r="AA55" s="220">
        <f t="shared" si="5"/>
        <v>69.844378500000005</v>
      </c>
      <c r="AB55" s="220">
        <f t="shared" si="5"/>
        <v>46.200530999999998</v>
      </c>
      <c r="AC55" s="220">
        <f t="shared" si="5"/>
        <v>55.399611</v>
      </c>
      <c r="AD55" s="220">
        <f t="shared" si="5"/>
        <v>69.844378500000005</v>
      </c>
    </row>
    <row r="56" spans="1:32" ht="14.45" customHeight="1">
      <c r="A56" s="540" t="s">
        <v>175</v>
      </c>
      <c r="B56" s="540"/>
      <c r="C56" s="601">
        <f>SUM(C54:D55)</f>
        <v>0.1212</v>
      </c>
      <c r="D56" s="602"/>
      <c r="E56" s="223">
        <f>SUM(E54:E55)</f>
        <v>316.35054359999998</v>
      </c>
      <c r="F56" s="223">
        <f t="shared" ref="F56:AD56" si="6">SUM(F54:F55)</f>
        <v>221.76254879999999</v>
      </c>
      <c r="G56" s="223">
        <f t="shared" si="6"/>
        <v>184.80212399999999</v>
      </c>
      <c r="H56" s="223">
        <f t="shared" si="6"/>
        <v>221.59844399999997</v>
      </c>
      <c r="I56" s="223">
        <f t="shared" si="6"/>
        <v>223.5020112</v>
      </c>
      <c r="J56" s="223">
        <f t="shared" si="6"/>
        <v>186.25167599999997</v>
      </c>
      <c r="K56" s="223">
        <f t="shared" si="6"/>
        <v>184.80212399999999</v>
      </c>
      <c r="L56" s="223">
        <f t="shared" si="6"/>
        <v>242.1271788</v>
      </c>
      <c r="M56" s="223">
        <f t="shared" si="6"/>
        <v>221.76254879999999</v>
      </c>
      <c r="N56" s="223">
        <f t="shared" si="6"/>
        <v>184.80212399999999</v>
      </c>
      <c r="O56" s="223">
        <f t="shared" si="6"/>
        <v>221.59844399999997</v>
      </c>
      <c r="P56" s="223">
        <f t="shared" si="6"/>
        <v>186.25167599999997</v>
      </c>
      <c r="Q56" s="223">
        <f t="shared" si="6"/>
        <v>184.80212399999999</v>
      </c>
      <c r="R56" s="223">
        <f t="shared" si="6"/>
        <v>242.1271788</v>
      </c>
      <c r="S56" s="223">
        <f t="shared" si="6"/>
        <v>109.20125509090909</v>
      </c>
      <c r="T56" s="223">
        <f t="shared" si="6"/>
        <v>221.59844399999997</v>
      </c>
      <c r="U56" s="223">
        <f t="shared" si="6"/>
        <v>279.37751400000002</v>
      </c>
      <c r="V56" s="223">
        <f t="shared" si="6"/>
        <v>184.80212399999999</v>
      </c>
      <c r="W56" s="223">
        <f t="shared" si="6"/>
        <v>221.59844399999997</v>
      </c>
      <c r="X56" s="223">
        <f t="shared" si="6"/>
        <v>279.37751400000002</v>
      </c>
      <c r="Y56" s="223">
        <f t="shared" si="6"/>
        <v>109.20125509090909</v>
      </c>
      <c r="Z56" s="223">
        <f t="shared" si="6"/>
        <v>221.59844399999997</v>
      </c>
      <c r="AA56" s="223">
        <f t="shared" si="6"/>
        <v>279.37751400000002</v>
      </c>
      <c r="AB56" s="223">
        <f t="shared" si="6"/>
        <v>184.80212399999999</v>
      </c>
      <c r="AC56" s="223">
        <f t="shared" si="6"/>
        <v>221.59844399999997</v>
      </c>
      <c r="AD56" s="223">
        <f t="shared" si="6"/>
        <v>279.37751400000002</v>
      </c>
    </row>
    <row r="57" spans="1:32" ht="14.45" customHeight="1">
      <c r="A57" s="251"/>
      <c r="B57" s="251"/>
      <c r="C57" s="251"/>
      <c r="D57" s="246"/>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row>
    <row r="58" spans="1:32" ht="14.45" customHeight="1">
      <c r="A58" s="286" t="s">
        <v>176</v>
      </c>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8"/>
    </row>
    <row r="59" spans="1:32" ht="14.45" customHeight="1">
      <c r="A59" s="289" t="s">
        <v>177</v>
      </c>
      <c r="B59" s="290" t="s">
        <v>178</v>
      </c>
      <c r="C59" s="574" t="s">
        <v>150</v>
      </c>
      <c r="D59" s="575"/>
      <c r="E59" s="214" t="s">
        <v>151</v>
      </c>
      <c r="F59" s="214" t="s">
        <v>151</v>
      </c>
      <c r="G59" s="214" t="s">
        <v>151</v>
      </c>
      <c r="H59" s="214" t="s">
        <v>151</v>
      </c>
      <c r="I59" s="214" t="s">
        <v>151</v>
      </c>
      <c r="J59" s="214" t="s">
        <v>151</v>
      </c>
      <c r="K59" s="214" t="s">
        <v>151</v>
      </c>
      <c r="L59" s="214" t="s">
        <v>151</v>
      </c>
      <c r="M59" s="215" t="s">
        <v>151</v>
      </c>
      <c r="N59" s="215" t="s">
        <v>151</v>
      </c>
      <c r="O59" s="215" t="s">
        <v>151</v>
      </c>
      <c r="P59" s="215" t="s">
        <v>151</v>
      </c>
      <c r="Q59" s="215" t="s">
        <v>151</v>
      </c>
      <c r="R59" s="215" t="s">
        <v>151</v>
      </c>
      <c r="S59" s="216" t="s">
        <v>151</v>
      </c>
      <c r="T59" s="216" t="s">
        <v>151</v>
      </c>
      <c r="U59" s="216" t="s">
        <v>151</v>
      </c>
      <c r="V59" s="217" t="s">
        <v>151</v>
      </c>
      <c r="W59" s="217" t="s">
        <v>151</v>
      </c>
      <c r="X59" s="217" t="s">
        <v>151</v>
      </c>
      <c r="Y59" s="218" t="s">
        <v>151</v>
      </c>
      <c r="Z59" s="218" t="s">
        <v>151</v>
      </c>
      <c r="AA59" s="218" t="s">
        <v>151</v>
      </c>
      <c r="AB59" s="219" t="s">
        <v>151</v>
      </c>
      <c r="AC59" s="219" t="s">
        <v>151</v>
      </c>
      <c r="AD59" s="219" t="s">
        <v>151</v>
      </c>
    </row>
    <row r="60" spans="1:32" ht="14.45" customHeight="1">
      <c r="A60" s="301" t="s">
        <v>87</v>
      </c>
      <c r="B60" s="302" t="s">
        <v>179</v>
      </c>
      <c r="C60" s="588">
        <v>0.2</v>
      </c>
      <c r="D60" s="589"/>
      <c r="E60" s="220">
        <f t="shared" ref="E60:AD60" si="7">$C60*(E49+E56)</f>
        <v>585.30070871999999</v>
      </c>
      <c r="F60" s="220">
        <f t="shared" si="7"/>
        <v>410.29730976000002</v>
      </c>
      <c r="G60" s="220">
        <f t="shared" si="7"/>
        <v>341.91442480000001</v>
      </c>
      <c r="H60" s="220">
        <f t="shared" si="7"/>
        <v>409.99368880000003</v>
      </c>
      <c r="I60" s="220">
        <f t="shared" si="7"/>
        <v>413.51560224000008</v>
      </c>
      <c r="J60" s="220">
        <f t="shared" si="7"/>
        <v>344.5963352</v>
      </c>
      <c r="K60" s="220">
        <f t="shared" si="7"/>
        <v>341.91442480000001</v>
      </c>
      <c r="L60" s="220">
        <f t="shared" si="7"/>
        <v>447.97523576000003</v>
      </c>
      <c r="M60" s="220">
        <f t="shared" si="7"/>
        <v>410.29730976000002</v>
      </c>
      <c r="N60" s="220">
        <f t="shared" si="7"/>
        <v>341.91442480000001</v>
      </c>
      <c r="O60" s="220">
        <f t="shared" si="7"/>
        <v>409.99368880000003</v>
      </c>
      <c r="P60" s="220">
        <f t="shared" si="7"/>
        <v>344.5963352</v>
      </c>
      <c r="Q60" s="220">
        <f t="shared" si="7"/>
        <v>341.91442480000001</v>
      </c>
      <c r="R60" s="220">
        <f t="shared" si="7"/>
        <v>447.97523576000003</v>
      </c>
      <c r="S60" s="220">
        <f t="shared" si="7"/>
        <v>202.04034192727272</v>
      </c>
      <c r="T60" s="220">
        <f t="shared" si="7"/>
        <v>409.99368880000003</v>
      </c>
      <c r="U60" s="220">
        <f t="shared" si="7"/>
        <v>516.89450280000005</v>
      </c>
      <c r="V60" s="220">
        <f t="shared" si="7"/>
        <v>341.91442480000001</v>
      </c>
      <c r="W60" s="220">
        <f t="shared" si="7"/>
        <v>409.99368880000003</v>
      </c>
      <c r="X60" s="220">
        <f t="shared" si="7"/>
        <v>516.89450280000005</v>
      </c>
      <c r="Y60" s="220">
        <f t="shared" si="7"/>
        <v>202.04034192727272</v>
      </c>
      <c r="Z60" s="220">
        <f t="shared" si="7"/>
        <v>409.99368880000003</v>
      </c>
      <c r="AA60" s="220">
        <f t="shared" si="7"/>
        <v>516.89450280000005</v>
      </c>
      <c r="AB60" s="220">
        <f t="shared" si="7"/>
        <v>341.91442480000001</v>
      </c>
      <c r="AC60" s="220">
        <f t="shared" si="7"/>
        <v>409.99368880000003</v>
      </c>
      <c r="AD60" s="220">
        <f t="shared" si="7"/>
        <v>516.89450280000005</v>
      </c>
    </row>
    <row r="61" spans="1:32" ht="14.45" customHeight="1">
      <c r="A61" s="301" t="s">
        <v>89</v>
      </c>
      <c r="B61" s="302" t="s">
        <v>180</v>
      </c>
      <c r="C61" s="588">
        <v>2.5000000000000001E-2</v>
      </c>
      <c r="D61" s="589"/>
      <c r="E61" s="220">
        <f t="shared" ref="E61:AD61" si="8">$C61*(E49+E56)</f>
        <v>73.162588589999999</v>
      </c>
      <c r="F61" s="220">
        <f t="shared" si="8"/>
        <v>51.287163720000002</v>
      </c>
      <c r="G61" s="220">
        <f t="shared" si="8"/>
        <v>42.739303100000001</v>
      </c>
      <c r="H61" s="220">
        <f t="shared" si="8"/>
        <v>51.249211100000004</v>
      </c>
      <c r="I61" s="220">
        <f t="shared" si="8"/>
        <v>51.68945028000001</v>
      </c>
      <c r="J61" s="220">
        <f t="shared" si="8"/>
        <v>43.0745419</v>
      </c>
      <c r="K61" s="220">
        <f t="shared" si="8"/>
        <v>42.739303100000001</v>
      </c>
      <c r="L61" s="220">
        <f t="shared" si="8"/>
        <v>55.996904470000004</v>
      </c>
      <c r="M61" s="220">
        <f t="shared" si="8"/>
        <v>51.287163720000002</v>
      </c>
      <c r="N61" s="220">
        <f t="shared" si="8"/>
        <v>42.739303100000001</v>
      </c>
      <c r="O61" s="220">
        <f t="shared" si="8"/>
        <v>51.249211100000004</v>
      </c>
      <c r="P61" s="220">
        <f t="shared" si="8"/>
        <v>43.0745419</v>
      </c>
      <c r="Q61" s="220">
        <f t="shared" si="8"/>
        <v>42.739303100000001</v>
      </c>
      <c r="R61" s="220">
        <f t="shared" si="8"/>
        <v>55.996904470000004</v>
      </c>
      <c r="S61" s="220">
        <f t="shared" si="8"/>
        <v>25.25504274090909</v>
      </c>
      <c r="T61" s="220">
        <f t="shared" si="8"/>
        <v>51.249211100000004</v>
      </c>
      <c r="U61" s="220">
        <f t="shared" si="8"/>
        <v>64.611812850000007</v>
      </c>
      <c r="V61" s="220">
        <f t="shared" si="8"/>
        <v>42.739303100000001</v>
      </c>
      <c r="W61" s="220">
        <f t="shared" si="8"/>
        <v>51.249211100000004</v>
      </c>
      <c r="X61" s="220">
        <f t="shared" si="8"/>
        <v>64.611812850000007</v>
      </c>
      <c r="Y61" s="220">
        <f t="shared" si="8"/>
        <v>25.25504274090909</v>
      </c>
      <c r="Z61" s="220">
        <f t="shared" si="8"/>
        <v>51.249211100000004</v>
      </c>
      <c r="AA61" s="220">
        <f t="shared" si="8"/>
        <v>64.611812850000007</v>
      </c>
      <c r="AB61" s="220">
        <f t="shared" si="8"/>
        <v>42.739303100000001</v>
      </c>
      <c r="AC61" s="220">
        <f t="shared" si="8"/>
        <v>51.249211100000004</v>
      </c>
      <c r="AD61" s="220">
        <f t="shared" si="8"/>
        <v>64.611812850000007</v>
      </c>
    </row>
    <row r="62" spans="1:32" ht="14.45" customHeight="1">
      <c r="A62" s="301" t="s">
        <v>91</v>
      </c>
      <c r="B62" s="302" t="s">
        <v>181</v>
      </c>
      <c r="C62" s="603">
        <v>0.03</v>
      </c>
      <c r="D62" s="604"/>
      <c r="E62" s="220">
        <f t="shared" ref="E62:AD62" si="9">$C62*(E49+E56)</f>
        <v>87.795106307999987</v>
      </c>
      <c r="F62" s="220">
        <f t="shared" si="9"/>
        <v>61.544596464000001</v>
      </c>
      <c r="G62" s="220">
        <f t="shared" si="9"/>
        <v>51.287163720000002</v>
      </c>
      <c r="H62" s="220">
        <f t="shared" si="9"/>
        <v>61.499053320000002</v>
      </c>
      <c r="I62" s="220">
        <f t="shared" si="9"/>
        <v>62.027340336000002</v>
      </c>
      <c r="J62" s="220">
        <f t="shared" si="9"/>
        <v>51.689450279999996</v>
      </c>
      <c r="K62" s="220">
        <f t="shared" si="9"/>
        <v>51.287163720000002</v>
      </c>
      <c r="L62" s="220">
        <f t="shared" si="9"/>
        <v>67.196285364000005</v>
      </c>
      <c r="M62" s="220">
        <f t="shared" si="9"/>
        <v>61.544596464000001</v>
      </c>
      <c r="N62" s="220">
        <f t="shared" si="9"/>
        <v>51.287163720000002</v>
      </c>
      <c r="O62" s="220">
        <f t="shared" si="9"/>
        <v>61.499053320000002</v>
      </c>
      <c r="P62" s="220">
        <f t="shared" si="9"/>
        <v>51.689450279999996</v>
      </c>
      <c r="Q62" s="220">
        <f t="shared" si="9"/>
        <v>51.287163720000002</v>
      </c>
      <c r="R62" s="220">
        <f t="shared" si="9"/>
        <v>67.196285364000005</v>
      </c>
      <c r="S62" s="220">
        <f t="shared" si="9"/>
        <v>30.306051289090906</v>
      </c>
      <c r="T62" s="220">
        <f t="shared" si="9"/>
        <v>61.499053320000002</v>
      </c>
      <c r="U62" s="220">
        <f t="shared" si="9"/>
        <v>77.534175419999997</v>
      </c>
      <c r="V62" s="220">
        <f t="shared" si="9"/>
        <v>51.287163720000002</v>
      </c>
      <c r="W62" s="220">
        <f t="shared" si="9"/>
        <v>61.499053320000002</v>
      </c>
      <c r="X62" s="220">
        <f t="shared" si="9"/>
        <v>77.534175419999997</v>
      </c>
      <c r="Y62" s="220">
        <f t="shared" si="9"/>
        <v>30.306051289090906</v>
      </c>
      <c r="Z62" s="220">
        <f t="shared" si="9"/>
        <v>61.499053320000002</v>
      </c>
      <c r="AA62" s="220">
        <f t="shared" si="9"/>
        <v>77.534175419999997</v>
      </c>
      <c r="AB62" s="220">
        <f t="shared" si="9"/>
        <v>51.287163720000002</v>
      </c>
      <c r="AC62" s="220">
        <f t="shared" si="9"/>
        <v>61.499053320000002</v>
      </c>
      <c r="AD62" s="220">
        <f t="shared" si="9"/>
        <v>77.534175419999997</v>
      </c>
      <c r="AF62" s="303"/>
    </row>
    <row r="63" spans="1:32" ht="14.45" customHeight="1">
      <c r="A63" s="301" t="s">
        <v>96</v>
      </c>
      <c r="B63" s="302" t="s">
        <v>182</v>
      </c>
      <c r="C63" s="588">
        <v>1.4999999999999999E-2</v>
      </c>
      <c r="D63" s="589"/>
      <c r="E63" s="220">
        <f t="shared" ref="E63:AD63" si="10">$C63*(E49+E56)</f>
        <v>43.897553153999993</v>
      </c>
      <c r="F63" s="220">
        <f t="shared" si="10"/>
        <v>30.772298232000001</v>
      </c>
      <c r="G63" s="220">
        <f>$C63*(G49+G56)</f>
        <v>25.643581860000001</v>
      </c>
      <c r="H63" s="220">
        <f t="shared" si="10"/>
        <v>30.749526660000001</v>
      </c>
      <c r="I63" s="220">
        <f t="shared" si="10"/>
        <v>31.013670168000001</v>
      </c>
      <c r="J63" s="220">
        <f t="shared" si="10"/>
        <v>25.844725139999998</v>
      </c>
      <c r="K63" s="220">
        <f>$C63*(K49+K56)</f>
        <v>25.643581860000001</v>
      </c>
      <c r="L63" s="220">
        <f t="shared" si="10"/>
        <v>33.598142682000002</v>
      </c>
      <c r="M63" s="220">
        <f t="shared" si="10"/>
        <v>30.772298232000001</v>
      </c>
      <c r="N63" s="220">
        <f t="shared" si="10"/>
        <v>25.643581860000001</v>
      </c>
      <c r="O63" s="220">
        <f t="shared" si="10"/>
        <v>30.749526660000001</v>
      </c>
      <c r="P63" s="220">
        <f t="shared" si="10"/>
        <v>25.844725139999998</v>
      </c>
      <c r="Q63" s="220">
        <f t="shared" si="10"/>
        <v>25.643581860000001</v>
      </c>
      <c r="R63" s="220">
        <f t="shared" si="10"/>
        <v>33.598142682000002</v>
      </c>
      <c r="S63" s="220">
        <f t="shared" si="10"/>
        <v>15.153025644545453</v>
      </c>
      <c r="T63" s="220">
        <f t="shared" si="10"/>
        <v>30.749526660000001</v>
      </c>
      <c r="U63" s="220">
        <f t="shared" si="10"/>
        <v>38.767087709999998</v>
      </c>
      <c r="V63" s="220">
        <f t="shared" si="10"/>
        <v>25.643581860000001</v>
      </c>
      <c r="W63" s="220">
        <f t="shared" si="10"/>
        <v>30.749526660000001</v>
      </c>
      <c r="X63" s="220">
        <f t="shared" si="10"/>
        <v>38.767087709999998</v>
      </c>
      <c r="Y63" s="220">
        <f t="shared" si="10"/>
        <v>15.153025644545453</v>
      </c>
      <c r="Z63" s="220">
        <f t="shared" si="10"/>
        <v>30.749526660000001</v>
      </c>
      <c r="AA63" s="220">
        <f t="shared" si="10"/>
        <v>38.767087709999998</v>
      </c>
      <c r="AB63" s="220">
        <f t="shared" si="10"/>
        <v>25.643581860000001</v>
      </c>
      <c r="AC63" s="220">
        <f t="shared" si="10"/>
        <v>30.749526660000001</v>
      </c>
      <c r="AD63" s="220">
        <f t="shared" si="10"/>
        <v>38.767087709999998</v>
      </c>
    </row>
    <row r="64" spans="1:32" ht="14.45" customHeight="1">
      <c r="A64" s="301" t="s">
        <v>156</v>
      </c>
      <c r="B64" s="302" t="s">
        <v>183</v>
      </c>
      <c r="C64" s="588">
        <v>0.01</v>
      </c>
      <c r="D64" s="589"/>
      <c r="E64" s="220">
        <f t="shared" ref="E64:AD64" si="11">$C64*(E49+E56)</f>
        <v>29.265035435999998</v>
      </c>
      <c r="F64" s="220">
        <f t="shared" si="11"/>
        <v>20.514865488000002</v>
      </c>
      <c r="G64" s="220">
        <f t="shared" si="11"/>
        <v>17.09572124</v>
      </c>
      <c r="H64" s="220">
        <f t="shared" si="11"/>
        <v>20.499684440000003</v>
      </c>
      <c r="I64" s="220">
        <f t="shared" si="11"/>
        <v>20.675780112000002</v>
      </c>
      <c r="J64" s="220">
        <f t="shared" si="11"/>
        <v>17.229816759999999</v>
      </c>
      <c r="K64" s="220">
        <f t="shared" si="11"/>
        <v>17.09572124</v>
      </c>
      <c r="L64" s="220">
        <f t="shared" si="11"/>
        <v>22.398761788000002</v>
      </c>
      <c r="M64" s="220">
        <f t="shared" si="11"/>
        <v>20.514865488000002</v>
      </c>
      <c r="N64" s="220">
        <f t="shared" si="11"/>
        <v>17.09572124</v>
      </c>
      <c r="O64" s="220">
        <f t="shared" si="11"/>
        <v>20.499684440000003</v>
      </c>
      <c r="P64" s="220">
        <f t="shared" si="11"/>
        <v>17.229816759999999</v>
      </c>
      <c r="Q64" s="220">
        <f t="shared" si="11"/>
        <v>17.09572124</v>
      </c>
      <c r="R64" s="220">
        <f t="shared" si="11"/>
        <v>22.398761788000002</v>
      </c>
      <c r="S64" s="220">
        <f t="shared" si="11"/>
        <v>10.102017096363637</v>
      </c>
      <c r="T64" s="220">
        <f t="shared" si="11"/>
        <v>20.499684440000003</v>
      </c>
      <c r="U64" s="220">
        <f t="shared" si="11"/>
        <v>25.844725140000001</v>
      </c>
      <c r="V64" s="220">
        <f t="shared" si="11"/>
        <v>17.09572124</v>
      </c>
      <c r="W64" s="220">
        <f t="shared" si="11"/>
        <v>20.499684440000003</v>
      </c>
      <c r="X64" s="220">
        <f t="shared" si="11"/>
        <v>25.844725140000001</v>
      </c>
      <c r="Y64" s="220">
        <f t="shared" si="11"/>
        <v>10.102017096363637</v>
      </c>
      <c r="Z64" s="220">
        <f t="shared" si="11"/>
        <v>20.499684440000003</v>
      </c>
      <c r="AA64" s="220">
        <f t="shared" si="11"/>
        <v>25.844725140000001</v>
      </c>
      <c r="AB64" s="220">
        <f t="shared" si="11"/>
        <v>17.09572124</v>
      </c>
      <c r="AC64" s="220">
        <f t="shared" si="11"/>
        <v>20.499684440000003</v>
      </c>
      <c r="AD64" s="220">
        <f t="shared" si="11"/>
        <v>25.844725140000001</v>
      </c>
    </row>
    <row r="65" spans="1:30" ht="14.45" customHeight="1">
      <c r="A65" s="301" t="s">
        <v>158</v>
      </c>
      <c r="B65" s="302" t="s">
        <v>184</v>
      </c>
      <c r="C65" s="588">
        <v>6.0000000000000001E-3</v>
      </c>
      <c r="D65" s="589"/>
      <c r="E65" s="220">
        <f t="shared" ref="E65:AD65" si="12">$C65*(E49+E56)</f>
        <v>17.559021261599998</v>
      </c>
      <c r="F65" s="220">
        <f t="shared" si="12"/>
        <v>12.308919292800001</v>
      </c>
      <c r="G65" s="220">
        <f t="shared" si="12"/>
        <v>10.257432744000001</v>
      </c>
      <c r="H65" s="220">
        <f t="shared" si="12"/>
        <v>12.299810664000001</v>
      </c>
      <c r="I65" s="220">
        <f t="shared" si="12"/>
        <v>12.405468067200001</v>
      </c>
      <c r="J65" s="220">
        <f t="shared" si="12"/>
        <v>10.337890055999999</v>
      </c>
      <c r="K65" s="220">
        <f t="shared" si="12"/>
        <v>10.257432744000001</v>
      </c>
      <c r="L65" s="220">
        <f t="shared" si="12"/>
        <v>13.439257072800002</v>
      </c>
      <c r="M65" s="220">
        <f t="shared" si="12"/>
        <v>12.308919292800001</v>
      </c>
      <c r="N65" s="220">
        <f t="shared" si="12"/>
        <v>10.257432744000001</v>
      </c>
      <c r="O65" s="220">
        <f t="shared" si="12"/>
        <v>12.299810664000001</v>
      </c>
      <c r="P65" s="220">
        <f t="shared" si="12"/>
        <v>10.337890055999999</v>
      </c>
      <c r="Q65" s="220">
        <f t="shared" si="12"/>
        <v>10.257432744000001</v>
      </c>
      <c r="R65" s="220">
        <f t="shared" si="12"/>
        <v>13.439257072800002</v>
      </c>
      <c r="S65" s="220">
        <f t="shared" si="12"/>
        <v>6.0612102578181819</v>
      </c>
      <c r="T65" s="220">
        <f t="shared" si="12"/>
        <v>12.299810664000001</v>
      </c>
      <c r="U65" s="220">
        <f t="shared" si="12"/>
        <v>15.506835084</v>
      </c>
      <c r="V65" s="220">
        <f t="shared" si="12"/>
        <v>10.257432744000001</v>
      </c>
      <c r="W65" s="220">
        <f t="shared" si="12"/>
        <v>12.299810664000001</v>
      </c>
      <c r="X65" s="220">
        <f t="shared" si="12"/>
        <v>15.506835084</v>
      </c>
      <c r="Y65" s="220">
        <f t="shared" si="12"/>
        <v>6.0612102578181819</v>
      </c>
      <c r="Z65" s="220">
        <f t="shared" si="12"/>
        <v>12.299810664000001</v>
      </c>
      <c r="AA65" s="220">
        <f t="shared" si="12"/>
        <v>15.506835084</v>
      </c>
      <c r="AB65" s="220">
        <f t="shared" si="12"/>
        <v>10.257432744000001</v>
      </c>
      <c r="AC65" s="220">
        <f t="shared" si="12"/>
        <v>12.299810664000001</v>
      </c>
      <c r="AD65" s="220">
        <f t="shared" si="12"/>
        <v>15.506835084</v>
      </c>
    </row>
    <row r="66" spans="1:30" ht="14.45" customHeight="1">
      <c r="A66" s="301" t="s">
        <v>160</v>
      </c>
      <c r="B66" s="302" t="s">
        <v>185</v>
      </c>
      <c r="C66" s="588">
        <v>2E-3</v>
      </c>
      <c r="D66" s="589"/>
      <c r="E66" s="220">
        <f t="shared" ref="E66:AD66" si="13">$C66*(E49+E56)</f>
        <v>5.8530070872</v>
      </c>
      <c r="F66" s="220">
        <f t="shared" si="13"/>
        <v>4.1029730976000005</v>
      </c>
      <c r="G66" s="220">
        <f t="shared" si="13"/>
        <v>3.4191442480000003</v>
      </c>
      <c r="H66" s="220">
        <f t="shared" si="13"/>
        <v>4.0999368880000002</v>
      </c>
      <c r="I66" s="220">
        <f t="shared" si="13"/>
        <v>4.1351560224000004</v>
      </c>
      <c r="J66" s="220">
        <f t="shared" si="13"/>
        <v>3.4459633519999997</v>
      </c>
      <c r="K66" s="220">
        <f t="shared" si="13"/>
        <v>3.4191442480000003</v>
      </c>
      <c r="L66" s="220">
        <f t="shared" si="13"/>
        <v>4.4797523576000007</v>
      </c>
      <c r="M66" s="220">
        <f t="shared" si="13"/>
        <v>4.1029730976000005</v>
      </c>
      <c r="N66" s="220">
        <f t="shared" si="13"/>
        <v>3.4191442480000003</v>
      </c>
      <c r="O66" s="220">
        <f t="shared" si="13"/>
        <v>4.0999368880000002</v>
      </c>
      <c r="P66" s="220">
        <f t="shared" si="13"/>
        <v>3.4459633519999997</v>
      </c>
      <c r="Q66" s="220">
        <f t="shared" si="13"/>
        <v>3.4191442480000003</v>
      </c>
      <c r="R66" s="220">
        <f t="shared" si="13"/>
        <v>4.4797523576000007</v>
      </c>
      <c r="S66" s="220">
        <f t="shared" si="13"/>
        <v>2.0204034192727272</v>
      </c>
      <c r="T66" s="220">
        <f t="shared" si="13"/>
        <v>4.0999368880000002</v>
      </c>
      <c r="U66" s="220">
        <f t="shared" si="13"/>
        <v>5.1689450280000004</v>
      </c>
      <c r="V66" s="220">
        <f t="shared" si="13"/>
        <v>3.4191442480000003</v>
      </c>
      <c r="W66" s="220">
        <f t="shared" si="13"/>
        <v>4.0999368880000002</v>
      </c>
      <c r="X66" s="220">
        <f t="shared" si="13"/>
        <v>5.1689450280000004</v>
      </c>
      <c r="Y66" s="220">
        <f t="shared" si="13"/>
        <v>2.0204034192727272</v>
      </c>
      <c r="Z66" s="220">
        <f t="shared" si="13"/>
        <v>4.0999368880000002</v>
      </c>
      <c r="AA66" s="220">
        <f t="shared" si="13"/>
        <v>5.1689450280000004</v>
      </c>
      <c r="AB66" s="220">
        <f t="shared" si="13"/>
        <v>3.4191442480000003</v>
      </c>
      <c r="AC66" s="220">
        <f t="shared" si="13"/>
        <v>4.0999368880000002</v>
      </c>
      <c r="AD66" s="220">
        <f t="shared" si="13"/>
        <v>5.1689450280000004</v>
      </c>
    </row>
    <row r="67" spans="1:30" ht="14.45" customHeight="1">
      <c r="A67" s="301" t="s">
        <v>162</v>
      </c>
      <c r="B67" s="302" t="s">
        <v>186</v>
      </c>
      <c r="C67" s="588">
        <v>0.08</v>
      </c>
      <c r="D67" s="589"/>
      <c r="E67" s="220">
        <f t="shared" ref="E67:AD67" si="14">$C67*(E49+E56)</f>
        <v>234.12028348799998</v>
      </c>
      <c r="F67" s="220">
        <f t="shared" si="14"/>
        <v>164.11892390400001</v>
      </c>
      <c r="G67" s="220">
        <f t="shared" si="14"/>
        <v>136.76576992</v>
      </c>
      <c r="H67" s="220">
        <f t="shared" si="14"/>
        <v>163.99747552000002</v>
      </c>
      <c r="I67" s="220">
        <f t="shared" si="14"/>
        <v>165.40624089600001</v>
      </c>
      <c r="J67" s="220">
        <f t="shared" si="14"/>
        <v>137.83853407999999</v>
      </c>
      <c r="K67" s="220">
        <f t="shared" si="14"/>
        <v>136.76576992</v>
      </c>
      <c r="L67" s="220">
        <f t="shared" si="14"/>
        <v>179.19009430400001</v>
      </c>
      <c r="M67" s="220">
        <f t="shared" si="14"/>
        <v>164.11892390400001</v>
      </c>
      <c r="N67" s="220">
        <f t="shared" si="14"/>
        <v>136.76576992</v>
      </c>
      <c r="O67" s="220">
        <f t="shared" si="14"/>
        <v>163.99747552000002</v>
      </c>
      <c r="P67" s="220">
        <f t="shared" si="14"/>
        <v>137.83853407999999</v>
      </c>
      <c r="Q67" s="220">
        <f t="shared" si="14"/>
        <v>136.76576992</v>
      </c>
      <c r="R67" s="220">
        <f t="shared" si="14"/>
        <v>179.19009430400001</v>
      </c>
      <c r="S67" s="220">
        <f t="shared" si="14"/>
        <v>80.816136770909097</v>
      </c>
      <c r="T67" s="220">
        <f t="shared" si="14"/>
        <v>163.99747552000002</v>
      </c>
      <c r="U67" s="220">
        <f t="shared" si="14"/>
        <v>206.75780112000001</v>
      </c>
      <c r="V67" s="220">
        <f t="shared" si="14"/>
        <v>136.76576992</v>
      </c>
      <c r="W67" s="220">
        <f t="shared" si="14"/>
        <v>163.99747552000002</v>
      </c>
      <c r="X67" s="220">
        <f t="shared" si="14"/>
        <v>206.75780112000001</v>
      </c>
      <c r="Y67" s="220">
        <f t="shared" si="14"/>
        <v>80.816136770909097</v>
      </c>
      <c r="Z67" s="220">
        <f t="shared" si="14"/>
        <v>163.99747552000002</v>
      </c>
      <c r="AA67" s="220">
        <f t="shared" si="14"/>
        <v>206.75780112000001</v>
      </c>
      <c r="AB67" s="220">
        <f t="shared" si="14"/>
        <v>136.76576992</v>
      </c>
      <c r="AC67" s="220">
        <f t="shared" si="14"/>
        <v>163.99747552000002</v>
      </c>
      <c r="AD67" s="220">
        <f t="shared" si="14"/>
        <v>206.75780112000001</v>
      </c>
    </row>
    <row r="68" spans="1:30" ht="14.45" customHeight="1">
      <c r="A68" s="540" t="s">
        <v>175</v>
      </c>
      <c r="B68" s="540"/>
      <c r="C68" s="601">
        <f>SUM(C60:D67)</f>
        <v>0.36800000000000005</v>
      </c>
      <c r="D68" s="602"/>
      <c r="E68" s="223">
        <f>SUM(E60:E67)</f>
        <v>1076.9533040448</v>
      </c>
      <c r="F68" s="223">
        <f t="shared" ref="F68:AD68" si="15">SUM(F60:F67)</f>
        <v>754.94704995840027</v>
      </c>
      <c r="G68" s="223">
        <f t="shared" si="15"/>
        <v>629.12254163200009</v>
      </c>
      <c r="H68" s="223">
        <f t="shared" si="15"/>
        <v>754.38838739200014</v>
      </c>
      <c r="I68" s="223">
        <f t="shared" si="15"/>
        <v>760.86870812159998</v>
      </c>
      <c r="J68" s="223">
        <f t="shared" si="15"/>
        <v>634.05725676799989</v>
      </c>
      <c r="K68" s="223">
        <f t="shared" si="15"/>
        <v>629.12254163200009</v>
      </c>
      <c r="L68" s="223">
        <f t="shared" si="15"/>
        <v>824.27443379840008</v>
      </c>
      <c r="M68" s="223">
        <f t="shared" si="15"/>
        <v>754.94704995840027</v>
      </c>
      <c r="N68" s="223">
        <f t="shared" si="15"/>
        <v>629.12254163200009</v>
      </c>
      <c r="O68" s="223">
        <f t="shared" si="15"/>
        <v>754.38838739200014</v>
      </c>
      <c r="P68" s="223">
        <f t="shared" si="15"/>
        <v>634.05725676799989</v>
      </c>
      <c r="Q68" s="223">
        <f t="shared" si="15"/>
        <v>629.12254163200009</v>
      </c>
      <c r="R68" s="223">
        <f t="shared" si="15"/>
        <v>824.27443379840008</v>
      </c>
      <c r="S68" s="223">
        <f t="shared" si="15"/>
        <v>371.75422914618179</v>
      </c>
      <c r="T68" s="223">
        <f t="shared" si="15"/>
        <v>754.38838739200014</v>
      </c>
      <c r="U68" s="223">
        <f t="shared" si="15"/>
        <v>951.08588515200017</v>
      </c>
      <c r="V68" s="223">
        <f t="shared" si="15"/>
        <v>629.12254163200009</v>
      </c>
      <c r="W68" s="223">
        <f t="shared" si="15"/>
        <v>754.38838739200014</v>
      </c>
      <c r="X68" s="223">
        <f t="shared" si="15"/>
        <v>951.08588515200017</v>
      </c>
      <c r="Y68" s="223">
        <f t="shared" si="15"/>
        <v>371.75422914618179</v>
      </c>
      <c r="Z68" s="223">
        <f t="shared" si="15"/>
        <v>754.38838739200014</v>
      </c>
      <c r="AA68" s="223">
        <f t="shared" si="15"/>
        <v>951.08588515200017</v>
      </c>
      <c r="AB68" s="223">
        <f t="shared" si="15"/>
        <v>629.12254163200009</v>
      </c>
      <c r="AC68" s="223">
        <f t="shared" si="15"/>
        <v>754.38838739200014</v>
      </c>
      <c r="AD68" s="223">
        <f t="shared" si="15"/>
        <v>951.08588515200017</v>
      </c>
    </row>
    <row r="69" spans="1:30" ht="14.45" customHeight="1">
      <c r="A69" s="304"/>
      <c r="B69" s="304"/>
      <c r="C69" s="304"/>
      <c r="D69" s="30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row>
    <row r="70" spans="1:30" ht="14.45" customHeight="1">
      <c r="A70" s="286" t="s">
        <v>187</v>
      </c>
      <c r="B70" s="287"/>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7"/>
      <c r="AA70" s="287"/>
      <c r="AB70" s="287"/>
      <c r="AC70" s="287"/>
      <c r="AD70" s="288"/>
    </row>
    <row r="71" spans="1:30" ht="14.45" customHeight="1">
      <c r="A71" s="289" t="s">
        <v>188</v>
      </c>
      <c r="B71" s="538" t="s">
        <v>189</v>
      </c>
      <c r="C71" s="538"/>
      <c r="D71" s="538"/>
      <c r="E71" s="214" t="s">
        <v>151</v>
      </c>
      <c r="F71" s="214" t="s">
        <v>151</v>
      </c>
      <c r="G71" s="214" t="s">
        <v>151</v>
      </c>
      <c r="H71" s="214" t="s">
        <v>151</v>
      </c>
      <c r="I71" s="214" t="s">
        <v>151</v>
      </c>
      <c r="J71" s="214" t="s">
        <v>151</v>
      </c>
      <c r="K71" s="214" t="s">
        <v>151</v>
      </c>
      <c r="L71" s="214" t="s">
        <v>151</v>
      </c>
      <c r="M71" s="215" t="s">
        <v>151</v>
      </c>
      <c r="N71" s="215" t="s">
        <v>151</v>
      </c>
      <c r="O71" s="215" t="s">
        <v>151</v>
      </c>
      <c r="P71" s="215" t="s">
        <v>151</v>
      </c>
      <c r="Q71" s="215" t="s">
        <v>151</v>
      </c>
      <c r="R71" s="215" t="s">
        <v>151</v>
      </c>
      <c r="S71" s="216" t="s">
        <v>151</v>
      </c>
      <c r="T71" s="216" t="s">
        <v>151</v>
      </c>
      <c r="U71" s="216" t="s">
        <v>151</v>
      </c>
      <c r="V71" s="217" t="s">
        <v>151</v>
      </c>
      <c r="W71" s="217" t="s">
        <v>151</v>
      </c>
      <c r="X71" s="217" t="s">
        <v>151</v>
      </c>
      <c r="Y71" s="218" t="s">
        <v>151</v>
      </c>
      <c r="Z71" s="218" t="s">
        <v>151</v>
      </c>
      <c r="AA71" s="218" t="s">
        <v>151</v>
      </c>
      <c r="AB71" s="219" t="s">
        <v>151</v>
      </c>
      <c r="AC71" s="219" t="s">
        <v>151</v>
      </c>
      <c r="AD71" s="219" t="s">
        <v>151</v>
      </c>
    </row>
    <row r="72" spans="1:30" ht="14.45" customHeight="1">
      <c r="A72" s="253" t="s">
        <v>87</v>
      </c>
      <c r="B72" s="536" t="s">
        <v>694</v>
      </c>
      <c r="C72" s="536"/>
      <c r="D72" s="537"/>
      <c r="E72" s="157">
        <f>($L15*2*22)-(E39*6%)</f>
        <v>108.33140000000002</v>
      </c>
      <c r="F72" s="220">
        <f t="shared" ref="F72:L72" si="16">($L15*2*22)-(F39*6%)</f>
        <v>137.31380000000001</v>
      </c>
      <c r="G72" s="220">
        <f t="shared" si="16"/>
        <v>137.31380000000001</v>
      </c>
      <c r="H72" s="220">
        <f t="shared" si="16"/>
        <v>137.31380000000001</v>
      </c>
      <c r="I72" s="220">
        <f t="shared" si="16"/>
        <v>136.59620000000001</v>
      </c>
      <c r="J72" s="220">
        <f t="shared" si="16"/>
        <v>136.59620000000001</v>
      </c>
      <c r="K72" s="220">
        <f t="shared" si="16"/>
        <v>137.31380000000001</v>
      </c>
      <c r="L72" s="220">
        <f t="shared" si="16"/>
        <v>136.59620000000001</v>
      </c>
      <c r="M72" s="157">
        <f>($M15*2*22)-(M39*6%)</f>
        <v>113.11380000000003</v>
      </c>
      <c r="N72" s="220">
        <f t="shared" ref="N72:R72" si="17">($M15*2*22)-(N39*6%)</f>
        <v>113.11380000000003</v>
      </c>
      <c r="O72" s="220">
        <f t="shared" si="17"/>
        <v>113.11380000000003</v>
      </c>
      <c r="P72" s="220">
        <f t="shared" si="17"/>
        <v>112.39620000000002</v>
      </c>
      <c r="Q72" s="220">
        <f t="shared" si="17"/>
        <v>113.11380000000003</v>
      </c>
      <c r="R72" s="220">
        <f t="shared" si="17"/>
        <v>112.39620000000002</v>
      </c>
      <c r="S72" s="226">
        <v>0</v>
      </c>
      <c r="T72" s="226">
        <v>0</v>
      </c>
      <c r="U72" s="226">
        <v>0</v>
      </c>
      <c r="V72" s="226">
        <v>0</v>
      </c>
      <c r="W72" s="226">
        <v>0</v>
      </c>
      <c r="X72" s="226">
        <v>0</v>
      </c>
      <c r="Y72" s="226">
        <v>0</v>
      </c>
      <c r="Z72" s="226">
        <v>0</v>
      </c>
      <c r="AA72" s="226">
        <v>0</v>
      </c>
      <c r="AB72" s="226">
        <v>0</v>
      </c>
      <c r="AC72" s="226">
        <v>0</v>
      </c>
      <c r="AD72" s="226">
        <v>0</v>
      </c>
    </row>
    <row r="73" spans="1:30" ht="14.45" customHeight="1">
      <c r="A73" s="253" t="s">
        <v>89</v>
      </c>
      <c r="B73" s="536" t="s">
        <v>695</v>
      </c>
      <c r="C73" s="536"/>
      <c r="D73" s="537"/>
      <c r="E73" s="157">
        <f>600*90%</f>
        <v>540</v>
      </c>
      <c r="F73" s="227">
        <f t="shared" ref="F73:F78" si="18">$E73</f>
        <v>540</v>
      </c>
      <c r="G73" s="227">
        <f t="shared" ref="G73:L78" si="19">$E73</f>
        <v>540</v>
      </c>
      <c r="H73" s="227">
        <f t="shared" si="19"/>
        <v>540</v>
      </c>
      <c r="I73" s="227">
        <f t="shared" si="19"/>
        <v>540</v>
      </c>
      <c r="J73" s="227">
        <f t="shared" si="19"/>
        <v>540</v>
      </c>
      <c r="K73" s="227">
        <f t="shared" si="19"/>
        <v>540</v>
      </c>
      <c r="L73" s="227">
        <f>$E73</f>
        <v>540</v>
      </c>
      <c r="M73" s="192">
        <f>600*90%</f>
        <v>540</v>
      </c>
      <c r="N73" s="227">
        <f t="shared" ref="N73:N78" si="20">$M73</f>
        <v>540</v>
      </c>
      <c r="O73" s="227">
        <f t="shared" ref="O73:R78" si="21">$M73</f>
        <v>540</v>
      </c>
      <c r="P73" s="227">
        <f t="shared" si="21"/>
        <v>540</v>
      </c>
      <c r="Q73" s="227">
        <f t="shared" si="21"/>
        <v>540</v>
      </c>
      <c r="R73" s="227">
        <f>$M73</f>
        <v>540</v>
      </c>
      <c r="S73" s="227">
        <f t="shared" ref="S73:S78" si="22">$E73</f>
        <v>540</v>
      </c>
      <c r="T73" s="227">
        <f t="shared" ref="T73:AD78" si="23">$E73</f>
        <v>540</v>
      </c>
      <c r="U73" s="227">
        <f t="shared" si="23"/>
        <v>540</v>
      </c>
      <c r="V73" s="227">
        <f t="shared" si="23"/>
        <v>540</v>
      </c>
      <c r="W73" s="227">
        <f t="shared" si="23"/>
        <v>540</v>
      </c>
      <c r="X73" s="227">
        <f t="shared" si="23"/>
        <v>540</v>
      </c>
      <c r="Y73" s="227">
        <f t="shared" si="23"/>
        <v>540</v>
      </c>
      <c r="Z73" s="227">
        <f t="shared" si="23"/>
        <v>540</v>
      </c>
      <c r="AA73" s="227">
        <f t="shared" si="23"/>
        <v>540</v>
      </c>
      <c r="AB73" s="227">
        <f t="shared" si="23"/>
        <v>540</v>
      </c>
      <c r="AC73" s="227">
        <f t="shared" si="23"/>
        <v>540</v>
      </c>
      <c r="AD73" s="227">
        <f t="shared" si="23"/>
        <v>540</v>
      </c>
    </row>
    <row r="74" spans="1:30" ht="14.45" customHeight="1">
      <c r="A74" s="253" t="s">
        <v>91</v>
      </c>
      <c r="B74" s="536" t="s">
        <v>696</v>
      </c>
      <c r="C74" s="536"/>
      <c r="D74" s="537"/>
      <c r="E74" s="157">
        <v>50</v>
      </c>
      <c r="F74" s="227">
        <f t="shared" si="18"/>
        <v>50</v>
      </c>
      <c r="G74" s="227">
        <f t="shared" si="19"/>
        <v>50</v>
      </c>
      <c r="H74" s="227">
        <f t="shared" si="19"/>
        <v>50</v>
      </c>
      <c r="I74" s="227">
        <f t="shared" si="19"/>
        <v>50</v>
      </c>
      <c r="J74" s="227">
        <f t="shared" si="19"/>
        <v>50</v>
      </c>
      <c r="K74" s="227">
        <f t="shared" si="19"/>
        <v>50</v>
      </c>
      <c r="L74" s="227">
        <f t="shared" si="19"/>
        <v>50</v>
      </c>
      <c r="M74" s="192">
        <v>44</v>
      </c>
      <c r="N74" s="227">
        <f t="shared" si="20"/>
        <v>44</v>
      </c>
      <c r="O74" s="227">
        <f t="shared" si="21"/>
        <v>44</v>
      </c>
      <c r="P74" s="227">
        <f t="shared" si="21"/>
        <v>44</v>
      </c>
      <c r="Q74" s="227">
        <f t="shared" si="21"/>
        <v>44</v>
      </c>
      <c r="R74" s="227">
        <f t="shared" si="21"/>
        <v>44</v>
      </c>
      <c r="S74" s="227">
        <f t="shared" si="22"/>
        <v>50</v>
      </c>
      <c r="T74" s="227">
        <f t="shared" si="23"/>
        <v>50</v>
      </c>
      <c r="U74" s="227">
        <f t="shared" si="23"/>
        <v>50</v>
      </c>
      <c r="V74" s="227">
        <f t="shared" si="23"/>
        <v>50</v>
      </c>
      <c r="W74" s="227">
        <f t="shared" si="23"/>
        <v>50</v>
      </c>
      <c r="X74" s="227">
        <f t="shared" si="23"/>
        <v>50</v>
      </c>
      <c r="Y74" s="227">
        <f t="shared" si="23"/>
        <v>50</v>
      </c>
      <c r="Z74" s="227">
        <f t="shared" si="23"/>
        <v>50</v>
      </c>
      <c r="AA74" s="227">
        <f t="shared" si="23"/>
        <v>50</v>
      </c>
      <c r="AB74" s="227">
        <f t="shared" si="23"/>
        <v>50</v>
      </c>
      <c r="AC74" s="227">
        <f t="shared" si="23"/>
        <v>50</v>
      </c>
      <c r="AD74" s="227">
        <f t="shared" si="23"/>
        <v>50</v>
      </c>
    </row>
    <row r="75" spans="1:30" ht="14.45" customHeight="1">
      <c r="A75" s="253" t="s">
        <v>96</v>
      </c>
      <c r="B75" s="536" t="s">
        <v>699</v>
      </c>
      <c r="C75" s="536"/>
      <c r="D75" s="537"/>
      <c r="E75" s="157">
        <v>25</v>
      </c>
      <c r="F75" s="227">
        <f t="shared" si="18"/>
        <v>25</v>
      </c>
      <c r="G75" s="227">
        <f t="shared" si="19"/>
        <v>25</v>
      </c>
      <c r="H75" s="227">
        <f t="shared" si="19"/>
        <v>25</v>
      </c>
      <c r="I75" s="227">
        <f t="shared" si="19"/>
        <v>25</v>
      </c>
      <c r="J75" s="227">
        <f t="shared" si="19"/>
        <v>25</v>
      </c>
      <c r="K75" s="227">
        <f t="shared" si="19"/>
        <v>25</v>
      </c>
      <c r="L75" s="227">
        <f t="shared" si="19"/>
        <v>25</v>
      </c>
      <c r="M75" s="192">
        <v>22</v>
      </c>
      <c r="N75" s="227">
        <f t="shared" si="20"/>
        <v>22</v>
      </c>
      <c r="O75" s="227">
        <f t="shared" si="21"/>
        <v>22</v>
      </c>
      <c r="P75" s="227">
        <f t="shared" si="21"/>
        <v>22</v>
      </c>
      <c r="Q75" s="227">
        <f t="shared" si="21"/>
        <v>22</v>
      </c>
      <c r="R75" s="227">
        <f t="shared" si="21"/>
        <v>22</v>
      </c>
      <c r="S75" s="227">
        <f t="shared" si="22"/>
        <v>25</v>
      </c>
      <c r="T75" s="227">
        <f t="shared" si="23"/>
        <v>25</v>
      </c>
      <c r="U75" s="227">
        <f t="shared" si="23"/>
        <v>25</v>
      </c>
      <c r="V75" s="227">
        <f t="shared" si="23"/>
        <v>25</v>
      </c>
      <c r="W75" s="227">
        <f t="shared" si="23"/>
        <v>25</v>
      </c>
      <c r="X75" s="227">
        <f t="shared" si="23"/>
        <v>25</v>
      </c>
      <c r="Y75" s="227">
        <f t="shared" si="23"/>
        <v>25</v>
      </c>
      <c r="Z75" s="227">
        <f t="shared" si="23"/>
        <v>25</v>
      </c>
      <c r="AA75" s="227">
        <f t="shared" si="23"/>
        <v>25</v>
      </c>
      <c r="AB75" s="227">
        <f t="shared" si="23"/>
        <v>25</v>
      </c>
      <c r="AC75" s="227">
        <f t="shared" si="23"/>
        <v>25</v>
      </c>
      <c r="AD75" s="227">
        <f t="shared" si="23"/>
        <v>25</v>
      </c>
    </row>
    <row r="76" spans="1:30" ht="14.45" customHeight="1">
      <c r="A76" s="253" t="s">
        <v>156</v>
      </c>
      <c r="B76" s="546" t="s">
        <v>697</v>
      </c>
      <c r="C76" s="547"/>
      <c r="D76" s="548"/>
      <c r="E76" s="157">
        <v>6</v>
      </c>
      <c r="F76" s="227">
        <f t="shared" si="18"/>
        <v>6</v>
      </c>
      <c r="G76" s="227">
        <f t="shared" si="19"/>
        <v>6</v>
      </c>
      <c r="H76" s="227">
        <f t="shared" si="19"/>
        <v>6</v>
      </c>
      <c r="I76" s="227">
        <f t="shared" si="19"/>
        <v>6</v>
      </c>
      <c r="J76" s="227">
        <f t="shared" si="19"/>
        <v>6</v>
      </c>
      <c r="K76" s="227">
        <f t="shared" si="19"/>
        <v>6</v>
      </c>
      <c r="L76" s="227">
        <f t="shared" si="19"/>
        <v>6</v>
      </c>
      <c r="M76" s="192">
        <v>6</v>
      </c>
      <c r="N76" s="227">
        <f t="shared" si="20"/>
        <v>6</v>
      </c>
      <c r="O76" s="227">
        <f t="shared" si="21"/>
        <v>6</v>
      </c>
      <c r="P76" s="227">
        <f t="shared" si="21"/>
        <v>6</v>
      </c>
      <c r="Q76" s="227">
        <f t="shared" si="21"/>
        <v>6</v>
      </c>
      <c r="R76" s="227">
        <f t="shared" si="21"/>
        <v>6</v>
      </c>
      <c r="S76" s="227">
        <f t="shared" si="22"/>
        <v>6</v>
      </c>
      <c r="T76" s="227">
        <f t="shared" si="23"/>
        <v>6</v>
      </c>
      <c r="U76" s="227">
        <f t="shared" si="23"/>
        <v>6</v>
      </c>
      <c r="V76" s="227">
        <f t="shared" si="23"/>
        <v>6</v>
      </c>
      <c r="W76" s="227">
        <f t="shared" si="23"/>
        <v>6</v>
      </c>
      <c r="X76" s="227">
        <f t="shared" si="23"/>
        <v>6</v>
      </c>
      <c r="Y76" s="227">
        <f t="shared" si="23"/>
        <v>6</v>
      </c>
      <c r="Z76" s="227">
        <f t="shared" si="23"/>
        <v>6</v>
      </c>
      <c r="AA76" s="227">
        <f t="shared" si="23"/>
        <v>6</v>
      </c>
      <c r="AB76" s="227">
        <f t="shared" si="23"/>
        <v>6</v>
      </c>
      <c r="AC76" s="227">
        <f t="shared" si="23"/>
        <v>6</v>
      </c>
      <c r="AD76" s="227">
        <f t="shared" si="23"/>
        <v>6</v>
      </c>
    </row>
    <row r="77" spans="1:30" ht="14.45" customHeight="1">
      <c r="A77" s="253" t="s">
        <v>158</v>
      </c>
      <c r="B77" s="546" t="s">
        <v>698</v>
      </c>
      <c r="C77" s="547"/>
      <c r="D77" s="548"/>
      <c r="E77" s="158">
        <v>0</v>
      </c>
      <c r="F77" s="228">
        <f t="shared" si="18"/>
        <v>0</v>
      </c>
      <c r="G77" s="228">
        <f t="shared" si="19"/>
        <v>0</v>
      </c>
      <c r="H77" s="228">
        <f t="shared" si="19"/>
        <v>0</v>
      </c>
      <c r="I77" s="228">
        <f t="shared" si="19"/>
        <v>0</v>
      </c>
      <c r="J77" s="228">
        <f t="shared" si="19"/>
        <v>0</v>
      </c>
      <c r="K77" s="228">
        <f t="shared" si="19"/>
        <v>0</v>
      </c>
      <c r="L77" s="228">
        <f t="shared" si="19"/>
        <v>0</v>
      </c>
      <c r="M77" s="193">
        <v>0</v>
      </c>
      <c r="N77" s="227">
        <f t="shared" si="20"/>
        <v>0</v>
      </c>
      <c r="O77" s="227">
        <f t="shared" si="21"/>
        <v>0</v>
      </c>
      <c r="P77" s="227">
        <f t="shared" si="21"/>
        <v>0</v>
      </c>
      <c r="Q77" s="227">
        <f t="shared" si="21"/>
        <v>0</v>
      </c>
      <c r="R77" s="227">
        <f t="shared" si="21"/>
        <v>0</v>
      </c>
      <c r="S77" s="228">
        <f t="shared" si="22"/>
        <v>0</v>
      </c>
      <c r="T77" s="228">
        <f t="shared" si="23"/>
        <v>0</v>
      </c>
      <c r="U77" s="228">
        <f t="shared" si="23"/>
        <v>0</v>
      </c>
      <c r="V77" s="228">
        <f t="shared" si="23"/>
        <v>0</v>
      </c>
      <c r="W77" s="228">
        <f t="shared" si="23"/>
        <v>0</v>
      </c>
      <c r="X77" s="228">
        <f t="shared" si="23"/>
        <v>0</v>
      </c>
      <c r="Y77" s="228">
        <f t="shared" si="23"/>
        <v>0</v>
      </c>
      <c r="Z77" s="228">
        <f t="shared" si="23"/>
        <v>0</v>
      </c>
      <c r="AA77" s="228">
        <f t="shared" si="23"/>
        <v>0</v>
      </c>
      <c r="AB77" s="228">
        <f t="shared" si="23"/>
        <v>0</v>
      </c>
      <c r="AC77" s="228">
        <f t="shared" si="23"/>
        <v>0</v>
      </c>
      <c r="AD77" s="228">
        <f t="shared" si="23"/>
        <v>0</v>
      </c>
    </row>
    <row r="78" spans="1:30" ht="14.45" customHeight="1">
      <c r="A78" s="253" t="s">
        <v>160</v>
      </c>
      <c r="B78" s="306" t="s">
        <v>713</v>
      </c>
      <c r="C78" s="307"/>
      <c r="D78" s="308"/>
      <c r="E78" s="158">
        <v>0</v>
      </c>
      <c r="F78" s="228">
        <f t="shared" si="18"/>
        <v>0</v>
      </c>
      <c r="G78" s="228">
        <f t="shared" si="19"/>
        <v>0</v>
      </c>
      <c r="H78" s="228">
        <f t="shared" si="19"/>
        <v>0</v>
      </c>
      <c r="I78" s="228">
        <f t="shared" si="19"/>
        <v>0</v>
      </c>
      <c r="J78" s="228">
        <f t="shared" si="19"/>
        <v>0</v>
      </c>
      <c r="K78" s="228">
        <f t="shared" si="19"/>
        <v>0</v>
      </c>
      <c r="L78" s="228">
        <f t="shared" si="19"/>
        <v>0</v>
      </c>
      <c r="M78" s="193">
        <v>0</v>
      </c>
      <c r="N78" s="227">
        <f t="shared" si="20"/>
        <v>0</v>
      </c>
      <c r="O78" s="227">
        <f t="shared" si="21"/>
        <v>0</v>
      </c>
      <c r="P78" s="227">
        <f t="shared" si="21"/>
        <v>0</v>
      </c>
      <c r="Q78" s="227">
        <f t="shared" si="21"/>
        <v>0</v>
      </c>
      <c r="R78" s="227">
        <f t="shared" si="21"/>
        <v>0</v>
      </c>
      <c r="S78" s="228">
        <f t="shared" si="22"/>
        <v>0</v>
      </c>
      <c r="T78" s="228">
        <f t="shared" si="23"/>
        <v>0</v>
      </c>
      <c r="U78" s="228">
        <f t="shared" si="23"/>
        <v>0</v>
      </c>
      <c r="V78" s="228">
        <f t="shared" si="23"/>
        <v>0</v>
      </c>
      <c r="W78" s="228">
        <f t="shared" si="23"/>
        <v>0</v>
      </c>
      <c r="X78" s="228">
        <f t="shared" si="23"/>
        <v>0</v>
      </c>
      <c r="Y78" s="228">
        <f t="shared" si="23"/>
        <v>0</v>
      </c>
      <c r="Z78" s="228">
        <f t="shared" si="23"/>
        <v>0</v>
      </c>
      <c r="AA78" s="228">
        <f t="shared" si="23"/>
        <v>0</v>
      </c>
      <c r="AB78" s="228">
        <f t="shared" si="23"/>
        <v>0</v>
      </c>
      <c r="AC78" s="228">
        <f t="shared" si="23"/>
        <v>0</v>
      </c>
      <c r="AD78" s="228">
        <f t="shared" si="23"/>
        <v>0</v>
      </c>
    </row>
    <row r="79" spans="1:30" ht="14.45" customHeight="1">
      <c r="A79" s="540" t="s">
        <v>175</v>
      </c>
      <c r="B79" s="540"/>
      <c r="C79" s="540"/>
      <c r="D79" s="540"/>
      <c r="E79" s="223">
        <f>SUM(E72:E78)</f>
        <v>729.33140000000003</v>
      </c>
      <c r="F79" s="223">
        <f t="shared" ref="F79:AD79" si="24">SUM(F72:F78)</f>
        <v>758.31380000000001</v>
      </c>
      <c r="G79" s="223">
        <f t="shared" si="24"/>
        <v>758.31380000000001</v>
      </c>
      <c r="H79" s="223">
        <f t="shared" si="24"/>
        <v>758.31380000000001</v>
      </c>
      <c r="I79" s="223">
        <f t="shared" si="24"/>
        <v>757.59619999999995</v>
      </c>
      <c r="J79" s="223">
        <f t="shared" si="24"/>
        <v>757.59619999999995</v>
      </c>
      <c r="K79" s="223">
        <f t="shared" si="24"/>
        <v>758.31380000000001</v>
      </c>
      <c r="L79" s="223">
        <f t="shared" si="24"/>
        <v>757.59619999999995</v>
      </c>
      <c r="M79" s="223">
        <f t="shared" si="24"/>
        <v>725.11380000000008</v>
      </c>
      <c r="N79" s="223">
        <f t="shared" si="24"/>
        <v>725.11380000000008</v>
      </c>
      <c r="O79" s="223">
        <f t="shared" si="24"/>
        <v>725.11380000000008</v>
      </c>
      <c r="P79" s="223">
        <f t="shared" si="24"/>
        <v>724.39620000000002</v>
      </c>
      <c r="Q79" s="223">
        <f t="shared" si="24"/>
        <v>725.11380000000008</v>
      </c>
      <c r="R79" s="223">
        <f t="shared" si="24"/>
        <v>724.39620000000002</v>
      </c>
      <c r="S79" s="223">
        <f t="shared" si="24"/>
        <v>621</v>
      </c>
      <c r="T79" s="223">
        <f t="shared" si="24"/>
        <v>621</v>
      </c>
      <c r="U79" s="223">
        <f t="shared" si="24"/>
        <v>621</v>
      </c>
      <c r="V79" s="223">
        <f t="shared" si="24"/>
        <v>621</v>
      </c>
      <c r="W79" s="223">
        <f t="shared" si="24"/>
        <v>621</v>
      </c>
      <c r="X79" s="223">
        <f t="shared" si="24"/>
        <v>621</v>
      </c>
      <c r="Y79" s="223">
        <f t="shared" si="24"/>
        <v>621</v>
      </c>
      <c r="Z79" s="223">
        <f t="shared" si="24"/>
        <v>621</v>
      </c>
      <c r="AA79" s="223">
        <f t="shared" si="24"/>
        <v>621</v>
      </c>
      <c r="AB79" s="223">
        <f t="shared" si="24"/>
        <v>621</v>
      </c>
      <c r="AC79" s="223">
        <f t="shared" si="24"/>
        <v>621</v>
      </c>
      <c r="AD79" s="223">
        <f t="shared" si="24"/>
        <v>621</v>
      </c>
    </row>
    <row r="80" spans="1:30" ht="14.45" customHeight="1">
      <c r="A80" s="250"/>
      <c r="B80" s="250"/>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row>
    <row r="81" spans="1:32" ht="14.45" customHeight="1">
      <c r="A81" s="295" t="s">
        <v>190</v>
      </c>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7"/>
    </row>
    <row r="82" spans="1:32" ht="14.45" customHeight="1">
      <c r="A82" s="289">
        <v>2</v>
      </c>
      <c r="B82" s="538" t="s">
        <v>191</v>
      </c>
      <c r="C82" s="538"/>
      <c r="D82" s="538"/>
      <c r="E82" s="214" t="s">
        <v>151</v>
      </c>
      <c r="F82" s="214" t="s">
        <v>151</v>
      </c>
      <c r="G82" s="214" t="s">
        <v>151</v>
      </c>
      <c r="H82" s="214" t="s">
        <v>151</v>
      </c>
      <c r="I82" s="214" t="s">
        <v>151</v>
      </c>
      <c r="J82" s="214" t="s">
        <v>151</v>
      </c>
      <c r="K82" s="214" t="s">
        <v>151</v>
      </c>
      <c r="L82" s="214" t="s">
        <v>151</v>
      </c>
      <c r="M82" s="215" t="s">
        <v>151</v>
      </c>
      <c r="N82" s="215" t="s">
        <v>151</v>
      </c>
      <c r="O82" s="215" t="s">
        <v>151</v>
      </c>
      <c r="P82" s="215" t="s">
        <v>151</v>
      </c>
      <c r="Q82" s="215" t="s">
        <v>151</v>
      </c>
      <c r="R82" s="215" t="s">
        <v>151</v>
      </c>
      <c r="S82" s="216" t="s">
        <v>151</v>
      </c>
      <c r="T82" s="216" t="s">
        <v>151</v>
      </c>
      <c r="U82" s="216" t="s">
        <v>151</v>
      </c>
      <c r="V82" s="217" t="s">
        <v>151</v>
      </c>
      <c r="W82" s="217" t="s">
        <v>151</v>
      </c>
      <c r="X82" s="217" t="s">
        <v>151</v>
      </c>
      <c r="Y82" s="218" t="s">
        <v>151</v>
      </c>
      <c r="Z82" s="218" t="s">
        <v>151</v>
      </c>
      <c r="AA82" s="218" t="s">
        <v>151</v>
      </c>
      <c r="AB82" s="219" t="s">
        <v>151</v>
      </c>
      <c r="AC82" s="219" t="s">
        <v>151</v>
      </c>
      <c r="AD82" s="219" t="s">
        <v>151</v>
      </c>
    </row>
    <row r="83" spans="1:32" ht="14.45" customHeight="1">
      <c r="A83" s="253" t="s">
        <v>171</v>
      </c>
      <c r="B83" s="536" t="s">
        <v>192</v>
      </c>
      <c r="C83" s="536"/>
      <c r="D83" s="537"/>
      <c r="E83" s="220">
        <f>E56</f>
        <v>316.35054359999998</v>
      </c>
      <c r="F83" s="220">
        <f t="shared" ref="F83:AD83" si="25">F56</f>
        <v>221.76254879999999</v>
      </c>
      <c r="G83" s="220">
        <f t="shared" si="25"/>
        <v>184.80212399999999</v>
      </c>
      <c r="H83" s="220">
        <f t="shared" si="25"/>
        <v>221.59844399999997</v>
      </c>
      <c r="I83" s="220">
        <f t="shared" si="25"/>
        <v>223.5020112</v>
      </c>
      <c r="J83" s="220">
        <f t="shared" si="25"/>
        <v>186.25167599999997</v>
      </c>
      <c r="K83" s="220">
        <f t="shared" si="25"/>
        <v>184.80212399999999</v>
      </c>
      <c r="L83" s="220">
        <f t="shared" si="25"/>
        <v>242.1271788</v>
      </c>
      <c r="M83" s="220">
        <f t="shared" si="25"/>
        <v>221.76254879999999</v>
      </c>
      <c r="N83" s="220">
        <f t="shared" si="25"/>
        <v>184.80212399999999</v>
      </c>
      <c r="O83" s="220">
        <f t="shared" si="25"/>
        <v>221.59844399999997</v>
      </c>
      <c r="P83" s="220">
        <f t="shared" si="25"/>
        <v>186.25167599999997</v>
      </c>
      <c r="Q83" s="220">
        <f t="shared" si="25"/>
        <v>184.80212399999999</v>
      </c>
      <c r="R83" s="220">
        <f t="shared" si="25"/>
        <v>242.1271788</v>
      </c>
      <c r="S83" s="220">
        <f t="shared" si="25"/>
        <v>109.20125509090909</v>
      </c>
      <c r="T83" s="220">
        <f t="shared" si="25"/>
        <v>221.59844399999997</v>
      </c>
      <c r="U83" s="220">
        <f t="shared" si="25"/>
        <v>279.37751400000002</v>
      </c>
      <c r="V83" s="220">
        <f t="shared" si="25"/>
        <v>184.80212399999999</v>
      </c>
      <c r="W83" s="220">
        <f t="shared" si="25"/>
        <v>221.59844399999997</v>
      </c>
      <c r="X83" s="220">
        <f t="shared" si="25"/>
        <v>279.37751400000002</v>
      </c>
      <c r="Y83" s="220">
        <f t="shared" si="25"/>
        <v>109.20125509090909</v>
      </c>
      <c r="Z83" s="220">
        <f t="shared" si="25"/>
        <v>221.59844399999997</v>
      </c>
      <c r="AA83" s="220">
        <f t="shared" si="25"/>
        <v>279.37751400000002</v>
      </c>
      <c r="AB83" s="220">
        <f t="shared" si="25"/>
        <v>184.80212399999999</v>
      </c>
      <c r="AC83" s="220">
        <f t="shared" si="25"/>
        <v>221.59844399999997</v>
      </c>
      <c r="AD83" s="220">
        <f t="shared" si="25"/>
        <v>279.37751400000002</v>
      </c>
    </row>
    <row r="84" spans="1:32" ht="14.45" customHeight="1">
      <c r="A84" s="253" t="s">
        <v>177</v>
      </c>
      <c r="B84" s="536" t="s">
        <v>178</v>
      </c>
      <c r="C84" s="536"/>
      <c r="D84" s="537"/>
      <c r="E84" s="220">
        <f>E68</f>
        <v>1076.9533040448</v>
      </c>
      <c r="F84" s="220">
        <f t="shared" ref="F84:AD84" si="26">F68</f>
        <v>754.94704995840027</v>
      </c>
      <c r="G84" s="220">
        <f t="shared" si="26"/>
        <v>629.12254163200009</v>
      </c>
      <c r="H84" s="220">
        <f t="shared" si="26"/>
        <v>754.38838739200014</v>
      </c>
      <c r="I84" s="220">
        <f t="shared" si="26"/>
        <v>760.86870812159998</v>
      </c>
      <c r="J84" s="220">
        <f t="shared" si="26"/>
        <v>634.05725676799989</v>
      </c>
      <c r="K84" s="220">
        <f t="shared" si="26"/>
        <v>629.12254163200009</v>
      </c>
      <c r="L84" s="220">
        <f t="shared" si="26"/>
        <v>824.27443379840008</v>
      </c>
      <c r="M84" s="220">
        <f t="shared" si="26"/>
        <v>754.94704995840027</v>
      </c>
      <c r="N84" s="220">
        <f t="shared" si="26"/>
        <v>629.12254163200009</v>
      </c>
      <c r="O84" s="220">
        <f t="shared" si="26"/>
        <v>754.38838739200014</v>
      </c>
      <c r="P84" s="220">
        <f t="shared" si="26"/>
        <v>634.05725676799989</v>
      </c>
      <c r="Q84" s="220">
        <f t="shared" si="26"/>
        <v>629.12254163200009</v>
      </c>
      <c r="R84" s="220">
        <f t="shared" si="26"/>
        <v>824.27443379840008</v>
      </c>
      <c r="S84" s="220">
        <f t="shared" si="26"/>
        <v>371.75422914618179</v>
      </c>
      <c r="T84" s="220">
        <f t="shared" si="26"/>
        <v>754.38838739200014</v>
      </c>
      <c r="U84" s="220">
        <f t="shared" si="26"/>
        <v>951.08588515200017</v>
      </c>
      <c r="V84" s="220">
        <f t="shared" si="26"/>
        <v>629.12254163200009</v>
      </c>
      <c r="W84" s="220">
        <f t="shared" si="26"/>
        <v>754.38838739200014</v>
      </c>
      <c r="X84" s="220">
        <f t="shared" si="26"/>
        <v>951.08588515200017</v>
      </c>
      <c r="Y84" s="220">
        <f t="shared" si="26"/>
        <v>371.75422914618179</v>
      </c>
      <c r="Z84" s="220">
        <f t="shared" si="26"/>
        <v>754.38838739200014</v>
      </c>
      <c r="AA84" s="220">
        <f t="shared" si="26"/>
        <v>951.08588515200017</v>
      </c>
      <c r="AB84" s="220">
        <f t="shared" si="26"/>
        <v>629.12254163200009</v>
      </c>
      <c r="AC84" s="220">
        <f t="shared" si="26"/>
        <v>754.38838739200014</v>
      </c>
      <c r="AD84" s="220">
        <f t="shared" si="26"/>
        <v>951.08588515200017</v>
      </c>
    </row>
    <row r="85" spans="1:32" ht="14.45" customHeight="1">
      <c r="A85" s="253" t="s">
        <v>188</v>
      </c>
      <c r="B85" s="536" t="s">
        <v>193</v>
      </c>
      <c r="C85" s="536"/>
      <c r="D85" s="537"/>
      <c r="E85" s="220">
        <f>E79</f>
        <v>729.33140000000003</v>
      </c>
      <c r="F85" s="220">
        <f t="shared" ref="F85:AD85" si="27">F79</f>
        <v>758.31380000000001</v>
      </c>
      <c r="G85" s="220">
        <f t="shared" si="27"/>
        <v>758.31380000000001</v>
      </c>
      <c r="H85" s="220">
        <f t="shared" si="27"/>
        <v>758.31380000000001</v>
      </c>
      <c r="I85" s="220">
        <f t="shared" si="27"/>
        <v>757.59619999999995</v>
      </c>
      <c r="J85" s="220">
        <f t="shared" si="27"/>
        <v>757.59619999999995</v>
      </c>
      <c r="K85" s="220">
        <f t="shared" si="27"/>
        <v>758.31380000000001</v>
      </c>
      <c r="L85" s="220">
        <f t="shared" si="27"/>
        <v>757.59619999999995</v>
      </c>
      <c r="M85" s="220">
        <f t="shared" si="27"/>
        <v>725.11380000000008</v>
      </c>
      <c r="N85" s="220">
        <f t="shared" si="27"/>
        <v>725.11380000000008</v>
      </c>
      <c r="O85" s="220">
        <f t="shared" si="27"/>
        <v>725.11380000000008</v>
      </c>
      <c r="P85" s="220">
        <f t="shared" si="27"/>
        <v>724.39620000000002</v>
      </c>
      <c r="Q85" s="220">
        <f t="shared" si="27"/>
        <v>725.11380000000008</v>
      </c>
      <c r="R85" s="220">
        <f t="shared" si="27"/>
        <v>724.39620000000002</v>
      </c>
      <c r="S85" s="220">
        <f t="shared" si="27"/>
        <v>621</v>
      </c>
      <c r="T85" s="220">
        <f t="shared" si="27"/>
        <v>621</v>
      </c>
      <c r="U85" s="220">
        <f t="shared" si="27"/>
        <v>621</v>
      </c>
      <c r="V85" s="220">
        <f t="shared" si="27"/>
        <v>621</v>
      </c>
      <c r="W85" s="220">
        <f t="shared" si="27"/>
        <v>621</v>
      </c>
      <c r="X85" s="220">
        <f t="shared" si="27"/>
        <v>621</v>
      </c>
      <c r="Y85" s="220">
        <f t="shared" si="27"/>
        <v>621</v>
      </c>
      <c r="Z85" s="220">
        <f t="shared" si="27"/>
        <v>621</v>
      </c>
      <c r="AA85" s="220">
        <f t="shared" si="27"/>
        <v>621</v>
      </c>
      <c r="AB85" s="220">
        <f t="shared" si="27"/>
        <v>621</v>
      </c>
      <c r="AC85" s="220">
        <f t="shared" si="27"/>
        <v>621</v>
      </c>
      <c r="AD85" s="220">
        <f t="shared" si="27"/>
        <v>621</v>
      </c>
    </row>
    <row r="86" spans="1:32" ht="14.45" customHeight="1">
      <c r="A86" s="540" t="s">
        <v>175</v>
      </c>
      <c r="B86" s="540"/>
      <c r="C86" s="540"/>
      <c r="D86" s="540"/>
      <c r="E86" s="223">
        <f>SUM(E83:E85)</f>
        <v>2122.6352476448001</v>
      </c>
      <c r="F86" s="223">
        <f t="shared" ref="F86:AD86" si="28">SUM(F83:F85)</f>
        <v>1735.0233987584002</v>
      </c>
      <c r="G86" s="223">
        <f t="shared" si="28"/>
        <v>1572.238465632</v>
      </c>
      <c r="H86" s="223">
        <f t="shared" si="28"/>
        <v>1734.300631392</v>
      </c>
      <c r="I86" s="223">
        <f t="shared" si="28"/>
        <v>1741.9669193216</v>
      </c>
      <c r="J86" s="223">
        <f t="shared" si="28"/>
        <v>1577.9051327679999</v>
      </c>
      <c r="K86" s="223">
        <f t="shared" si="28"/>
        <v>1572.238465632</v>
      </c>
      <c r="L86" s="223">
        <f t="shared" si="28"/>
        <v>1823.9978125984001</v>
      </c>
      <c r="M86" s="223">
        <f t="shared" si="28"/>
        <v>1701.8233987584003</v>
      </c>
      <c r="N86" s="223">
        <f t="shared" si="28"/>
        <v>1539.0384656320002</v>
      </c>
      <c r="O86" s="223">
        <f t="shared" si="28"/>
        <v>1701.1006313920002</v>
      </c>
      <c r="P86" s="223">
        <f t="shared" si="28"/>
        <v>1544.7051327679999</v>
      </c>
      <c r="Q86" s="223">
        <f t="shared" si="28"/>
        <v>1539.0384656320002</v>
      </c>
      <c r="R86" s="223">
        <f t="shared" si="28"/>
        <v>1790.7978125984</v>
      </c>
      <c r="S86" s="223">
        <f t="shared" si="28"/>
        <v>1101.9554842370908</v>
      </c>
      <c r="T86" s="223">
        <f t="shared" si="28"/>
        <v>1596.9868313920001</v>
      </c>
      <c r="U86" s="223">
        <f t="shared" si="28"/>
        <v>1851.4633991520002</v>
      </c>
      <c r="V86" s="223">
        <f t="shared" si="28"/>
        <v>1434.9246656320001</v>
      </c>
      <c r="W86" s="223">
        <f t="shared" si="28"/>
        <v>1596.9868313920001</v>
      </c>
      <c r="X86" s="223">
        <f t="shared" si="28"/>
        <v>1851.4633991520002</v>
      </c>
      <c r="Y86" s="223">
        <f t="shared" si="28"/>
        <v>1101.9554842370908</v>
      </c>
      <c r="Z86" s="223">
        <f t="shared" si="28"/>
        <v>1596.9868313920001</v>
      </c>
      <c r="AA86" s="223">
        <f t="shared" si="28"/>
        <v>1851.4633991520002</v>
      </c>
      <c r="AB86" s="223">
        <f t="shared" si="28"/>
        <v>1434.9246656320001</v>
      </c>
      <c r="AC86" s="223">
        <f t="shared" si="28"/>
        <v>1596.9868313920001</v>
      </c>
      <c r="AD86" s="223">
        <f t="shared" si="28"/>
        <v>1851.4633991520002</v>
      </c>
    </row>
    <row r="87" spans="1:32" ht="14.45" customHeight="1">
      <c r="A87" s="250"/>
      <c r="B87" s="250"/>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row>
    <row r="88" spans="1:32" ht="14.45" customHeight="1">
      <c r="A88" s="295" t="s">
        <v>194</v>
      </c>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7"/>
    </row>
    <row r="89" spans="1:32" ht="14.45" customHeight="1">
      <c r="A89" s="289">
        <v>3</v>
      </c>
      <c r="B89" s="290" t="s">
        <v>195</v>
      </c>
      <c r="C89" s="574" t="s">
        <v>150</v>
      </c>
      <c r="D89" s="575"/>
      <c r="E89" s="214" t="s">
        <v>151</v>
      </c>
      <c r="F89" s="214" t="s">
        <v>151</v>
      </c>
      <c r="G89" s="214" t="s">
        <v>151</v>
      </c>
      <c r="H89" s="214" t="s">
        <v>151</v>
      </c>
      <c r="I89" s="214" t="s">
        <v>151</v>
      </c>
      <c r="J89" s="214" t="s">
        <v>151</v>
      </c>
      <c r="K89" s="214" t="s">
        <v>151</v>
      </c>
      <c r="L89" s="214" t="s">
        <v>151</v>
      </c>
      <c r="M89" s="215" t="s">
        <v>151</v>
      </c>
      <c r="N89" s="215" t="s">
        <v>151</v>
      </c>
      <c r="O89" s="215" t="s">
        <v>151</v>
      </c>
      <c r="P89" s="215" t="s">
        <v>151</v>
      </c>
      <c r="Q89" s="215" t="s">
        <v>151</v>
      </c>
      <c r="R89" s="215" t="s">
        <v>151</v>
      </c>
      <c r="S89" s="216" t="s">
        <v>151</v>
      </c>
      <c r="T89" s="216" t="s">
        <v>151</v>
      </c>
      <c r="U89" s="216" t="s">
        <v>151</v>
      </c>
      <c r="V89" s="217" t="s">
        <v>151</v>
      </c>
      <c r="W89" s="217" t="s">
        <v>151</v>
      </c>
      <c r="X89" s="217" t="s">
        <v>151</v>
      </c>
      <c r="Y89" s="218" t="s">
        <v>151</v>
      </c>
      <c r="Z89" s="218" t="s">
        <v>151</v>
      </c>
      <c r="AA89" s="218" t="s">
        <v>151</v>
      </c>
      <c r="AB89" s="219" t="s">
        <v>151</v>
      </c>
      <c r="AC89" s="219" t="s">
        <v>151</v>
      </c>
      <c r="AD89" s="219" t="s">
        <v>151</v>
      </c>
    </row>
    <row r="90" spans="1:32" ht="14.45" customHeight="1">
      <c r="A90" s="253" t="s">
        <v>87</v>
      </c>
      <c r="B90" s="254" t="s">
        <v>196</v>
      </c>
      <c r="C90" s="609">
        <f>(1/(12)*0.05)</f>
        <v>4.1666666666666666E-3</v>
      </c>
      <c r="D90" s="610"/>
      <c r="E90" s="220">
        <f t="shared" ref="E90:AD90" si="29">$C90*E49</f>
        <v>10.8756375</v>
      </c>
      <c r="F90" s="220">
        <f t="shared" si="29"/>
        <v>7.62385</v>
      </c>
      <c r="G90" s="220">
        <f t="shared" si="29"/>
        <v>6.3532083333333329</v>
      </c>
      <c r="H90" s="220">
        <f t="shared" si="29"/>
        <v>7.6182083333333326</v>
      </c>
      <c r="I90" s="220">
        <f t="shared" si="29"/>
        <v>7.6836500000000001</v>
      </c>
      <c r="J90" s="220">
        <f t="shared" si="29"/>
        <v>6.4030416666666667</v>
      </c>
      <c r="K90" s="220">
        <f t="shared" si="29"/>
        <v>6.3532083333333329</v>
      </c>
      <c r="L90" s="220">
        <f t="shared" si="29"/>
        <v>8.3239541666666668</v>
      </c>
      <c r="M90" s="220">
        <f t="shared" si="29"/>
        <v>7.62385</v>
      </c>
      <c r="N90" s="220">
        <f t="shared" si="29"/>
        <v>6.3532083333333329</v>
      </c>
      <c r="O90" s="220">
        <f t="shared" si="29"/>
        <v>7.6182083333333326</v>
      </c>
      <c r="P90" s="220">
        <f t="shared" si="29"/>
        <v>6.4030416666666667</v>
      </c>
      <c r="Q90" s="220">
        <f t="shared" si="29"/>
        <v>6.3532083333333329</v>
      </c>
      <c r="R90" s="220">
        <f t="shared" si="29"/>
        <v>8.3239541666666668</v>
      </c>
      <c r="S90" s="220">
        <f t="shared" si="29"/>
        <v>3.7541685606060606</v>
      </c>
      <c r="T90" s="220">
        <f t="shared" si="29"/>
        <v>7.6182083333333326</v>
      </c>
      <c r="U90" s="220">
        <f t="shared" si="29"/>
        <v>9.6045625000000001</v>
      </c>
      <c r="V90" s="220">
        <f t="shared" si="29"/>
        <v>6.3532083333333329</v>
      </c>
      <c r="W90" s="220">
        <f t="shared" si="29"/>
        <v>7.6182083333333326</v>
      </c>
      <c r="X90" s="220">
        <f t="shared" si="29"/>
        <v>9.6045625000000001</v>
      </c>
      <c r="Y90" s="220">
        <f t="shared" si="29"/>
        <v>3.7541685606060606</v>
      </c>
      <c r="Z90" s="220">
        <f t="shared" si="29"/>
        <v>7.6182083333333326</v>
      </c>
      <c r="AA90" s="220">
        <f t="shared" si="29"/>
        <v>9.6045625000000001</v>
      </c>
      <c r="AB90" s="220">
        <f t="shared" si="29"/>
        <v>6.3532083333333329</v>
      </c>
      <c r="AC90" s="220">
        <f t="shared" si="29"/>
        <v>7.6182083333333326</v>
      </c>
      <c r="AD90" s="220">
        <f t="shared" si="29"/>
        <v>9.6045625000000001</v>
      </c>
      <c r="AF90" s="229"/>
    </row>
    <row r="91" spans="1:32" ht="14.45" customHeight="1">
      <c r="A91" s="253" t="s">
        <v>89</v>
      </c>
      <c r="B91" s="254" t="s">
        <v>197</v>
      </c>
      <c r="C91" s="611">
        <f>C90*0.08</f>
        <v>3.3333333333333332E-4</v>
      </c>
      <c r="D91" s="612"/>
      <c r="E91" s="220">
        <f t="shared" ref="E91:AD91" si="30">$C91*E49</f>
        <v>0.87005099999999991</v>
      </c>
      <c r="F91" s="220">
        <f t="shared" si="30"/>
        <v>0.60990800000000001</v>
      </c>
      <c r="G91" s="220">
        <f t="shared" si="30"/>
        <v>0.50825666666666669</v>
      </c>
      <c r="H91" s="220">
        <f t="shared" si="30"/>
        <v>0.60945666666666665</v>
      </c>
      <c r="I91" s="220">
        <f t="shared" si="30"/>
        <v>0.61469200000000002</v>
      </c>
      <c r="J91" s="220">
        <f t="shared" si="30"/>
        <v>0.51224333333333327</v>
      </c>
      <c r="K91" s="220">
        <f t="shared" si="30"/>
        <v>0.50825666666666669</v>
      </c>
      <c r="L91" s="220">
        <f t="shared" si="30"/>
        <v>0.66591633333333333</v>
      </c>
      <c r="M91" s="220">
        <f t="shared" si="30"/>
        <v>0.60990800000000001</v>
      </c>
      <c r="N91" s="220">
        <f t="shared" si="30"/>
        <v>0.50825666666666669</v>
      </c>
      <c r="O91" s="220">
        <f t="shared" si="30"/>
        <v>0.60945666666666665</v>
      </c>
      <c r="P91" s="220">
        <f t="shared" si="30"/>
        <v>0.51224333333333327</v>
      </c>
      <c r="Q91" s="220">
        <f t="shared" si="30"/>
        <v>0.50825666666666669</v>
      </c>
      <c r="R91" s="220">
        <f t="shared" si="30"/>
        <v>0.66591633333333333</v>
      </c>
      <c r="S91" s="220">
        <f t="shared" si="30"/>
        <v>0.30033348484848482</v>
      </c>
      <c r="T91" s="220">
        <f t="shared" si="30"/>
        <v>0.60945666666666665</v>
      </c>
      <c r="U91" s="220">
        <f t="shared" si="30"/>
        <v>0.76836500000000008</v>
      </c>
      <c r="V91" s="220">
        <f t="shared" si="30"/>
        <v>0.50825666666666669</v>
      </c>
      <c r="W91" s="220">
        <f t="shared" si="30"/>
        <v>0.60945666666666665</v>
      </c>
      <c r="X91" s="220">
        <f t="shared" si="30"/>
        <v>0.76836500000000008</v>
      </c>
      <c r="Y91" s="220">
        <f t="shared" si="30"/>
        <v>0.30033348484848482</v>
      </c>
      <c r="Z91" s="220">
        <f t="shared" si="30"/>
        <v>0.60945666666666665</v>
      </c>
      <c r="AA91" s="220">
        <f t="shared" si="30"/>
        <v>0.76836500000000008</v>
      </c>
      <c r="AB91" s="220">
        <f t="shared" si="30"/>
        <v>0.50825666666666669</v>
      </c>
      <c r="AC91" s="220">
        <f t="shared" si="30"/>
        <v>0.60945666666666665</v>
      </c>
      <c r="AD91" s="220">
        <f t="shared" si="30"/>
        <v>0.76836500000000008</v>
      </c>
      <c r="AF91" s="229"/>
    </row>
    <row r="92" spans="1:32" ht="12.75" customHeight="1">
      <c r="A92" s="253" t="s">
        <v>91</v>
      </c>
      <c r="B92" s="254" t="s">
        <v>198</v>
      </c>
      <c r="C92" s="603">
        <f>(((1+(2/12)+((1/3)*(1/12)))))*0.08*0.4*0.95</f>
        <v>3.6311111111111113E-2</v>
      </c>
      <c r="D92" s="604"/>
      <c r="E92" s="220">
        <f t="shared" ref="E92:AD92" si="31">$C92*E49</f>
        <v>94.777555599999999</v>
      </c>
      <c r="F92" s="220">
        <f t="shared" si="31"/>
        <v>66.439311466666666</v>
      </c>
      <c r="G92" s="220">
        <f t="shared" si="31"/>
        <v>55.366092888888893</v>
      </c>
      <c r="H92" s="220">
        <f t="shared" si="31"/>
        <v>66.390146222222228</v>
      </c>
      <c r="I92" s="220">
        <f t="shared" si="31"/>
        <v>66.960448533333334</v>
      </c>
      <c r="J92" s="220">
        <f t="shared" si="31"/>
        <v>55.800373777777779</v>
      </c>
      <c r="K92" s="220">
        <f t="shared" si="31"/>
        <v>55.366092888888893</v>
      </c>
      <c r="L92" s="220">
        <f t="shared" si="31"/>
        <v>72.540485911111119</v>
      </c>
      <c r="M92" s="220">
        <f t="shared" si="31"/>
        <v>66.439311466666666</v>
      </c>
      <c r="N92" s="220">
        <f t="shared" si="31"/>
        <v>55.366092888888893</v>
      </c>
      <c r="O92" s="220">
        <f t="shared" si="31"/>
        <v>66.390146222222228</v>
      </c>
      <c r="P92" s="220">
        <f t="shared" si="31"/>
        <v>55.800373777777779</v>
      </c>
      <c r="Q92" s="220">
        <f t="shared" si="31"/>
        <v>55.366092888888893</v>
      </c>
      <c r="R92" s="220">
        <f t="shared" si="31"/>
        <v>72.540485911111119</v>
      </c>
      <c r="S92" s="220">
        <f t="shared" si="31"/>
        <v>32.716327616161621</v>
      </c>
      <c r="T92" s="220">
        <f t="shared" si="31"/>
        <v>66.390146222222228</v>
      </c>
      <c r="U92" s="220">
        <f t="shared" si="31"/>
        <v>83.700560666666675</v>
      </c>
      <c r="V92" s="220">
        <f t="shared" si="31"/>
        <v>55.366092888888893</v>
      </c>
      <c r="W92" s="220">
        <f t="shared" si="31"/>
        <v>66.390146222222228</v>
      </c>
      <c r="X92" s="220">
        <f t="shared" si="31"/>
        <v>83.700560666666675</v>
      </c>
      <c r="Y92" s="220">
        <f t="shared" si="31"/>
        <v>32.716327616161621</v>
      </c>
      <c r="Z92" s="220">
        <f t="shared" si="31"/>
        <v>66.390146222222228</v>
      </c>
      <c r="AA92" s="220">
        <f t="shared" si="31"/>
        <v>83.700560666666675</v>
      </c>
      <c r="AB92" s="220">
        <f t="shared" si="31"/>
        <v>55.366092888888893</v>
      </c>
      <c r="AC92" s="220">
        <f t="shared" si="31"/>
        <v>66.390146222222228</v>
      </c>
      <c r="AD92" s="220">
        <f t="shared" si="31"/>
        <v>83.700560666666675</v>
      </c>
      <c r="AF92" s="230"/>
    </row>
    <row r="93" spans="1:32" ht="14.45" customHeight="1">
      <c r="A93" s="253" t="s">
        <v>96</v>
      </c>
      <c r="B93" s="254" t="s">
        <v>199</v>
      </c>
      <c r="C93" s="603">
        <f>((7/30)/12)</f>
        <v>1.9444444444444445E-2</v>
      </c>
      <c r="D93" s="604"/>
      <c r="E93" s="220">
        <f t="shared" ref="E93:AD93" si="32">E49*$C93</f>
        <v>50.752974999999999</v>
      </c>
      <c r="F93" s="220">
        <f t="shared" si="32"/>
        <v>35.577966666666669</v>
      </c>
      <c r="G93" s="220">
        <f t="shared" si="32"/>
        <v>29.648305555555556</v>
      </c>
      <c r="H93" s="220">
        <f t="shared" si="32"/>
        <v>35.551638888888888</v>
      </c>
      <c r="I93" s="220">
        <f t="shared" si="32"/>
        <v>35.857033333333334</v>
      </c>
      <c r="J93" s="220">
        <f t="shared" si="32"/>
        <v>29.880861111111113</v>
      </c>
      <c r="K93" s="220">
        <f t="shared" si="32"/>
        <v>29.648305555555556</v>
      </c>
      <c r="L93" s="220">
        <f t="shared" si="32"/>
        <v>38.845119444444443</v>
      </c>
      <c r="M93" s="220">
        <f t="shared" si="32"/>
        <v>35.577966666666669</v>
      </c>
      <c r="N93" s="220">
        <f t="shared" si="32"/>
        <v>29.648305555555556</v>
      </c>
      <c r="O93" s="220">
        <f t="shared" si="32"/>
        <v>35.551638888888888</v>
      </c>
      <c r="P93" s="220">
        <f t="shared" si="32"/>
        <v>29.880861111111113</v>
      </c>
      <c r="Q93" s="220">
        <f t="shared" si="32"/>
        <v>29.648305555555556</v>
      </c>
      <c r="R93" s="220">
        <f t="shared" si="32"/>
        <v>38.845119444444443</v>
      </c>
      <c r="S93" s="220">
        <f t="shared" si="32"/>
        <v>17.519453282828284</v>
      </c>
      <c r="T93" s="220">
        <f t="shared" si="32"/>
        <v>35.551638888888888</v>
      </c>
      <c r="U93" s="220">
        <f t="shared" si="32"/>
        <v>44.821291666666674</v>
      </c>
      <c r="V93" s="220">
        <f t="shared" si="32"/>
        <v>29.648305555555556</v>
      </c>
      <c r="W93" s="220">
        <f t="shared" si="32"/>
        <v>35.551638888888888</v>
      </c>
      <c r="X93" s="220">
        <f t="shared" si="32"/>
        <v>44.821291666666674</v>
      </c>
      <c r="Y93" s="220">
        <f t="shared" si="32"/>
        <v>17.519453282828284</v>
      </c>
      <c r="Z93" s="220">
        <f t="shared" si="32"/>
        <v>35.551638888888888</v>
      </c>
      <c r="AA93" s="220">
        <f t="shared" si="32"/>
        <v>44.821291666666674</v>
      </c>
      <c r="AB93" s="220">
        <f t="shared" si="32"/>
        <v>29.648305555555556</v>
      </c>
      <c r="AC93" s="220">
        <f t="shared" si="32"/>
        <v>35.551638888888888</v>
      </c>
      <c r="AD93" s="220">
        <f t="shared" si="32"/>
        <v>44.821291666666674</v>
      </c>
    </row>
    <row r="94" spans="1:32" ht="15" customHeight="1">
      <c r="A94" s="253" t="s">
        <v>156</v>
      </c>
      <c r="B94" s="309" t="s">
        <v>200</v>
      </c>
      <c r="C94" s="611">
        <f>C93*C68</f>
        <v>7.1555555555555565E-3</v>
      </c>
      <c r="D94" s="612"/>
      <c r="E94" s="220">
        <f t="shared" ref="E94:AD94" si="33">$C94*E49</f>
        <v>18.677094800000003</v>
      </c>
      <c r="F94" s="220">
        <f t="shared" si="33"/>
        <v>13.092691733333334</v>
      </c>
      <c r="G94" s="220">
        <f t="shared" si="33"/>
        <v>10.910576444444446</v>
      </c>
      <c r="H94" s="220">
        <f t="shared" si="33"/>
        <v>13.083003111111113</v>
      </c>
      <c r="I94" s="220">
        <f t="shared" si="33"/>
        <v>13.195388266666669</v>
      </c>
      <c r="J94" s="220">
        <f t="shared" si="33"/>
        <v>10.996156888888891</v>
      </c>
      <c r="K94" s="220">
        <f t="shared" si="33"/>
        <v>10.910576444444446</v>
      </c>
      <c r="L94" s="220">
        <f t="shared" si="33"/>
        <v>14.295003955555558</v>
      </c>
      <c r="M94" s="220">
        <f t="shared" si="33"/>
        <v>13.092691733333334</v>
      </c>
      <c r="N94" s="220">
        <f t="shared" si="33"/>
        <v>10.910576444444446</v>
      </c>
      <c r="O94" s="220">
        <f t="shared" si="33"/>
        <v>13.083003111111113</v>
      </c>
      <c r="P94" s="220">
        <f t="shared" si="33"/>
        <v>10.996156888888891</v>
      </c>
      <c r="Q94" s="220">
        <f t="shared" si="33"/>
        <v>10.910576444444446</v>
      </c>
      <c r="R94" s="220">
        <f t="shared" si="33"/>
        <v>14.295003955555558</v>
      </c>
      <c r="S94" s="220">
        <f t="shared" si="33"/>
        <v>6.4471588080808093</v>
      </c>
      <c r="T94" s="220">
        <f t="shared" si="33"/>
        <v>13.083003111111113</v>
      </c>
      <c r="U94" s="220">
        <f t="shared" si="33"/>
        <v>16.494235333333336</v>
      </c>
      <c r="V94" s="220">
        <f t="shared" si="33"/>
        <v>10.910576444444446</v>
      </c>
      <c r="W94" s="220">
        <f t="shared" si="33"/>
        <v>13.083003111111113</v>
      </c>
      <c r="X94" s="220">
        <f t="shared" si="33"/>
        <v>16.494235333333336</v>
      </c>
      <c r="Y94" s="220">
        <f t="shared" si="33"/>
        <v>6.4471588080808093</v>
      </c>
      <c r="Z94" s="220">
        <f t="shared" si="33"/>
        <v>13.083003111111113</v>
      </c>
      <c r="AA94" s="220">
        <f t="shared" si="33"/>
        <v>16.494235333333336</v>
      </c>
      <c r="AB94" s="220">
        <f t="shared" si="33"/>
        <v>10.910576444444446</v>
      </c>
      <c r="AC94" s="220">
        <f t="shared" si="33"/>
        <v>13.083003111111113</v>
      </c>
      <c r="AD94" s="220">
        <f t="shared" si="33"/>
        <v>16.494235333333336</v>
      </c>
    </row>
    <row r="95" spans="1:32" ht="14.45" customHeight="1">
      <c r="A95" s="253" t="s">
        <v>158</v>
      </c>
      <c r="B95" s="254" t="s">
        <v>201</v>
      </c>
      <c r="C95" s="607">
        <f>((7/30)/12)*0.08*0.4</f>
        <v>6.2222222222222236E-4</v>
      </c>
      <c r="D95" s="608"/>
      <c r="E95" s="220">
        <f t="shared" ref="E95:AD95" si="34">$C95*E49</f>
        <v>1.6240952000000002</v>
      </c>
      <c r="F95" s="220">
        <f t="shared" si="34"/>
        <v>1.1384949333333336</v>
      </c>
      <c r="G95" s="220">
        <f t="shared" si="34"/>
        <v>0.94874577777777802</v>
      </c>
      <c r="H95" s="220">
        <f t="shared" si="34"/>
        <v>1.1376524444444447</v>
      </c>
      <c r="I95" s="220">
        <f t="shared" si="34"/>
        <v>1.147425066666667</v>
      </c>
      <c r="J95" s="220">
        <f t="shared" si="34"/>
        <v>0.95618755555555579</v>
      </c>
      <c r="K95" s="220">
        <f t="shared" si="34"/>
        <v>0.94874577777777802</v>
      </c>
      <c r="L95" s="220">
        <f t="shared" si="34"/>
        <v>1.2430438222222224</v>
      </c>
      <c r="M95" s="220">
        <f t="shared" si="34"/>
        <v>1.1384949333333336</v>
      </c>
      <c r="N95" s="220">
        <f t="shared" si="34"/>
        <v>0.94874577777777802</v>
      </c>
      <c r="O95" s="220">
        <f t="shared" si="34"/>
        <v>1.1376524444444447</v>
      </c>
      <c r="P95" s="220">
        <f t="shared" si="34"/>
        <v>0.95618755555555579</v>
      </c>
      <c r="Q95" s="220">
        <f t="shared" si="34"/>
        <v>0.94874577777777802</v>
      </c>
      <c r="R95" s="220">
        <f t="shared" si="34"/>
        <v>1.2430438222222224</v>
      </c>
      <c r="S95" s="220">
        <f t="shared" si="34"/>
        <v>0.56062250505050515</v>
      </c>
      <c r="T95" s="220">
        <f t="shared" si="34"/>
        <v>1.1376524444444447</v>
      </c>
      <c r="U95" s="220">
        <f t="shared" si="34"/>
        <v>1.4342813333333337</v>
      </c>
      <c r="V95" s="220">
        <f t="shared" si="34"/>
        <v>0.94874577777777802</v>
      </c>
      <c r="W95" s="220">
        <f t="shared" si="34"/>
        <v>1.1376524444444447</v>
      </c>
      <c r="X95" s="220">
        <f t="shared" si="34"/>
        <v>1.4342813333333337</v>
      </c>
      <c r="Y95" s="220">
        <f t="shared" si="34"/>
        <v>0.56062250505050515</v>
      </c>
      <c r="Z95" s="220">
        <f t="shared" si="34"/>
        <v>1.1376524444444447</v>
      </c>
      <c r="AA95" s="220">
        <f t="shared" si="34"/>
        <v>1.4342813333333337</v>
      </c>
      <c r="AB95" s="220">
        <f t="shared" si="34"/>
        <v>0.94874577777777802</v>
      </c>
      <c r="AC95" s="220">
        <f t="shared" si="34"/>
        <v>1.1376524444444447</v>
      </c>
      <c r="AD95" s="220">
        <f t="shared" si="34"/>
        <v>1.4342813333333337</v>
      </c>
    </row>
    <row r="96" spans="1:32" ht="14.45" customHeight="1">
      <c r="A96" s="540" t="s">
        <v>168</v>
      </c>
      <c r="B96" s="549"/>
      <c r="C96" s="601">
        <f>SUM(C90:D95)</f>
        <v>6.8033333333333335E-2</v>
      </c>
      <c r="D96" s="602"/>
      <c r="E96" s="223">
        <f>SUM(E90:E95)</f>
        <v>177.57740909999998</v>
      </c>
      <c r="F96" s="223">
        <f t="shared" ref="F96:AD96" si="35">SUM(F90:F95)</f>
        <v>124.4822228</v>
      </c>
      <c r="G96" s="223">
        <f t="shared" si="35"/>
        <v>103.73518566666667</v>
      </c>
      <c r="H96" s="223">
        <f t="shared" si="35"/>
        <v>124.39010566666667</v>
      </c>
      <c r="I96" s="223">
        <f t="shared" si="35"/>
        <v>125.45863720000001</v>
      </c>
      <c r="J96" s="223">
        <f t="shared" si="35"/>
        <v>104.54886433333334</v>
      </c>
      <c r="K96" s="223">
        <f t="shared" si="35"/>
        <v>103.73518566666667</v>
      </c>
      <c r="L96" s="223">
        <f t="shared" si="35"/>
        <v>135.91352363333334</v>
      </c>
      <c r="M96" s="223">
        <f t="shared" si="35"/>
        <v>124.4822228</v>
      </c>
      <c r="N96" s="223">
        <f t="shared" si="35"/>
        <v>103.73518566666667</v>
      </c>
      <c r="O96" s="223">
        <f t="shared" si="35"/>
        <v>124.39010566666667</v>
      </c>
      <c r="P96" s="223">
        <f t="shared" si="35"/>
        <v>104.54886433333334</v>
      </c>
      <c r="Q96" s="223">
        <f t="shared" si="35"/>
        <v>103.73518566666667</v>
      </c>
      <c r="R96" s="223">
        <f t="shared" si="35"/>
        <v>135.91352363333334</v>
      </c>
      <c r="S96" s="223">
        <f t="shared" si="35"/>
        <v>61.298064257575767</v>
      </c>
      <c r="T96" s="223">
        <f t="shared" si="35"/>
        <v>124.39010566666667</v>
      </c>
      <c r="U96" s="223">
        <f t="shared" si="35"/>
        <v>156.82329650000003</v>
      </c>
      <c r="V96" s="223">
        <f t="shared" si="35"/>
        <v>103.73518566666667</v>
      </c>
      <c r="W96" s="223">
        <f t="shared" si="35"/>
        <v>124.39010566666667</v>
      </c>
      <c r="X96" s="223">
        <f t="shared" si="35"/>
        <v>156.82329650000003</v>
      </c>
      <c r="Y96" s="223">
        <f t="shared" si="35"/>
        <v>61.298064257575767</v>
      </c>
      <c r="Z96" s="223">
        <f t="shared" si="35"/>
        <v>124.39010566666667</v>
      </c>
      <c r="AA96" s="223">
        <f t="shared" si="35"/>
        <v>156.82329650000003</v>
      </c>
      <c r="AB96" s="223">
        <f t="shared" si="35"/>
        <v>103.73518566666667</v>
      </c>
      <c r="AC96" s="223">
        <f t="shared" si="35"/>
        <v>124.39010566666667</v>
      </c>
      <c r="AD96" s="223">
        <f t="shared" si="35"/>
        <v>156.82329650000003</v>
      </c>
    </row>
    <row r="97" spans="1:37" ht="14.45" customHeight="1">
      <c r="A97" s="310"/>
      <c r="B97" s="310"/>
      <c r="C97" s="310"/>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row>
    <row r="98" spans="1:37" ht="14.45" customHeight="1">
      <c r="A98" s="295" t="s">
        <v>202</v>
      </c>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7"/>
    </row>
    <row r="99" spans="1:37" ht="14.45" customHeight="1">
      <c r="A99" s="286" t="s">
        <v>203</v>
      </c>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8"/>
    </row>
    <row r="100" spans="1:37" ht="14.45" customHeight="1">
      <c r="A100" s="289" t="s">
        <v>204</v>
      </c>
      <c r="B100" s="290" t="s">
        <v>205</v>
      </c>
      <c r="C100" s="574" t="s">
        <v>150</v>
      </c>
      <c r="D100" s="575"/>
      <c r="E100" s="214" t="s">
        <v>151</v>
      </c>
      <c r="F100" s="214" t="s">
        <v>151</v>
      </c>
      <c r="G100" s="214" t="s">
        <v>151</v>
      </c>
      <c r="H100" s="214" t="s">
        <v>151</v>
      </c>
      <c r="I100" s="214" t="s">
        <v>151</v>
      </c>
      <c r="J100" s="214" t="s">
        <v>151</v>
      </c>
      <c r="K100" s="214" t="s">
        <v>151</v>
      </c>
      <c r="L100" s="214" t="s">
        <v>151</v>
      </c>
      <c r="M100" s="215" t="s">
        <v>151</v>
      </c>
      <c r="N100" s="215" t="s">
        <v>151</v>
      </c>
      <c r="O100" s="215" t="s">
        <v>151</v>
      </c>
      <c r="P100" s="215" t="s">
        <v>151</v>
      </c>
      <c r="Q100" s="215" t="s">
        <v>151</v>
      </c>
      <c r="R100" s="215" t="s">
        <v>151</v>
      </c>
      <c r="S100" s="216" t="s">
        <v>151</v>
      </c>
      <c r="T100" s="216" t="s">
        <v>151</v>
      </c>
      <c r="U100" s="216" t="s">
        <v>151</v>
      </c>
      <c r="V100" s="217" t="s">
        <v>151</v>
      </c>
      <c r="W100" s="217" t="s">
        <v>151</v>
      </c>
      <c r="X100" s="217" t="s">
        <v>151</v>
      </c>
      <c r="Y100" s="218" t="s">
        <v>151</v>
      </c>
      <c r="Z100" s="218" t="s">
        <v>151</v>
      </c>
      <c r="AA100" s="218" t="s">
        <v>151</v>
      </c>
      <c r="AB100" s="219" t="s">
        <v>151</v>
      </c>
      <c r="AC100" s="219" t="s">
        <v>151</v>
      </c>
      <c r="AD100" s="219" t="s">
        <v>151</v>
      </c>
    </row>
    <row r="101" spans="1:37" ht="14.45" customHeight="1">
      <c r="A101" s="253" t="s">
        <v>87</v>
      </c>
      <c r="B101" s="254" t="s">
        <v>717</v>
      </c>
      <c r="C101" s="603">
        <v>9.0899999999999995E-2</v>
      </c>
      <c r="D101" s="604"/>
      <c r="E101" s="220">
        <f t="shared" ref="E101:AD101" si="36">$C101*E49</f>
        <v>237.26290769999997</v>
      </c>
      <c r="F101" s="220">
        <f t="shared" si="36"/>
        <v>166.32191159999999</v>
      </c>
      <c r="G101" s="220">
        <f t="shared" si="36"/>
        <v>138.60159299999998</v>
      </c>
      <c r="H101" s="220">
        <f t="shared" si="36"/>
        <v>166.19883299999998</v>
      </c>
      <c r="I101" s="220">
        <f t="shared" si="36"/>
        <v>167.62650840000001</v>
      </c>
      <c r="J101" s="220">
        <f t="shared" si="36"/>
        <v>139.68875699999998</v>
      </c>
      <c r="K101" s="220">
        <f t="shared" si="36"/>
        <v>138.60159299999998</v>
      </c>
      <c r="L101" s="220">
        <f t="shared" si="36"/>
        <v>181.59538409999999</v>
      </c>
      <c r="M101" s="220">
        <f t="shared" si="36"/>
        <v>166.32191159999999</v>
      </c>
      <c r="N101" s="220">
        <f t="shared" si="36"/>
        <v>138.60159299999998</v>
      </c>
      <c r="O101" s="220">
        <f t="shared" si="36"/>
        <v>166.19883299999998</v>
      </c>
      <c r="P101" s="220">
        <f t="shared" si="36"/>
        <v>139.68875699999998</v>
      </c>
      <c r="Q101" s="220">
        <f t="shared" si="36"/>
        <v>138.60159299999998</v>
      </c>
      <c r="R101" s="220">
        <f t="shared" si="36"/>
        <v>181.59538409999999</v>
      </c>
      <c r="S101" s="220">
        <f t="shared" si="36"/>
        <v>81.900941318181808</v>
      </c>
      <c r="T101" s="220">
        <f t="shared" si="36"/>
        <v>166.19883299999998</v>
      </c>
      <c r="U101" s="220">
        <f t="shared" si="36"/>
        <v>209.53313550000001</v>
      </c>
      <c r="V101" s="220">
        <f t="shared" si="36"/>
        <v>138.60159299999998</v>
      </c>
      <c r="W101" s="220">
        <f t="shared" si="36"/>
        <v>166.19883299999998</v>
      </c>
      <c r="X101" s="220">
        <f t="shared" si="36"/>
        <v>209.53313550000001</v>
      </c>
      <c r="Y101" s="220">
        <f t="shared" si="36"/>
        <v>81.900941318181808</v>
      </c>
      <c r="Z101" s="220">
        <f t="shared" si="36"/>
        <v>166.19883299999998</v>
      </c>
      <c r="AA101" s="220">
        <f t="shared" si="36"/>
        <v>209.53313550000001</v>
      </c>
      <c r="AB101" s="220">
        <f t="shared" si="36"/>
        <v>138.60159299999998</v>
      </c>
      <c r="AC101" s="220">
        <f t="shared" si="36"/>
        <v>166.19883299999998</v>
      </c>
      <c r="AD101" s="220">
        <f t="shared" si="36"/>
        <v>209.53313550000001</v>
      </c>
      <c r="AF101" s="311"/>
      <c r="AK101" s="231"/>
    </row>
    <row r="102" spans="1:37" ht="14.45" customHeight="1">
      <c r="A102" s="253" t="s">
        <v>89</v>
      </c>
      <c r="B102" s="254" t="s">
        <v>206</v>
      </c>
      <c r="C102" s="603">
        <v>1.3899999999999999E-2</v>
      </c>
      <c r="D102" s="604"/>
      <c r="E102" s="220">
        <f t="shared" ref="E102:AD102" si="37">$C102*E49</f>
        <v>36.281126699999994</v>
      </c>
      <c r="F102" s="220">
        <f t="shared" si="37"/>
        <v>25.433163599999997</v>
      </c>
      <c r="G102" s="220">
        <f t="shared" si="37"/>
        <v>21.194302999999998</v>
      </c>
      <c r="H102" s="220">
        <f t="shared" si="37"/>
        <v>25.414342999999995</v>
      </c>
      <c r="I102" s="220">
        <f t="shared" si="37"/>
        <v>25.632656399999998</v>
      </c>
      <c r="J102" s="220">
        <f t="shared" si="37"/>
        <v>21.360547</v>
      </c>
      <c r="K102" s="220">
        <f t="shared" si="37"/>
        <v>21.194302999999998</v>
      </c>
      <c r="L102" s="220">
        <f t="shared" si="37"/>
        <v>27.768711099999997</v>
      </c>
      <c r="M102" s="220">
        <f t="shared" si="37"/>
        <v>25.433163599999997</v>
      </c>
      <c r="N102" s="220">
        <f t="shared" si="37"/>
        <v>21.194302999999998</v>
      </c>
      <c r="O102" s="220">
        <f t="shared" si="37"/>
        <v>25.414342999999995</v>
      </c>
      <c r="P102" s="220">
        <f t="shared" si="37"/>
        <v>21.360547</v>
      </c>
      <c r="Q102" s="220">
        <f t="shared" si="37"/>
        <v>21.194302999999998</v>
      </c>
      <c r="R102" s="220">
        <f t="shared" si="37"/>
        <v>27.768711099999997</v>
      </c>
      <c r="S102" s="220">
        <f t="shared" si="37"/>
        <v>12.523906318181817</v>
      </c>
      <c r="T102" s="220">
        <f t="shared" si="37"/>
        <v>25.414342999999995</v>
      </c>
      <c r="U102" s="220">
        <f t="shared" si="37"/>
        <v>32.040820500000002</v>
      </c>
      <c r="V102" s="220">
        <f t="shared" si="37"/>
        <v>21.194302999999998</v>
      </c>
      <c r="W102" s="220">
        <f t="shared" si="37"/>
        <v>25.414342999999995</v>
      </c>
      <c r="X102" s="220">
        <f t="shared" si="37"/>
        <v>32.040820500000002</v>
      </c>
      <c r="Y102" s="220">
        <f t="shared" si="37"/>
        <v>12.523906318181817</v>
      </c>
      <c r="Z102" s="220">
        <f t="shared" si="37"/>
        <v>25.414342999999995</v>
      </c>
      <c r="AA102" s="220">
        <f t="shared" si="37"/>
        <v>32.040820500000002</v>
      </c>
      <c r="AB102" s="220">
        <f t="shared" si="37"/>
        <v>21.194302999999998</v>
      </c>
      <c r="AC102" s="220">
        <f t="shared" si="37"/>
        <v>25.414342999999995</v>
      </c>
      <c r="AD102" s="220">
        <f t="shared" si="37"/>
        <v>32.040820500000002</v>
      </c>
    </row>
    <row r="103" spans="1:37" ht="14.45" customHeight="1">
      <c r="A103" s="253" t="s">
        <v>91</v>
      </c>
      <c r="B103" s="254" t="s">
        <v>207</v>
      </c>
      <c r="C103" s="603">
        <v>2.0000000000000001E-4</v>
      </c>
      <c r="D103" s="604"/>
      <c r="E103" s="220">
        <f t="shared" ref="E103:AD103" si="38">$C103*E49</f>
        <v>0.52203060000000001</v>
      </c>
      <c r="F103" s="220">
        <f t="shared" si="38"/>
        <v>0.36594480000000001</v>
      </c>
      <c r="G103" s="220">
        <f t="shared" si="38"/>
        <v>0.304954</v>
      </c>
      <c r="H103" s="220">
        <f t="shared" si="38"/>
        <v>0.365674</v>
      </c>
      <c r="I103" s="220">
        <f t="shared" si="38"/>
        <v>0.36881520000000001</v>
      </c>
      <c r="J103" s="220">
        <f t="shared" si="38"/>
        <v>0.30734600000000001</v>
      </c>
      <c r="K103" s="220">
        <f t="shared" si="38"/>
        <v>0.304954</v>
      </c>
      <c r="L103" s="220">
        <f t="shared" si="38"/>
        <v>0.39954980000000001</v>
      </c>
      <c r="M103" s="220">
        <f t="shared" si="38"/>
        <v>0.36594480000000001</v>
      </c>
      <c r="N103" s="220">
        <f t="shared" si="38"/>
        <v>0.304954</v>
      </c>
      <c r="O103" s="220">
        <f t="shared" si="38"/>
        <v>0.365674</v>
      </c>
      <c r="P103" s="220">
        <f t="shared" si="38"/>
        <v>0.30734600000000001</v>
      </c>
      <c r="Q103" s="220">
        <f t="shared" si="38"/>
        <v>0.304954</v>
      </c>
      <c r="R103" s="220">
        <f t="shared" si="38"/>
        <v>0.39954980000000001</v>
      </c>
      <c r="S103" s="220">
        <f t="shared" si="38"/>
        <v>0.18020009090909092</v>
      </c>
      <c r="T103" s="220">
        <f t="shared" si="38"/>
        <v>0.365674</v>
      </c>
      <c r="U103" s="220">
        <f t="shared" si="38"/>
        <v>0.46101900000000007</v>
      </c>
      <c r="V103" s="220">
        <f t="shared" si="38"/>
        <v>0.304954</v>
      </c>
      <c r="W103" s="220">
        <f t="shared" si="38"/>
        <v>0.365674</v>
      </c>
      <c r="X103" s="220">
        <f t="shared" si="38"/>
        <v>0.46101900000000007</v>
      </c>
      <c r="Y103" s="220">
        <f t="shared" si="38"/>
        <v>0.18020009090909092</v>
      </c>
      <c r="Z103" s="220">
        <f t="shared" si="38"/>
        <v>0.365674</v>
      </c>
      <c r="AA103" s="220">
        <f t="shared" si="38"/>
        <v>0.46101900000000007</v>
      </c>
      <c r="AB103" s="220">
        <f t="shared" si="38"/>
        <v>0.304954</v>
      </c>
      <c r="AC103" s="220">
        <f t="shared" si="38"/>
        <v>0.365674</v>
      </c>
      <c r="AD103" s="220">
        <f t="shared" si="38"/>
        <v>0.46101900000000007</v>
      </c>
    </row>
    <row r="104" spans="1:37" ht="14.45" customHeight="1">
      <c r="A104" s="253" t="s">
        <v>96</v>
      </c>
      <c r="B104" s="254" t="s">
        <v>205</v>
      </c>
      <c r="C104" s="603">
        <v>2.8E-3</v>
      </c>
      <c r="D104" s="604"/>
      <c r="E104" s="220">
        <f t="shared" ref="E104:AD104" si="39">$C104*E49</f>
        <v>7.3084283999999995</v>
      </c>
      <c r="F104" s="220">
        <f t="shared" si="39"/>
        <v>5.1232271999999996</v>
      </c>
      <c r="G104" s="220">
        <f t="shared" si="39"/>
        <v>4.2693560000000002</v>
      </c>
      <c r="H104" s="220">
        <f t="shared" si="39"/>
        <v>5.1194359999999994</v>
      </c>
      <c r="I104" s="220">
        <f t="shared" si="39"/>
        <v>5.1634127999999997</v>
      </c>
      <c r="J104" s="220">
        <f t="shared" si="39"/>
        <v>4.3028440000000003</v>
      </c>
      <c r="K104" s="220">
        <f t="shared" si="39"/>
        <v>4.2693560000000002</v>
      </c>
      <c r="L104" s="220">
        <f t="shared" si="39"/>
        <v>5.5936972000000003</v>
      </c>
      <c r="M104" s="220">
        <f t="shared" si="39"/>
        <v>5.1232271999999996</v>
      </c>
      <c r="N104" s="220">
        <f t="shared" si="39"/>
        <v>4.2693560000000002</v>
      </c>
      <c r="O104" s="220">
        <f t="shared" si="39"/>
        <v>5.1194359999999994</v>
      </c>
      <c r="P104" s="220">
        <f t="shared" si="39"/>
        <v>4.3028440000000003</v>
      </c>
      <c r="Q104" s="220">
        <f t="shared" si="39"/>
        <v>4.2693560000000002</v>
      </c>
      <c r="R104" s="220">
        <f t="shared" si="39"/>
        <v>5.5936972000000003</v>
      </c>
      <c r="S104" s="220">
        <f t="shared" si="39"/>
        <v>2.5228012727272726</v>
      </c>
      <c r="T104" s="220">
        <f t="shared" si="39"/>
        <v>5.1194359999999994</v>
      </c>
      <c r="U104" s="220">
        <f t="shared" si="39"/>
        <v>6.4542660000000005</v>
      </c>
      <c r="V104" s="220">
        <f t="shared" si="39"/>
        <v>4.2693560000000002</v>
      </c>
      <c r="W104" s="220">
        <f t="shared" si="39"/>
        <v>5.1194359999999994</v>
      </c>
      <c r="X104" s="220">
        <f t="shared" si="39"/>
        <v>6.4542660000000005</v>
      </c>
      <c r="Y104" s="220">
        <f t="shared" si="39"/>
        <v>2.5228012727272726</v>
      </c>
      <c r="Z104" s="220">
        <f t="shared" si="39"/>
        <v>5.1194359999999994</v>
      </c>
      <c r="AA104" s="220">
        <f t="shared" si="39"/>
        <v>6.4542660000000005</v>
      </c>
      <c r="AB104" s="220">
        <f t="shared" si="39"/>
        <v>4.2693560000000002</v>
      </c>
      <c r="AC104" s="220">
        <f t="shared" si="39"/>
        <v>5.1194359999999994</v>
      </c>
      <c r="AD104" s="220">
        <f t="shared" si="39"/>
        <v>6.4542660000000005</v>
      </c>
    </row>
    <row r="105" spans="1:37" ht="14.45" customHeight="1">
      <c r="A105" s="253" t="s">
        <v>156</v>
      </c>
      <c r="B105" s="254" t="s">
        <v>208</v>
      </c>
      <c r="C105" s="603">
        <v>1.2999999999999999E-3</v>
      </c>
      <c r="D105" s="604"/>
      <c r="E105" s="220">
        <f t="shared" ref="E105:AD105" si="40">$C105*E49</f>
        <v>3.3931988999999998</v>
      </c>
      <c r="F105" s="220">
        <f t="shared" si="40"/>
        <v>2.3786411999999997</v>
      </c>
      <c r="G105" s="220">
        <f t="shared" si="40"/>
        <v>1.9822009999999999</v>
      </c>
      <c r="H105" s="220">
        <f t="shared" si="40"/>
        <v>2.3768809999999996</v>
      </c>
      <c r="I105" s="220">
        <f t="shared" si="40"/>
        <v>2.3972987999999997</v>
      </c>
      <c r="J105" s="220">
        <f t="shared" si="40"/>
        <v>1.997749</v>
      </c>
      <c r="K105" s="220">
        <f t="shared" si="40"/>
        <v>1.9822009999999999</v>
      </c>
      <c r="L105" s="220">
        <f t="shared" si="40"/>
        <v>2.5970736999999997</v>
      </c>
      <c r="M105" s="220">
        <f t="shared" si="40"/>
        <v>2.3786411999999997</v>
      </c>
      <c r="N105" s="220">
        <f t="shared" si="40"/>
        <v>1.9822009999999999</v>
      </c>
      <c r="O105" s="220">
        <f t="shared" si="40"/>
        <v>2.3768809999999996</v>
      </c>
      <c r="P105" s="220">
        <f t="shared" si="40"/>
        <v>1.997749</v>
      </c>
      <c r="Q105" s="220">
        <f t="shared" si="40"/>
        <v>1.9822009999999999</v>
      </c>
      <c r="R105" s="220">
        <f t="shared" si="40"/>
        <v>2.5970736999999997</v>
      </c>
      <c r="S105" s="220">
        <f t="shared" si="40"/>
        <v>1.1713005909090908</v>
      </c>
      <c r="T105" s="220">
        <f t="shared" si="40"/>
        <v>2.3768809999999996</v>
      </c>
      <c r="U105" s="220">
        <f t="shared" si="40"/>
        <v>2.9966235000000001</v>
      </c>
      <c r="V105" s="220">
        <f t="shared" si="40"/>
        <v>1.9822009999999999</v>
      </c>
      <c r="W105" s="220">
        <f t="shared" si="40"/>
        <v>2.3768809999999996</v>
      </c>
      <c r="X105" s="220">
        <f t="shared" si="40"/>
        <v>2.9966235000000001</v>
      </c>
      <c r="Y105" s="220">
        <f t="shared" si="40"/>
        <v>1.1713005909090908</v>
      </c>
      <c r="Z105" s="220">
        <f t="shared" si="40"/>
        <v>2.3768809999999996</v>
      </c>
      <c r="AA105" s="220">
        <f t="shared" si="40"/>
        <v>2.9966235000000001</v>
      </c>
      <c r="AB105" s="220">
        <f t="shared" si="40"/>
        <v>1.9822009999999999</v>
      </c>
      <c r="AC105" s="220">
        <f t="shared" si="40"/>
        <v>2.3768809999999996</v>
      </c>
      <c r="AD105" s="220">
        <f t="shared" si="40"/>
        <v>2.9966235000000001</v>
      </c>
    </row>
    <row r="106" spans="1:37" ht="14.45" customHeight="1">
      <c r="A106" s="253" t="s">
        <v>158</v>
      </c>
      <c r="B106" s="254" t="s">
        <v>209</v>
      </c>
      <c r="C106" s="603">
        <v>6.9999999999999999E-4</v>
      </c>
      <c r="D106" s="604"/>
      <c r="E106" s="220">
        <f t="shared" ref="E106:AD106" si="41">$C106*E49</f>
        <v>1.8271070999999999</v>
      </c>
      <c r="F106" s="220">
        <f t="shared" si="41"/>
        <v>1.2808067999999999</v>
      </c>
      <c r="G106" s="220">
        <f t="shared" si="41"/>
        <v>1.067339</v>
      </c>
      <c r="H106" s="220">
        <f t="shared" si="41"/>
        <v>1.2798589999999999</v>
      </c>
      <c r="I106" s="220">
        <f t="shared" si="41"/>
        <v>1.2908531999999999</v>
      </c>
      <c r="J106" s="220">
        <f t="shared" si="41"/>
        <v>1.0757110000000001</v>
      </c>
      <c r="K106" s="220">
        <f t="shared" si="41"/>
        <v>1.067339</v>
      </c>
      <c r="L106" s="220">
        <f t="shared" si="41"/>
        <v>1.3984243000000001</v>
      </c>
      <c r="M106" s="220">
        <f t="shared" si="41"/>
        <v>1.2808067999999999</v>
      </c>
      <c r="N106" s="220">
        <f t="shared" si="41"/>
        <v>1.067339</v>
      </c>
      <c r="O106" s="220">
        <f t="shared" si="41"/>
        <v>1.2798589999999999</v>
      </c>
      <c r="P106" s="220">
        <f t="shared" si="41"/>
        <v>1.0757110000000001</v>
      </c>
      <c r="Q106" s="220">
        <f t="shared" si="41"/>
        <v>1.067339</v>
      </c>
      <c r="R106" s="220">
        <f t="shared" si="41"/>
        <v>1.3984243000000001</v>
      </c>
      <c r="S106" s="220">
        <f t="shared" si="41"/>
        <v>0.63070031818181815</v>
      </c>
      <c r="T106" s="220">
        <f t="shared" si="41"/>
        <v>1.2798589999999999</v>
      </c>
      <c r="U106" s="220">
        <f t="shared" si="41"/>
        <v>1.6135665000000001</v>
      </c>
      <c r="V106" s="220">
        <f t="shared" si="41"/>
        <v>1.067339</v>
      </c>
      <c r="W106" s="220">
        <f t="shared" si="41"/>
        <v>1.2798589999999999</v>
      </c>
      <c r="X106" s="220">
        <f t="shared" si="41"/>
        <v>1.6135665000000001</v>
      </c>
      <c r="Y106" s="220">
        <f t="shared" si="41"/>
        <v>0.63070031818181815</v>
      </c>
      <c r="Z106" s="220">
        <f t="shared" si="41"/>
        <v>1.2798589999999999</v>
      </c>
      <c r="AA106" s="220">
        <f t="shared" si="41"/>
        <v>1.6135665000000001</v>
      </c>
      <c r="AB106" s="220">
        <f t="shared" si="41"/>
        <v>1.067339</v>
      </c>
      <c r="AC106" s="220">
        <f t="shared" si="41"/>
        <v>1.2798589999999999</v>
      </c>
      <c r="AD106" s="220">
        <f t="shared" si="41"/>
        <v>1.6135665000000001</v>
      </c>
    </row>
    <row r="107" spans="1:37" ht="14.45" customHeight="1">
      <c r="A107" s="540" t="s">
        <v>210</v>
      </c>
      <c r="B107" s="540"/>
      <c r="C107" s="605">
        <f>SUM(C101:D106)</f>
        <v>0.10979999999999999</v>
      </c>
      <c r="D107" s="606"/>
      <c r="E107" s="232"/>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row>
    <row r="108" spans="1:37" ht="14.45" customHeight="1">
      <c r="A108" s="253" t="s">
        <v>160</v>
      </c>
      <c r="B108" s="254" t="s">
        <v>211</v>
      </c>
      <c r="C108" s="588">
        <f>(C107-C105)*((1/12+1/12+(1/12*1/3)))</f>
        <v>2.1097222222222219E-2</v>
      </c>
      <c r="D108" s="589"/>
      <c r="E108" s="220">
        <f t="shared" ref="E108:AD108" si="42">$C108*E49</f>
        <v>55.066977874999985</v>
      </c>
      <c r="F108" s="220">
        <f t="shared" si="42"/>
        <v>38.602093833333328</v>
      </c>
      <c r="G108" s="220">
        <f t="shared" si="42"/>
        <v>32.168411527777771</v>
      </c>
      <c r="H108" s="220">
        <f t="shared" si="42"/>
        <v>38.573528194444435</v>
      </c>
      <c r="I108" s="220">
        <f t="shared" si="42"/>
        <v>38.904881166666662</v>
      </c>
      <c r="J108" s="220">
        <f t="shared" si="42"/>
        <v>32.420734305555548</v>
      </c>
      <c r="K108" s="220">
        <f t="shared" si="42"/>
        <v>32.168411527777771</v>
      </c>
      <c r="L108" s="220">
        <f t="shared" si="42"/>
        <v>42.146954597222212</v>
      </c>
      <c r="M108" s="220">
        <f t="shared" si="42"/>
        <v>38.602093833333328</v>
      </c>
      <c r="N108" s="220">
        <f t="shared" si="42"/>
        <v>32.168411527777771</v>
      </c>
      <c r="O108" s="220">
        <f t="shared" si="42"/>
        <v>38.573528194444435</v>
      </c>
      <c r="P108" s="220">
        <f t="shared" si="42"/>
        <v>32.420734305555548</v>
      </c>
      <c r="Q108" s="220">
        <f t="shared" si="42"/>
        <v>32.168411527777771</v>
      </c>
      <c r="R108" s="220">
        <f t="shared" si="42"/>
        <v>42.146954597222212</v>
      </c>
      <c r="S108" s="220">
        <f t="shared" si="42"/>
        <v>19.008606811868685</v>
      </c>
      <c r="T108" s="220">
        <f t="shared" si="42"/>
        <v>38.573528194444435</v>
      </c>
      <c r="U108" s="220">
        <f t="shared" si="42"/>
        <v>48.631101458333333</v>
      </c>
      <c r="V108" s="220">
        <f t="shared" si="42"/>
        <v>32.168411527777771</v>
      </c>
      <c r="W108" s="220">
        <f t="shared" si="42"/>
        <v>38.573528194444435</v>
      </c>
      <c r="X108" s="220">
        <f t="shared" si="42"/>
        <v>48.631101458333333</v>
      </c>
      <c r="Y108" s="220">
        <f t="shared" si="42"/>
        <v>19.008606811868685</v>
      </c>
      <c r="Z108" s="220">
        <f t="shared" si="42"/>
        <v>38.573528194444435</v>
      </c>
      <c r="AA108" s="220">
        <f t="shared" si="42"/>
        <v>48.631101458333333</v>
      </c>
      <c r="AB108" s="220">
        <f t="shared" si="42"/>
        <v>32.168411527777771</v>
      </c>
      <c r="AC108" s="220">
        <f t="shared" si="42"/>
        <v>38.573528194444435</v>
      </c>
      <c r="AD108" s="220">
        <f t="shared" si="42"/>
        <v>48.631101458333333</v>
      </c>
      <c r="AE108" s="312"/>
    </row>
    <row r="109" spans="1:37" ht="14.45" customHeight="1">
      <c r="A109" s="540" t="s">
        <v>210</v>
      </c>
      <c r="B109" s="540"/>
      <c r="C109" s="540"/>
      <c r="D109" s="540"/>
      <c r="E109" s="232"/>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row>
    <row r="110" spans="1:37" ht="14.45" customHeight="1">
      <c r="A110" s="253" t="s">
        <v>162</v>
      </c>
      <c r="B110" s="254" t="s">
        <v>212</v>
      </c>
      <c r="C110" s="588">
        <f>C68*C107</f>
        <v>4.0406400000000002E-2</v>
      </c>
      <c r="D110" s="589"/>
      <c r="E110" s="220">
        <f t="shared" ref="E110:AD110" si="43">$C110*E49</f>
        <v>105.4668861792</v>
      </c>
      <c r="F110" s="220">
        <f t="shared" si="43"/>
        <v>73.932559833599996</v>
      </c>
      <c r="G110" s="220">
        <f t="shared" si="43"/>
        <v>61.610466528000003</v>
      </c>
      <c r="H110" s="220">
        <f t="shared" si="43"/>
        <v>73.877849568000002</v>
      </c>
      <c r="I110" s="220">
        <f t="shared" si="43"/>
        <v>74.5124724864</v>
      </c>
      <c r="J110" s="220">
        <f t="shared" si="43"/>
        <v>62.093727072000007</v>
      </c>
      <c r="K110" s="220">
        <f t="shared" si="43"/>
        <v>61.610466528000003</v>
      </c>
      <c r="L110" s="220">
        <f t="shared" si="43"/>
        <v>80.721845193600004</v>
      </c>
      <c r="M110" s="220">
        <f t="shared" si="43"/>
        <v>73.932559833599996</v>
      </c>
      <c r="N110" s="220">
        <f t="shared" si="43"/>
        <v>61.610466528000003</v>
      </c>
      <c r="O110" s="220">
        <f t="shared" si="43"/>
        <v>73.877849568000002</v>
      </c>
      <c r="P110" s="220">
        <f t="shared" si="43"/>
        <v>62.093727072000007</v>
      </c>
      <c r="Q110" s="220">
        <f t="shared" si="43"/>
        <v>61.610466528000003</v>
      </c>
      <c r="R110" s="220">
        <f t="shared" si="43"/>
        <v>80.721845193600004</v>
      </c>
      <c r="S110" s="220">
        <f t="shared" si="43"/>
        <v>36.406184766545458</v>
      </c>
      <c r="T110" s="220">
        <f t="shared" si="43"/>
        <v>73.877849568000002</v>
      </c>
      <c r="U110" s="220">
        <f t="shared" si="43"/>
        <v>93.140590608000011</v>
      </c>
      <c r="V110" s="220">
        <f t="shared" si="43"/>
        <v>61.610466528000003</v>
      </c>
      <c r="W110" s="220">
        <f t="shared" si="43"/>
        <v>73.877849568000002</v>
      </c>
      <c r="X110" s="220">
        <f t="shared" si="43"/>
        <v>93.140590608000011</v>
      </c>
      <c r="Y110" s="220">
        <f t="shared" si="43"/>
        <v>36.406184766545458</v>
      </c>
      <c r="Z110" s="220">
        <f t="shared" si="43"/>
        <v>73.877849568000002</v>
      </c>
      <c r="AA110" s="220">
        <f t="shared" si="43"/>
        <v>93.140590608000011</v>
      </c>
      <c r="AB110" s="220">
        <f t="shared" si="43"/>
        <v>61.610466528000003</v>
      </c>
      <c r="AC110" s="220">
        <f t="shared" si="43"/>
        <v>73.877849568000002</v>
      </c>
      <c r="AD110" s="220">
        <f t="shared" si="43"/>
        <v>93.140590608000011</v>
      </c>
    </row>
    <row r="111" spans="1:37" ht="14.45" customHeight="1">
      <c r="A111" s="540" t="s">
        <v>175</v>
      </c>
      <c r="B111" s="540"/>
      <c r="C111" s="601">
        <f>SUM(C101:D106)+C108+C110</f>
        <v>0.17130362222222223</v>
      </c>
      <c r="D111" s="602"/>
      <c r="E111" s="223">
        <f>SUM(E101:E110)</f>
        <v>447.12866345419997</v>
      </c>
      <c r="F111" s="223">
        <f t="shared" ref="F111:AD111" si="44">SUM(F101:F110)</f>
        <v>313.43834886693332</v>
      </c>
      <c r="G111" s="223">
        <f t="shared" si="44"/>
        <v>261.19862405577777</v>
      </c>
      <c r="H111" s="223">
        <f t="shared" si="44"/>
        <v>313.20640376244444</v>
      </c>
      <c r="I111" s="223">
        <f t="shared" si="44"/>
        <v>315.89689845306663</v>
      </c>
      <c r="J111" s="223">
        <f t="shared" si="44"/>
        <v>263.24741537755551</v>
      </c>
      <c r="K111" s="223">
        <f t="shared" si="44"/>
        <v>261.19862405577777</v>
      </c>
      <c r="L111" s="223">
        <f t="shared" si="44"/>
        <v>342.22163999082221</v>
      </c>
      <c r="M111" s="223">
        <f t="shared" si="44"/>
        <v>313.43834886693332</v>
      </c>
      <c r="N111" s="223">
        <f t="shared" si="44"/>
        <v>261.19862405577777</v>
      </c>
      <c r="O111" s="223">
        <f t="shared" si="44"/>
        <v>313.20640376244444</v>
      </c>
      <c r="P111" s="223">
        <f t="shared" si="44"/>
        <v>263.24741537755551</v>
      </c>
      <c r="Q111" s="223">
        <f t="shared" si="44"/>
        <v>261.19862405577777</v>
      </c>
      <c r="R111" s="223">
        <f t="shared" si="44"/>
        <v>342.22163999082221</v>
      </c>
      <c r="S111" s="223">
        <f t="shared" si="44"/>
        <v>154.34464148750504</v>
      </c>
      <c r="T111" s="223">
        <f t="shared" si="44"/>
        <v>313.20640376244444</v>
      </c>
      <c r="U111" s="223">
        <f t="shared" si="44"/>
        <v>394.87112306633333</v>
      </c>
      <c r="V111" s="223">
        <f t="shared" si="44"/>
        <v>261.19862405577777</v>
      </c>
      <c r="W111" s="223">
        <f t="shared" si="44"/>
        <v>313.20640376244444</v>
      </c>
      <c r="X111" s="223">
        <f t="shared" si="44"/>
        <v>394.87112306633333</v>
      </c>
      <c r="Y111" s="223">
        <f t="shared" si="44"/>
        <v>154.34464148750504</v>
      </c>
      <c r="Z111" s="223">
        <f t="shared" si="44"/>
        <v>313.20640376244444</v>
      </c>
      <c r="AA111" s="223">
        <f t="shared" si="44"/>
        <v>394.87112306633333</v>
      </c>
      <c r="AB111" s="223">
        <f t="shared" si="44"/>
        <v>261.19862405577777</v>
      </c>
      <c r="AC111" s="223">
        <f t="shared" si="44"/>
        <v>313.20640376244444</v>
      </c>
      <c r="AD111" s="223">
        <f t="shared" si="44"/>
        <v>394.87112306633333</v>
      </c>
    </row>
    <row r="112" spans="1:37" ht="14.45" customHeight="1">
      <c r="A112" s="310"/>
      <c r="B112" s="310"/>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row>
    <row r="113" spans="1:30" ht="14.45" customHeight="1">
      <c r="A113" s="286" t="s">
        <v>213</v>
      </c>
      <c r="B113" s="287"/>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8"/>
    </row>
    <row r="114" spans="1:30" ht="14.45" customHeight="1">
      <c r="A114" s="289" t="s">
        <v>214</v>
      </c>
      <c r="B114" s="290" t="s">
        <v>215</v>
      </c>
      <c r="C114" s="574" t="s">
        <v>150</v>
      </c>
      <c r="D114" s="575"/>
      <c r="E114" s="214" t="s">
        <v>151</v>
      </c>
      <c r="F114" s="214" t="s">
        <v>151</v>
      </c>
      <c r="G114" s="214" t="s">
        <v>151</v>
      </c>
      <c r="H114" s="214" t="s">
        <v>151</v>
      </c>
      <c r="I114" s="214" t="s">
        <v>151</v>
      </c>
      <c r="J114" s="214" t="s">
        <v>151</v>
      </c>
      <c r="K114" s="214" t="s">
        <v>151</v>
      </c>
      <c r="L114" s="214" t="s">
        <v>151</v>
      </c>
      <c r="M114" s="215" t="s">
        <v>151</v>
      </c>
      <c r="N114" s="215" t="s">
        <v>151</v>
      </c>
      <c r="O114" s="215" t="s">
        <v>151</v>
      </c>
      <c r="P114" s="215" t="s">
        <v>151</v>
      </c>
      <c r="Q114" s="215" t="s">
        <v>151</v>
      </c>
      <c r="R114" s="215" t="s">
        <v>151</v>
      </c>
      <c r="S114" s="216" t="s">
        <v>151</v>
      </c>
      <c r="T114" s="216" t="s">
        <v>151</v>
      </c>
      <c r="U114" s="216" t="s">
        <v>151</v>
      </c>
      <c r="V114" s="217" t="s">
        <v>151</v>
      </c>
      <c r="W114" s="217" t="s">
        <v>151</v>
      </c>
      <c r="X114" s="217" t="s">
        <v>151</v>
      </c>
      <c r="Y114" s="218" t="s">
        <v>151</v>
      </c>
      <c r="Z114" s="218" t="s">
        <v>151</v>
      </c>
      <c r="AA114" s="218" t="s">
        <v>151</v>
      </c>
      <c r="AB114" s="219" t="s">
        <v>151</v>
      </c>
      <c r="AC114" s="219" t="s">
        <v>151</v>
      </c>
      <c r="AD114" s="219" t="s">
        <v>151</v>
      </c>
    </row>
    <row r="115" spans="1:30" ht="14.45" customHeight="1">
      <c r="A115" s="253" t="s">
        <v>87</v>
      </c>
      <c r="B115" s="306" t="s">
        <v>216</v>
      </c>
      <c r="C115" s="581"/>
      <c r="D115" s="582"/>
      <c r="E115" s="234">
        <v>0</v>
      </c>
      <c r="F115" s="234">
        <v>0</v>
      </c>
      <c r="G115" s="234">
        <v>0</v>
      </c>
      <c r="H115" s="234">
        <v>0</v>
      </c>
      <c r="I115" s="234">
        <v>0</v>
      </c>
      <c r="J115" s="234">
        <v>0</v>
      </c>
      <c r="K115" s="234">
        <v>0</v>
      </c>
      <c r="L115" s="234">
        <v>0</v>
      </c>
      <c r="M115" s="234">
        <v>0</v>
      </c>
      <c r="N115" s="234">
        <v>0</v>
      </c>
      <c r="O115" s="234">
        <v>0</v>
      </c>
      <c r="P115" s="234">
        <v>0</v>
      </c>
      <c r="Q115" s="234">
        <v>0</v>
      </c>
      <c r="R115" s="234">
        <v>0</v>
      </c>
      <c r="S115" s="234">
        <v>0</v>
      </c>
      <c r="T115" s="234">
        <v>0</v>
      </c>
      <c r="U115" s="234">
        <v>0</v>
      </c>
      <c r="V115" s="234">
        <v>0</v>
      </c>
      <c r="W115" s="234">
        <v>0</v>
      </c>
      <c r="X115" s="234">
        <v>0</v>
      </c>
      <c r="Y115" s="234">
        <v>0</v>
      </c>
      <c r="Z115" s="234">
        <v>0</v>
      </c>
      <c r="AA115" s="234">
        <v>0</v>
      </c>
      <c r="AB115" s="234">
        <v>0</v>
      </c>
      <c r="AC115" s="234">
        <v>0</v>
      </c>
      <c r="AD115" s="234">
        <v>0</v>
      </c>
    </row>
    <row r="116" spans="1:30" ht="14.45" customHeight="1">
      <c r="A116" s="540" t="s">
        <v>175</v>
      </c>
      <c r="B116" s="540"/>
      <c r="C116" s="540"/>
      <c r="D116" s="540"/>
      <c r="E116" s="223">
        <f>SUM(E115)</f>
        <v>0</v>
      </c>
      <c r="F116" s="223">
        <f t="shared" ref="F116:AD116" si="45">SUM(F115)</f>
        <v>0</v>
      </c>
      <c r="G116" s="223">
        <f t="shared" si="45"/>
        <v>0</v>
      </c>
      <c r="H116" s="223">
        <f t="shared" si="45"/>
        <v>0</v>
      </c>
      <c r="I116" s="223">
        <f t="shared" si="45"/>
        <v>0</v>
      </c>
      <c r="J116" s="223">
        <f t="shared" si="45"/>
        <v>0</v>
      </c>
      <c r="K116" s="223">
        <f t="shared" si="45"/>
        <v>0</v>
      </c>
      <c r="L116" s="223">
        <f t="shared" si="45"/>
        <v>0</v>
      </c>
      <c r="M116" s="223">
        <f t="shared" si="45"/>
        <v>0</v>
      </c>
      <c r="N116" s="223">
        <f t="shared" si="45"/>
        <v>0</v>
      </c>
      <c r="O116" s="223">
        <f t="shared" si="45"/>
        <v>0</v>
      </c>
      <c r="P116" s="223">
        <f t="shared" si="45"/>
        <v>0</v>
      </c>
      <c r="Q116" s="223">
        <f t="shared" si="45"/>
        <v>0</v>
      </c>
      <c r="R116" s="223">
        <f t="shared" si="45"/>
        <v>0</v>
      </c>
      <c r="S116" s="223">
        <f t="shared" si="45"/>
        <v>0</v>
      </c>
      <c r="T116" s="223">
        <f t="shared" si="45"/>
        <v>0</v>
      </c>
      <c r="U116" s="223">
        <f t="shared" si="45"/>
        <v>0</v>
      </c>
      <c r="V116" s="223">
        <f t="shared" si="45"/>
        <v>0</v>
      </c>
      <c r="W116" s="223">
        <f t="shared" si="45"/>
        <v>0</v>
      </c>
      <c r="X116" s="223">
        <f t="shared" si="45"/>
        <v>0</v>
      </c>
      <c r="Y116" s="223">
        <f t="shared" si="45"/>
        <v>0</v>
      </c>
      <c r="Z116" s="223">
        <f t="shared" si="45"/>
        <v>0</v>
      </c>
      <c r="AA116" s="223">
        <f t="shared" si="45"/>
        <v>0</v>
      </c>
      <c r="AB116" s="223">
        <f t="shared" si="45"/>
        <v>0</v>
      </c>
      <c r="AC116" s="223">
        <f t="shared" si="45"/>
        <v>0</v>
      </c>
      <c r="AD116" s="223">
        <f t="shared" si="45"/>
        <v>0</v>
      </c>
    </row>
    <row r="117" spans="1:30" ht="14.45" customHeight="1">
      <c r="A117" s="250"/>
      <c r="B117" s="250"/>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row>
    <row r="118" spans="1:30" ht="14.45" customHeight="1">
      <c r="A118" s="295" t="s">
        <v>217</v>
      </c>
      <c r="B118" s="296"/>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c r="AA118" s="296"/>
      <c r="AB118" s="296"/>
      <c r="AC118" s="296"/>
      <c r="AD118" s="297"/>
    </row>
    <row r="119" spans="1:30" ht="14.45" customHeight="1">
      <c r="A119" s="289">
        <v>4</v>
      </c>
      <c r="B119" s="538" t="s">
        <v>218</v>
      </c>
      <c r="C119" s="538"/>
      <c r="D119" s="538"/>
      <c r="E119" s="214" t="s">
        <v>151</v>
      </c>
      <c r="F119" s="214" t="s">
        <v>151</v>
      </c>
      <c r="G119" s="214" t="s">
        <v>151</v>
      </c>
      <c r="H119" s="214" t="s">
        <v>151</v>
      </c>
      <c r="I119" s="214" t="s">
        <v>151</v>
      </c>
      <c r="J119" s="214" t="s">
        <v>151</v>
      </c>
      <c r="K119" s="214" t="s">
        <v>151</v>
      </c>
      <c r="L119" s="214" t="s">
        <v>151</v>
      </c>
      <c r="M119" s="215" t="s">
        <v>151</v>
      </c>
      <c r="N119" s="215" t="s">
        <v>151</v>
      </c>
      <c r="O119" s="215" t="s">
        <v>151</v>
      </c>
      <c r="P119" s="215" t="s">
        <v>151</v>
      </c>
      <c r="Q119" s="215" t="s">
        <v>151</v>
      </c>
      <c r="R119" s="215" t="s">
        <v>151</v>
      </c>
      <c r="S119" s="216" t="s">
        <v>151</v>
      </c>
      <c r="T119" s="216" t="s">
        <v>151</v>
      </c>
      <c r="U119" s="216" t="s">
        <v>151</v>
      </c>
      <c r="V119" s="217" t="s">
        <v>151</v>
      </c>
      <c r="W119" s="217" t="s">
        <v>151</v>
      </c>
      <c r="X119" s="217" t="s">
        <v>151</v>
      </c>
      <c r="Y119" s="218" t="s">
        <v>151</v>
      </c>
      <c r="Z119" s="218" t="s">
        <v>151</v>
      </c>
      <c r="AA119" s="218" t="s">
        <v>151</v>
      </c>
      <c r="AB119" s="219" t="s">
        <v>151</v>
      </c>
      <c r="AC119" s="219" t="s">
        <v>151</v>
      </c>
      <c r="AD119" s="219" t="s">
        <v>151</v>
      </c>
    </row>
    <row r="120" spans="1:30" ht="14.45" customHeight="1">
      <c r="A120" s="253" t="s">
        <v>204</v>
      </c>
      <c r="B120" s="536" t="s">
        <v>205</v>
      </c>
      <c r="C120" s="536"/>
      <c r="D120" s="536"/>
      <c r="E120" s="220">
        <f>E111</f>
        <v>447.12866345419997</v>
      </c>
      <c r="F120" s="220">
        <f t="shared" ref="F120:AD120" si="46">F111</f>
        <v>313.43834886693332</v>
      </c>
      <c r="G120" s="220">
        <f t="shared" si="46"/>
        <v>261.19862405577777</v>
      </c>
      <c r="H120" s="220">
        <f t="shared" si="46"/>
        <v>313.20640376244444</v>
      </c>
      <c r="I120" s="220">
        <f t="shared" si="46"/>
        <v>315.89689845306663</v>
      </c>
      <c r="J120" s="220">
        <f t="shared" si="46"/>
        <v>263.24741537755551</v>
      </c>
      <c r="K120" s="220">
        <f t="shared" si="46"/>
        <v>261.19862405577777</v>
      </c>
      <c r="L120" s="220">
        <f t="shared" si="46"/>
        <v>342.22163999082221</v>
      </c>
      <c r="M120" s="220">
        <f t="shared" si="46"/>
        <v>313.43834886693332</v>
      </c>
      <c r="N120" s="220">
        <f t="shared" si="46"/>
        <v>261.19862405577777</v>
      </c>
      <c r="O120" s="220">
        <f t="shared" si="46"/>
        <v>313.20640376244444</v>
      </c>
      <c r="P120" s="220">
        <f t="shared" si="46"/>
        <v>263.24741537755551</v>
      </c>
      <c r="Q120" s="220">
        <f t="shared" si="46"/>
        <v>261.19862405577777</v>
      </c>
      <c r="R120" s="220">
        <f t="shared" si="46"/>
        <v>342.22163999082221</v>
      </c>
      <c r="S120" s="220">
        <f t="shared" si="46"/>
        <v>154.34464148750504</v>
      </c>
      <c r="T120" s="220">
        <f t="shared" si="46"/>
        <v>313.20640376244444</v>
      </c>
      <c r="U120" s="220">
        <f t="shared" si="46"/>
        <v>394.87112306633333</v>
      </c>
      <c r="V120" s="220">
        <f t="shared" si="46"/>
        <v>261.19862405577777</v>
      </c>
      <c r="W120" s="220">
        <f t="shared" si="46"/>
        <v>313.20640376244444</v>
      </c>
      <c r="X120" s="220">
        <f t="shared" si="46"/>
        <v>394.87112306633333</v>
      </c>
      <c r="Y120" s="220">
        <f t="shared" si="46"/>
        <v>154.34464148750504</v>
      </c>
      <c r="Z120" s="220">
        <f t="shared" si="46"/>
        <v>313.20640376244444</v>
      </c>
      <c r="AA120" s="220">
        <f t="shared" si="46"/>
        <v>394.87112306633333</v>
      </c>
      <c r="AB120" s="220">
        <f t="shared" si="46"/>
        <v>261.19862405577777</v>
      </c>
      <c r="AC120" s="220">
        <f t="shared" si="46"/>
        <v>313.20640376244444</v>
      </c>
      <c r="AD120" s="220">
        <f t="shared" si="46"/>
        <v>394.87112306633333</v>
      </c>
    </row>
    <row r="121" spans="1:30" ht="14.45" customHeight="1">
      <c r="A121" s="253" t="s">
        <v>214</v>
      </c>
      <c r="B121" s="536" t="s">
        <v>215</v>
      </c>
      <c r="C121" s="536"/>
      <c r="D121" s="536"/>
      <c r="E121" s="220">
        <f>E116</f>
        <v>0</v>
      </c>
      <c r="F121" s="220">
        <f t="shared" ref="F121:AD121" si="47">F116</f>
        <v>0</v>
      </c>
      <c r="G121" s="220">
        <f t="shared" si="47"/>
        <v>0</v>
      </c>
      <c r="H121" s="220">
        <f t="shared" si="47"/>
        <v>0</v>
      </c>
      <c r="I121" s="220">
        <f t="shared" si="47"/>
        <v>0</v>
      </c>
      <c r="J121" s="220">
        <f t="shared" si="47"/>
        <v>0</v>
      </c>
      <c r="K121" s="220">
        <f t="shared" si="47"/>
        <v>0</v>
      </c>
      <c r="L121" s="220">
        <f t="shared" si="47"/>
        <v>0</v>
      </c>
      <c r="M121" s="220">
        <f t="shared" si="47"/>
        <v>0</v>
      </c>
      <c r="N121" s="220">
        <f t="shared" si="47"/>
        <v>0</v>
      </c>
      <c r="O121" s="220">
        <f t="shared" si="47"/>
        <v>0</v>
      </c>
      <c r="P121" s="220">
        <f t="shared" si="47"/>
        <v>0</v>
      </c>
      <c r="Q121" s="220">
        <f t="shared" si="47"/>
        <v>0</v>
      </c>
      <c r="R121" s="220">
        <f t="shared" si="47"/>
        <v>0</v>
      </c>
      <c r="S121" s="220">
        <f t="shared" si="47"/>
        <v>0</v>
      </c>
      <c r="T121" s="220">
        <f t="shared" si="47"/>
        <v>0</v>
      </c>
      <c r="U121" s="220">
        <f t="shared" si="47"/>
        <v>0</v>
      </c>
      <c r="V121" s="220">
        <f t="shared" si="47"/>
        <v>0</v>
      </c>
      <c r="W121" s="220">
        <f t="shared" si="47"/>
        <v>0</v>
      </c>
      <c r="X121" s="220">
        <f t="shared" si="47"/>
        <v>0</v>
      </c>
      <c r="Y121" s="220">
        <f t="shared" si="47"/>
        <v>0</v>
      </c>
      <c r="Z121" s="220">
        <f t="shared" si="47"/>
        <v>0</v>
      </c>
      <c r="AA121" s="220">
        <f t="shared" si="47"/>
        <v>0</v>
      </c>
      <c r="AB121" s="220">
        <f t="shared" si="47"/>
        <v>0</v>
      </c>
      <c r="AC121" s="220">
        <f t="shared" si="47"/>
        <v>0</v>
      </c>
      <c r="AD121" s="220">
        <f t="shared" si="47"/>
        <v>0</v>
      </c>
    </row>
    <row r="122" spans="1:30" ht="14.45" customHeight="1">
      <c r="A122" s="540" t="s">
        <v>175</v>
      </c>
      <c r="B122" s="540"/>
      <c r="C122" s="540"/>
      <c r="D122" s="540"/>
      <c r="E122" s="223">
        <f>SUM(E120:E121)</f>
        <v>447.12866345419997</v>
      </c>
      <c r="F122" s="223">
        <f t="shared" ref="F122:AD122" si="48">SUM(F120:F121)</f>
        <v>313.43834886693332</v>
      </c>
      <c r="G122" s="223">
        <f t="shared" si="48"/>
        <v>261.19862405577777</v>
      </c>
      <c r="H122" s="223">
        <f t="shared" si="48"/>
        <v>313.20640376244444</v>
      </c>
      <c r="I122" s="223">
        <f t="shared" si="48"/>
        <v>315.89689845306663</v>
      </c>
      <c r="J122" s="223">
        <f t="shared" si="48"/>
        <v>263.24741537755551</v>
      </c>
      <c r="K122" s="223">
        <f t="shared" si="48"/>
        <v>261.19862405577777</v>
      </c>
      <c r="L122" s="223">
        <f t="shared" si="48"/>
        <v>342.22163999082221</v>
      </c>
      <c r="M122" s="223">
        <f t="shared" si="48"/>
        <v>313.43834886693332</v>
      </c>
      <c r="N122" s="223">
        <f t="shared" si="48"/>
        <v>261.19862405577777</v>
      </c>
      <c r="O122" s="223">
        <f t="shared" si="48"/>
        <v>313.20640376244444</v>
      </c>
      <c r="P122" s="223">
        <f t="shared" si="48"/>
        <v>263.24741537755551</v>
      </c>
      <c r="Q122" s="223">
        <f t="shared" si="48"/>
        <v>261.19862405577777</v>
      </c>
      <c r="R122" s="223">
        <f t="shared" si="48"/>
        <v>342.22163999082221</v>
      </c>
      <c r="S122" s="223">
        <f t="shared" si="48"/>
        <v>154.34464148750504</v>
      </c>
      <c r="T122" s="223">
        <f t="shared" si="48"/>
        <v>313.20640376244444</v>
      </c>
      <c r="U122" s="223">
        <f t="shared" si="48"/>
        <v>394.87112306633333</v>
      </c>
      <c r="V122" s="223">
        <f t="shared" si="48"/>
        <v>261.19862405577777</v>
      </c>
      <c r="W122" s="223">
        <f t="shared" si="48"/>
        <v>313.20640376244444</v>
      </c>
      <c r="X122" s="223">
        <f t="shared" si="48"/>
        <v>394.87112306633333</v>
      </c>
      <c r="Y122" s="223">
        <f t="shared" si="48"/>
        <v>154.34464148750504</v>
      </c>
      <c r="Z122" s="223">
        <f t="shared" si="48"/>
        <v>313.20640376244444</v>
      </c>
      <c r="AA122" s="223">
        <f t="shared" si="48"/>
        <v>394.87112306633333</v>
      </c>
      <c r="AB122" s="223">
        <f t="shared" si="48"/>
        <v>261.19862405577777</v>
      </c>
      <c r="AC122" s="223">
        <f t="shared" si="48"/>
        <v>313.20640376244444</v>
      </c>
      <c r="AD122" s="223">
        <f t="shared" si="48"/>
        <v>394.87112306633333</v>
      </c>
    </row>
    <row r="123" spans="1:30" ht="14.45" customHeight="1">
      <c r="A123" s="250"/>
      <c r="B123" s="25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c r="AA123" s="250"/>
      <c r="AB123" s="250"/>
      <c r="AC123" s="250"/>
      <c r="AD123" s="250"/>
    </row>
    <row r="124" spans="1:30" ht="14.45" customHeight="1">
      <c r="A124" s="295" t="s">
        <v>219</v>
      </c>
      <c r="B124" s="296"/>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7"/>
    </row>
    <row r="125" spans="1:30" ht="14.45" customHeight="1">
      <c r="A125" s="313">
        <v>5</v>
      </c>
      <c r="B125" s="531" t="s">
        <v>220</v>
      </c>
      <c r="C125" s="531"/>
      <c r="D125" s="531"/>
      <c r="E125" s="214" t="s">
        <v>151</v>
      </c>
      <c r="F125" s="214" t="s">
        <v>151</v>
      </c>
      <c r="G125" s="214" t="s">
        <v>151</v>
      </c>
      <c r="H125" s="214" t="s">
        <v>151</v>
      </c>
      <c r="I125" s="214" t="s">
        <v>151</v>
      </c>
      <c r="J125" s="214" t="s">
        <v>151</v>
      </c>
      <c r="K125" s="214" t="s">
        <v>151</v>
      </c>
      <c r="L125" s="214" t="s">
        <v>151</v>
      </c>
      <c r="M125" s="215" t="s">
        <v>151</v>
      </c>
      <c r="N125" s="215" t="s">
        <v>151</v>
      </c>
      <c r="O125" s="215" t="s">
        <v>151</v>
      </c>
      <c r="P125" s="215" t="s">
        <v>151</v>
      </c>
      <c r="Q125" s="215" t="s">
        <v>151</v>
      </c>
      <c r="R125" s="215" t="s">
        <v>151</v>
      </c>
      <c r="S125" s="216" t="s">
        <v>151</v>
      </c>
      <c r="T125" s="216" t="s">
        <v>151</v>
      </c>
      <c r="U125" s="216" t="s">
        <v>151</v>
      </c>
      <c r="V125" s="217" t="s">
        <v>151</v>
      </c>
      <c r="W125" s="217" t="s">
        <v>151</v>
      </c>
      <c r="X125" s="217" t="s">
        <v>151</v>
      </c>
      <c r="Y125" s="218" t="s">
        <v>151</v>
      </c>
      <c r="Z125" s="218" t="s">
        <v>151</v>
      </c>
      <c r="AA125" s="218" t="s">
        <v>151</v>
      </c>
      <c r="AB125" s="219" t="s">
        <v>151</v>
      </c>
      <c r="AC125" s="219" t="s">
        <v>151</v>
      </c>
      <c r="AD125" s="219" t="s">
        <v>151</v>
      </c>
    </row>
    <row r="126" spans="1:30" ht="14.45" customHeight="1">
      <c r="A126" s="314" t="s">
        <v>87</v>
      </c>
      <c r="B126" s="568" t="s">
        <v>221</v>
      </c>
      <c r="C126" s="568"/>
      <c r="D126" s="569"/>
      <c r="E126" s="235">
        <f>'Pesquisa Fardamento e EPI'!U11</f>
        <v>71.69583333333334</v>
      </c>
      <c r="F126" s="228">
        <f>'Pesquisa Fardamento e EPI'!U53</f>
        <v>129.13216666666665</v>
      </c>
      <c r="G126" s="228">
        <f>'Pesquisa Fardamento e EPI'!U53</f>
        <v>129.13216666666665</v>
      </c>
      <c r="H126" s="228">
        <f>'Pesquisa Fardamento e EPI'!U53</f>
        <v>129.13216666666665</v>
      </c>
      <c r="I126" s="228">
        <f>'Pesquisa Fardamento e EPI'!U131</f>
        <v>194.50250000000003</v>
      </c>
      <c r="J126" s="228">
        <f>'Pesquisa Fardamento e EPI'!U131</f>
        <v>194.50250000000003</v>
      </c>
      <c r="K126" s="228">
        <f>'Pesquisa Fardamento e EPI'!U29</f>
        <v>80.6875</v>
      </c>
      <c r="L126" s="235">
        <f>'Pesquisa Fardamento e EPI'!U11</f>
        <v>71.69583333333334</v>
      </c>
      <c r="M126" s="235">
        <f>'Pesquisa Fardamento e EPI'!U53</f>
        <v>129.13216666666665</v>
      </c>
      <c r="N126" s="228">
        <f>'Pesquisa Fardamento e EPI'!U53</f>
        <v>129.13216666666665</v>
      </c>
      <c r="O126" s="228">
        <f>'Pesquisa Fardamento e EPI'!U53</f>
        <v>129.13216666666665</v>
      </c>
      <c r="P126" s="228">
        <f>'Pesquisa Fardamento e EPI'!U131</f>
        <v>194.50250000000003</v>
      </c>
      <c r="Q126" s="228">
        <f>'Pesquisa Fardamento e EPI'!U29</f>
        <v>80.6875</v>
      </c>
      <c r="R126" s="228">
        <f>'Pesquisa Fardamento e EPI'!U11</f>
        <v>71.69583333333334</v>
      </c>
      <c r="S126" s="228">
        <f>'Pesquisa Fardamento e EPI'!U29</f>
        <v>80.6875</v>
      </c>
      <c r="T126" s="228">
        <f>'Pesquisa Fardamento e EPI'!U53</f>
        <v>129.13216666666665</v>
      </c>
      <c r="U126" s="228">
        <f>'Pesquisa Fardamento e EPI'!U11</f>
        <v>71.69583333333334</v>
      </c>
      <c r="V126" s="228">
        <f>'Pesquisa Fardamento e EPI'!U53</f>
        <v>129.13216666666665</v>
      </c>
      <c r="W126" s="228">
        <f>'Pesquisa Fardamento e EPI'!U53</f>
        <v>129.13216666666665</v>
      </c>
      <c r="X126" s="228">
        <f>'Pesquisa Fardamento e EPI'!U11</f>
        <v>71.69583333333334</v>
      </c>
      <c r="Y126" s="228">
        <f>'Pesquisa Fardamento e EPI'!U29</f>
        <v>80.6875</v>
      </c>
      <c r="Z126" s="228">
        <f>'Pesquisa Fardamento e EPI'!U53</f>
        <v>129.13216666666665</v>
      </c>
      <c r="AA126" s="228">
        <f>'Pesquisa Fardamento e EPI'!U11</f>
        <v>71.69583333333334</v>
      </c>
      <c r="AB126" s="228">
        <f>'Pesquisa Fardamento e EPI'!U53</f>
        <v>129.13216666666665</v>
      </c>
      <c r="AC126" s="228">
        <f>'Pesquisa Fardamento e EPI'!U53</f>
        <v>129.13216666666665</v>
      </c>
      <c r="AD126" s="228">
        <f>'Pesquisa Fardamento e EPI'!U11</f>
        <v>71.69583333333334</v>
      </c>
    </row>
    <row r="127" spans="1:30" ht="14.45" customHeight="1">
      <c r="A127" s="314" t="s">
        <v>89</v>
      </c>
      <c r="B127" s="568" t="s">
        <v>222</v>
      </c>
      <c r="C127" s="568"/>
      <c r="D127" s="569"/>
      <c r="E127" s="221"/>
      <c r="F127" s="236"/>
      <c r="G127" s="236"/>
      <c r="H127" s="236"/>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6"/>
    </row>
    <row r="128" spans="1:30" ht="14.45" customHeight="1">
      <c r="A128" s="315" t="s">
        <v>91</v>
      </c>
      <c r="B128" s="570" t="s">
        <v>711</v>
      </c>
      <c r="C128" s="570"/>
      <c r="D128" s="569"/>
      <c r="E128" s="221"/>
      <c r="F128" s="221"/>
      <c r="G128" s="237">
        <f>'Equip. e Ferramentas - Preço'!$O$211</f>
        <v>70.33240314285716</v>
      </c>
      <c r="H128" s="237">
        <f>'Equip. e Ferramentas - Preço'!$O$211</f>
        <v>70.33240314285716</v>
      </c>
      <c r="I128" s="237">
        <f>'Equip. e Ferramentas - Preço'!$O$211</f>
        <v>70.33240314285716</v>
      </c>
      <c r="J128" s="237">
        <f>'Equip. e Ferramentas - Preço'!$O$211</f>
        <v>70.33240314285716</v>
      </c>
      <c r="K128" s="238"/>
      <c r="L128" s="238"/>
      <c r="M128" s="237">
        <f>'Equip. e Ferramentas - Preço'!$O$211</f>
        <v>70.33240314285716</v>
      </c>
      <c r="N128" s="237">
        <f>'Equip. e Ferramentas - Preço'!$O$211</f>
        <v>70.33240314285716</v>
      </c>
      <c r="O128" s="237">
        <f>'Equip. e Ferramentas - Preço'!$O$211</f>
        <v>70.33240314285716</v>
      </c>
      <c r="P128" s="237">
        <f>'Equip. e Ferramentas - Preço'!$O$211</f>
        <v>70.33240314285716</v>
      </c>
      <c r="Q128" s="238"/>
      <c r="R128" s="238"/>
      <c r="S128" s="236"/>
      <c r="T128" s="237">
        <f>'Equip. e Ferramentas - Preço'!$O$211</f>
        <v>70.33240314285716</v>
      </c>
      <c r="U128" s="238"/>
      <c r="V128" s="237">
        <f>'Equip. e Ferramentas - Preço'!$O$211</f>
        <v>70.33240314285716</v>
      </c>
      <c r="W128" s="237">
        <f>'Equip. e Ferramentas - Preço'!$O$211</f>
        <v>70.33240314285716</v>
      </c>
      <c r="X128" s="238"/>
      <c r="Y128" s="236"/>
      <c r="Z128" s="237">
        <f>'Equip. e Ferramentas - Preço'!$O$211</f>
        <v>70.33240314285716</v>
      </c>
      <c r="AA128" s="238"/>
      <c r="AB128" s="237">
        <f>'Equip. e Ferramentas - Preço'!$O$211</f>
        <v>70.33240314285716</v>
      </c>
      <c r="AC128" s="237">
        <f>'Equip. e Ferramentas - Preço'!$O$211</f>
        <v>70.33240314285716</v>
      </c>
      <c r="AD128" s="238"/>
    </row>
    <row r="129" spans="1:32" ht="14.45" customHeight="1">
      <c r="A129" s="571" t="s">
        <v>168</v>
      </c>
      <c r="B129" s="571"/>
      <c r="C129" s="571"/>
      <c r="D129" s="571"/>
      <c r="E129" s="223">
        <f>SUM(E126:E128)</f>
        <v>71.69583333333334</v>
      </c>
      <c r="F129" s="223">
        <f t="shared" ref="F129:AD129" si="49">SUM(F126:F128)</f>
        <v>129.13216666666665</v>
      </c>
      <c r="G129" s="223">
        <f t="shared" si="49"/>
        <v>199.46456980952382</v>
      </c>
      <c r="H129" s="223">
        <f t="shared" si="49"/>
        <v>199.46456980952382</v>
      </c>
      <c r="I129" s="223">
        <f>SUM(I126:I128)</f>
        <v>264.83490314285717</v>
      </c>
      <c r="J129" s="223">
        <f t="shared" si="49"/>
        <v>264.83490314285717</v>
      </c>
      <c r="K129" s="223">
        <f t="shared" si="49"/>
        <v>80.6875</v>
      </c>
      <c r="L129" s="223">
        <f t="shared" si="49"/>
        <v>71.69583333333334</v>
      </c>
      <c r="M129" s="223">
        <f t="shared" si="49"/>
        <v>199.46456980952382</v>
      </c>
      <c r="N129" s="223">
        <f>SUM(N126:N128)</f>
        <v>199.46456980952382</v>
      </c>
      <c r="O129" s="223">
        <f t="shared" si="49"/>
        <v>199.46456980952382</v>
      </c>
      <c r="P129" s="223">
        <f t="shared" si="49"/>
        <v>264.83490314285717</v>
      </c>
      <c r="Q129" s="223">
        <f t="shared" si="49"/>
        <v>80.6875</v>
      </c>
      <c r="R129" s="223">
        <f t="shared" si="49"/>
        <v>71.69583333333334</v>
      </c>
      <c r="S129" s="223">
        <f>SUM(S126:S128)</f>
        <v>80.6875</v>
      </c>
      <c r="T129" s="223">
        <f>SUM(T126:T128)</f>
        <v>199.46456980952382</v>
      </c>
      <c r="U129" s="223">
        <f t="shared" si="49"/>
        <v>71.69583333333334</v>
      </c>
      <c r="V129" s="223">
        <f t="shared" si="49"/>
        <v>199.46456980952382</v>
      </c>
      <c r="W129" s="223">
        <f t="shared" si="49"/>
        <v>199.46456980952382</v>
      </c>
      <c r="X129" s="223">
        <f t="shared" si="49"/>
        <v>71.69583333333334</v>
      </c>
      <c r="Y129" s="223">
        <f>SUM(Y126:Y128)</f>
        <v>80.6875</v>
      </c>
      <c r="Z129" s="223">
        <f>SUM(Z126:Z128)</f>
        <v>199.46456980952382</v>
      </c>
      <c r="AA129" s="223">
        <f t="shared" si="49"/>
        <v>71.69583333333334</v>
      </c>
      <c r="AB129" s="223">
        <f>SUM(AB126:AB128)</f>
        <v>199.46456980952382</v>
      </c>
      <c r="AC129" s="223">
        <f t="shared" si="49"/>
        <v>199.46456980952382</v>
      </c>
      <c r="AD129" s="223">
        <f t="shared" si="49"/>
        <v>71.69583333333334</v>
      </c>
    </row>
    <row r="130" spans="1:32" s="316" customFormat="1" ht="14.45" customHeight="1">
      <c r="B130" s="317" t="s">
        <v>223</v>
      </c>
      <c r="C130" s="317"/>
      <c r="D130" s="318">
        <f>SUM(J130,P130,T130,W130,Z130,AC130)</f>
        <v>28</v>
      </c>
      <c r="E130" s="318"/>
      <c r="F130" s="318"/>
      <c r="G130" s="318"/>
      <c r="H130" s="318"/>
      <c r="I130" s="318"/>
      <c r="J130" s="318">
        <f>SUM(G22:J22)</f>
        <v>15</v>
      </c>
      <c r="K130" s="318"/>
      <c r="L130" s="318"/>
      <c r="M130" s="318"/>
      <c r="N130" s="318"/>
      <c r="O130" s="318"/>
      <c r="P130" s="318">
        <f>SUM(M22:P22)</f>
        <v>7</v>
      </c>
      <c r="Q130" s="318"/>
      <c r="R130" s="318"/>
      <c r="S130" s="318"/>
      <c r="T130" s="318">
        <f>SUM(T22)</f>
        <v>1</v>
      </c>
      <c r="U130" s="318"/>
      <c r="V130" s="318"/>
      <c r="W130" s="318">
        <f>SUM(V22:W22)</f>
        <v>2</v>
      </c>
      <c r="X130" s="318"/>
      <c r="Y130" s="318"/>
      <c r="Z130" s="318">
        <f>SUM(Z22)</f>
        <v>1</v>
      </c>
      <c r="AA130" s="318"/>
      <c r="AB130" s="318"/>
      <c r="AC130" s="318">
        <f>SUM(AB22:AC22)</f>
        <v>2</v>
      </c>
      <c r="AE130" s="319"/>
      <c r="AF130" s="319"/>
    </row>
    <row r="131" spans="1:32" ht="14.45" customHeight="1">
      <c r="A131" s="295" t="s">
        <v>224</v>
      </c>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7"/>
    </row>
    <row r="132" spans="1:32" ht="14.45" customHeight="1">
      <c r="A132" s="289">
        <v>6</v>
      </c>
      <c r="B132" s="290" t="s">
        <v>225</v>
      </c>
      <c r="C132" s="574" t="s">
        <v>226</v>
      </c>
      <c r="D132" s="575"/>
      <c r="E132" s="214" t="s">
        <v>151</v>
      </c>
      <c r="F132" s="214" t="s">
        <v>151</v>
      </c>
      <c r="G132" s="214" t="s">
        <v>151</v>
      </c>
      <c r="H132" s="214" t="s">
        <v>151</v>
      </c>
      <c r="I132" s="214" t="s">
        <v>151</v>
      </c>
      <c r="J132" s="214" t="s">
        <v>151</v>
      </c>
      <c r="K132" s="214" t="s">
        <v>151</v>
      </c>
      <c r="L132" s="214" t="s">
        <v>151</v>
      </c>
      <c r="M132" s="215" t="s">
        <v>151</v>
      </c>
      <c r="N132" s="215" t="s">
        <v>151</v>
      </c>
      <c r="O132" s="215" t="s">
        <v>151</v>
      </c>
      <c r="P132" s="215" t="s">
        <v>151</v>
      </c>
      <c r="Q132" s="215" t="s">
        <v>151</v>
      </c>
      <c r="R132" s="215" t="s">
        <v>151</v>
      </c>
      <c r="S132" s="216" t="s">
        <v>151</v>
      </c>
      <c r="T132" s="216" t="s">
        <v>151</v>
      </c>
      <c r="U132" s="216" t="s">
        <v>151</v>
      </c>
      <c r="V132" s="217" t="s">
        <v>151</v>
      </c>
      <c r="W132" s="217" t="s">
        <v>151</v>
      </c>
      <c r="X132" s="217" t="s">
        <v>151</v>
      </c>
      <c r="Y132" s="218" t="s">
        <v>151</v>
      </c>
      <c r="Z132" s="218" t="s">
        <v>151</v>
      </c>
      <c r="AA132" s="218" t="s">
        <v>151</v>
      </c>
      <c r="AB132" s="219" t="s">
        <v>151</v>
      </c>
      <c r="AC132" s="219" t="s">
        <v>151</v>
      </c>
      <c r="AD132" s="219" t="s">
        <v>151</v>
      </c>
    </row>
    <row r="133" spans="1:32" ht="14.45" customHeight="1">
      <c r="A133" s="301" t="s">
        <v>87</v>
      </c>
      <c r="B133" s="302" t="s">
        <v>227</v>
      </c>
      <c r="C133" s="576">
        <v>0.06</v>
      </c>
      <c r="D133" s="577"/>
      <c r="E133" s="222">
        <f t="shared" ref="E133:AD133" si="50">(E129+E86+E96+E122+E49)*$C133</f>
        <v>325.75140921193992</v>
      </c>
      <c r="F133" s="222">
        <f t="shared" si="50"/>
        <v>247.90800822552001</v>
      </c>
      <c r="G133" s="222">
        <f t="shared" si="50"/>
        <v>219.68441070983809</v>
      </c>
      <c r="H133" s="222">
        <f t="shared" si="50"/>
        <v>251.98390263783807</v>
      </c>
      <c r="I133" s="222">
        <f t="shared" si="50"/>
        <v>257.53400148705146</v>
      </c>
      <c r="J133" s="222">
        <f t="shared" si="50"/>
        <v>224.83597893730476</v>
      </c>
      <c r="K133" s="222">
        <f t="shared" si="50"/>
        <v>212.55778652126665</v>
      </c>
      <c r="L133" s="222">
        <f t="shared" si="50"/>
        <v>262.29466857335331</v>
      </c>
      <c r="M133" s="222">
        <f t="shared" si="50"/>
        <v>250.13595241409146</v>
      </c>
      <c r="N133" s="222">
        <f t="shared" si="50"/>
        <v>217.6924107098381</v>
      </c>
      <c r="O133" s="222">
        <f t="shared" si="50"/>
        <v>249.99190263783808</v>
      </c>
      <c r="P133" s="222">
        <f t="shared" si="50"/>
        <v>222.84397893730477</v>
      </c>
      <c r="Q133" s="222">
        <f t="shared" si="50"/>
        <v>210.56578652126669</v>
      </c>
      <c r="R133" s="222">
        <f t="shared" si="50"/>
        <v>260.30266857335334</v>
      </c>
      <c r="S133" s="222">
        <f t="shared" si="50"/>
        <v>137.95716867165757</v>
      </c>
      <c r="T133" s="222">
        <f t="shared" si="50"/>
        <v>243.74507463783806</v>
      </c>
      <c r="U133" s="222">
        <f t="shared" si="50"/>
        <v>286.79691912310005</v>
      </c>
      <c r="V133" s="222">
        <f t="shared" si="50"/>
        <v>211.44558270983808</v>
      </c>
      <c r="W133" s="222">
        <f t="shared" si="50"/>
        <v>243.74507463783806</v>
      </c>
      <c r="X133" s="222">
        <f t="shared" si="50"/>
        <v>286.79691912310005</v>
      </c>
      <c r="Y133" s="222">
        <f t="shared" si="50"/>
        <v>137.95716867165757</v>
      </c>
      <c r="Z133" s="222">
        <f t="shared" si="50"/>
        <v>243.74507463783806</v>
      </c>
      <c r="AA133" s="222">
        <f t="shared" si="50"/>
        <v>286.79691912310005</v>
      </c>
      <c r="AB133" s="222">
        <f t="shared" si="50"/>
        <v>211.44558270983808</v>
      </c>
      <c r="AC133" s="222">
        <f t="shared" si="50"/>
        <v>243.74507463783806</v>
      </c>
      <c r="AD133" s="222">
        <f t="shared" si="50"/>
        <v>286.79691912310005</v>
      </c>
      <c r="AF133" s="19"/>
    </row>
    <row r="134" spans="1:32" ht="14.45" customHeight="1">
      <c r="A134" s="301" t="s">
        <v>89</v>
      </c>
      <c r="B134" s="302" t="s">
        <v>228</v>
      </c>
      <c r="C134" s="576">
        <v>6.7599999999999993E-2</v>
      </c>
      <c r="D134" s="577"/>
      <c r="E134" s="222">
        <f>(E129+E86+E96+E122+E49+E133)*$C134</f>
        <v>389.03404964151275</v>
      </c>
      <c r="F134" s="222">
        <f>(F129+F86+F96+F122+F49+F133)*$C134</f>
        <v>296.06827062346429</v>
      </c>
      <c r="G134" s="222">
        <f t="shared" ref="G134:AD134" si="51">(G129+G86+G96+G122+G49+G133)*$C134</f>
        <v>262.36176889706928</v>
      </c>
      <c r="H134" s="222">
        <f>(H129+H86+H96+H122+H49+H133)*$C134</f>
        <v>300.93597545694871</v>
      </c>
      <c r="I134" s="222">
        <f t="shared" si="51"/>
        <v>307.5642735092693</v>
      </c>
      <c r="J134" s="222">
        <f t="shared" si="51"/>
        <v>268.5141151121918</v>
      </c>
      <c r="K134" s="222">
        <f t="shared" si="51"/>
        <v>253.85067918279805</v>
      </c>
      <c r="L134" s="222">
        <f t="shared" si="51"/>
        <v>313.24977952153677</v>
      </c>
      <c r="M134" s="222">
        <f>(M129+M86+M96+M122+M49+M133)*$C134</f>
        <v>298.72903010306896</v>
      </c>
      <c r="N134" s="222">
        <f t="shared" si="51"/>
        <v>259.98278969706928</v>
      </c>
      <c r="O134" s="222">
        <f t="shared" si="51"/>
        <v>298.55699625694876</v>
      </c>
      <c r="P134" s="222">
        <f t="shared" si="51"/>
        <v>266.1351359121918</v>
      </c>
      <c r="Q134" s="222">
        <f t="shared" si="51"/>
        <v>251.47169998279804</v>
      </c>
      <c r="R134" s="222">
        <f t="shared" si="51"/>
        <v>310.87080032153676</v>
      </c>
      <c r="S134" s="222">
        <f t="shared" si="51"/>
        <v>164.75764797227157</v>
      </c>
      <c r="T134" s="222">
        <f t="shared" si="51"/>
        <v>291.09661780414871</v>
      </c>
      <c r="U134" s="222">
        <f t="shared" si="51"/>
        <v>342.51200061141429</v>
      </c>
      <c r="V134" s="222">
        <f t="shared" si="51"/>
        <v>252.52241124426931</v>
      </c>
      <c r="W134" s="222">
        <f t="shared" si="51"/>
        <v>291.09661780414871</v>
      </c>
      <c r="X134" s="222">
        <f t="shared" si="51"/>
        <v>342.51200061141429</v>
      </c>
      <c r="Y134" s="222">
        <f t="shared" si="51"/>
        <v>164.75764797227157</v>
      </c>
      <c r="Z134" s="222">
        <f t="shared" si="51"/>
        <v>291.09661780414871</v>
      </c>
      <c r="AA134" s="222">
        <f t="shared" si="51"/>
        <v>342.51200061141429</v>
      </c>
      <c r="AB134" s="222">
        <f t="shared" si="51"/>
        <v>252.52241124426931</v>
      </c>
      <c r="AC134" s="222">
        <f t="shared" si="51"/>
        <v>291.09661780414871</v>
      </c>
      <c r="AD134" s="222">
        <f t="shared" si="51"/>
        <v>342.51200061141429</v>
      </c>
    </row>
    <row r="135" spans="1:32" ht="14.45" customHeight="1">
      <c r="A135" s="253"/>
      <c r="B135" s="290" t="s">
        <v>229</v>
      </c>
      <c r="C135" s="574"/>
      <c r="D135" s="575"/>
      <c r="E135" s="239"/>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1"/>
    </row>
    <row r="136" spans="1:32" ht="14.45" customHeight="1">
      <c r="A136" s="253" t="s">
        <v>91</v>
      </c>
      <c r="B136" s="254" t="s">
        <v>230</v>
      </c>
      <c r="C136" s="242">
        <f>SUM(C137:C140)</f>
        <v>6.6500000000000004E-2</v>
      </c>
      <c r="D136" s="242">
        <f>SUM(D137:D140)</f>
        <v>8.6499999999999994E-2</v>
      </c>
      <c r="E136" s="239"/>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1"/>
    </row>
    <row r="137" spans="1:32" ht="14.45" customHeight="1">
      <c r="A137" s="301" t="s">
        <v>231</v>
      </c>
      <c r="B137" s="302" t="s">
        <v>232</v>
      </c>
      <c r="C137" s="159">
        <v>0.03</v>
      </c>
      <c r="D137" s="243">
        <f>C137</f>
        <v>0.03</v>
      </c>
      <c r="E137" s="222">
        <f t="shared" ref="E137:AD137" si="52">E153*$C137</f>
        <v>201.77259810790758</v>
      </c>
      <c r="F137" s="222">
        <f t="shared" si="52"/>
        <v>153.55587572876794</v>
      </c>
      <c r="G137" s="222">
        <f t="shared" si="52"/>
        <v>136.07399096127668</v>
      </c>
      <c r="H137" s="222">
        <f t="shared" si="52"/>
        <v>156.08051194500564</v>
      </c>
      <c r="I137" s="222">
        <f t="shared" si="52"/>
        <v>159.51828023362378</v>
      </c>
      <c r="J137" s="222">
        <f t="shared" si="52"/>
        <v>139.26490672155148</v>
      </c>
      <c r="K137" s="222">
        <f t="shared" si="52"/>
        <v>131.65971235003315</v>
      </c>
      <c r="L137" s="222">
        <f t="shared" si="52"/>
        <v>162.46706921677435</v>
      </c>
      <c r="M137" s="222">
        <f t="shared" si="52"/>
        <v>154.93587923651947</v>
      </c>
      <c r="N137" s="222">
        <f t="shared" si="52"/>
        <v>134.84013285947049</v>
      </c>
      <c r="O137" s="222">
        <f t="shared" si="52"/>
        <v>154.84665384319945</v>
      </c>
      <c r="P137" s="222">
        <f t="shared" si="52"/>
        <v>138.03104861974523</v>
      </c>
      <c r="Q137" s="222">
        <f t="shared" si="52"/>
        <v>130.4258542482269</v>
      </c>
      <c r="R137" s="222">
        <f t="shared" si="52"/>
        <v>161.23321111496807</v>
      </c>
      <c r="S137" s="222">
        <f t="shared" si="52"/>
        <v>85.451591499886874</v>
      </c>
      <c r="T137" s="222">
        <f t="shared" si="52"/>
        <v>150.97732686609595</v>
      </c>
      <c r="U137" s="222">
        <f t="shared" si="52"/>
        <v>177.64392682384832</v>
      </c>
      <c r="V137" s="222">
        <f t="shared" si="52"/>
        <v>130.97080588236702</v>
      </c>
      <c r="W137" s="222">
        <f t="shared" si="52"/>
        <v>150.97732686609595</v>
      </c>
      <c r="X137" s="222">
        <f t="shared" si="52"/>
        <v>177.64392682384832</v>
      </c>
      <c r="Y137" s="222">
        <f t="shared" si="52"/>
        <v>85.451591499886874</v>
      </c>
      <c r="Z137" s="222">
        <f t="shared" si="52"/>
        <v>150.97732686609595</v>
      </c>
      <c r="AA137" s="222">
        <f t="shared" si="52"/>
        <v>177.64392682384832</v>
      </c>
      <c r="AB137" s="222">
        <f t="shared" si="52"/>
        <v>128.1647896877796</v>
      </c>
      <c r="AC137" s="222">
        <f t="shared" si="52"/>
        <v>147.74267604946829</v>
      </c>
      <c r="AD137" s="222">
        <f t="shared" si="52"/>
        <v>173.83795088761158</v>
      </c>
    </row>
    <row r="138" spans="1:32" ht="14.45" customHeight="1">
      <c r="A138" s="301" t="s">
        <v>233</v>
      </c>
      <c r="B138" s="302" t="s">
        <v>234</v>
      </c>
      <c r="C138" s="159">
        <v>6.4999999999999997E-3</v>
      </c>
      <c r="D138" s="243">
        <f>C138</f>
        <v>6.4999999999999997E-3</v>
      </c>
      <c r="E138" s="222">
        <f t="shared" ref="E138:AD138" si="53">E153*$C138</f>
        <v>43.717396256713307</v>
      </c>
      <c r="F138" s="222">
        <f t="shared" si="53"/>
        <v>33.270439741233055</v>
      </c>
      <c r="G138" s="222">
        <f t="shared" si="53"/>
        <v>29.482698041609947</v>
      </c>
      <c r="H138" s="222">
        <f t="shared" si="53"/>
        <v>33.817444254751223</v>
      </c>
      <c r="I138" s="222">
        <f t="shared" si="53"/>
        <v>34.56229405061849</v>
      </c>
      <c r="J138" s="222">
        <f t="shared" si="53"/>
        <v>30.174063123002824</v>
      </c>
      <c r="K138" s="222">
        <f t="shared" si="53"/>
        <v>28.526271009173851</v>
      </c>
      <c r="L138" s="222">
        <f t="shared" si="53"/>
        <v>35.201198330301111</v>
      </c>
      <c r="M138" s="222">
        <f t="shared" si="53"/>
        <v>33.569440501245886</v>
      </c>
      <c r="N138" s="222">
        <f t="shared" si="53"/>
        <v>29.215362119551937</v>
      </c>
      <c r="O138" s="222">
        <f t="shared" si="53"/>
        <v>33.550108332693213</v>
      </c>
      <c r="P138" s="222">
        <f t="shared" si="53"/>
        <v>29.9067272009448</v>
      </c>
      <c r="Q138" s="222">
        <f t="shared" si="53"/>
        <v>28.258935087115827</v>
      </c>
      <c r="R138" s="222">
        <f t="shared" si="53"/>
        <v>34.933862408243087</v>
      </c>
      <c r="S138" s="222">
        <f t="shared" si="53"/>
        <v>18.514511491642157</v>
      </c>
      <c r="T138" s="222">
        <f t="shared" si="53"/>
        <v>32.711754154320793</v>
      </c>
      <c r="U138" s="222">
        <f t="shared" si="53"/>
        <v>38.489517478500467</v>
      </c>
      <c r="V138" s="222">
        <f t="shared" si="53"/>
        <v>28.377007941179521</v>
      </c>
      <c r="W138" s="222">
        <f t="shared" si="53"/>
        <v>32.711754154320793</v>
      </c>
      <c r="X138" s="222">
        <f t="shared" si="53"/>
        <v>38.489517478500467</v>
      </c>
      <c r="Y138" s="222">
        <f t="shared" si="53"/>
        <v>18.514511491642157</v>
      </c>
      <c r="Z138" s="222">
        <f t="shared" si="53"/>
        <v>32.711754154320793</v>
      </c>
      <c r="AA138" s="222">
        <f>AA153*$C138</f>
        <v>38.489517478500467</v>
      </c>
      <c r="AB138" s="222">
        <f t="shared" si="53"/>
        <v>27.769037765685582</v>
      </c>
      <c r="AC138" s="222">
        <f t="shared" si="53"/>
        <v>32.010913144051457</v>
      </c>
      <c r="AD138" s="222">
        <f t="shared" si="53"/>
        <v>37.664889358982514</v>
      </c>
      <c r="AE138" s="320"/>
    </row>
    <row r="139" spans="1:32" ht="14.45" customHeight="1">
      <c r="A139" s="301"/>
      <c r="B139" s="321"/>
      <c r="C139" s="322" t="s">
        <v>19</v>
      </c>
      <c r="D139" s="243" t="s">
        <v>716</v>
      </c>
      <c r="E139" s="221"/>
      <c r="F139" s="221"/>
      <c r="G139" s="221"/>
      <c r="H139" s="221"/>
      <c r="I139" s="221"/>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320"/>
    </row>
    <row r="140" spans="1:32" ht="14.45" customHeight="1">
      <c r="A140" s="301" t="s">
        <v>235</v>
      </c>
      <c r="B140" s="302" t="s">
        <v>236</v>
      </c>
      <c r="C140" s="242">
        <v>0.03</v>
      </c>
      <c r="D140" s="242">
        <v>0.05</v>
      </c>
      <c r="E140" s="222">
        <f t="shared" ref="E140:Z140" si="54">E153*$D140</f>
        <v>336.28766351317933</v>
      </c>
      <c r="F140" s="222">
        <f t="shared" si="54"/>
        <v>255.92645954794659</v>
      </c>
      <c r="G140" s="222">
        <f t="shared" si="54"/>
        <v>226.78998493546115</v>
      </c>
      <c r="H140" s="222">
        <f t="shared" si="54"/>
        <v>260.13418657500944</v>
      </c>
      <c r="I140" s="222">
        <f t="shared" si="54"/>
        <v>265.86380038937301</v>
      </c>
      <c r="J140" s="222">
        <f t="shared" si="54"/>
        <v>232.1081778692525</v>
      </c>
      <c r="K140" s="222">
        <f t="shared" si="54"/>
        <v>219.43285391672194</v>
      </c>
      <c r="L140" s="222">
        <f t="shared" si="54"/>
        <v>270.77844869462393</v>
      </c>
      <c r="M140" s="222">
        <f t="shared" si="54"/>
        <v>258.22646539419912</v>
      </c>
      <c r="N140" s="222">
        <f t="shared" si="54"/>
        <v>224.73355476578413</v>
      </c>
      <c r="O140" s="222">
        <f t="shared" si="54"/>
        <v>258.07775640533242</v>
      </c>
      <c r="P140" s="222">
        <f t="shared" si="54"/>
        <v>230.0517476995754</v>
      </c>
      <c r="Q140" s="222">
        <f t="shared" si="54"/>
        <v>217.37642374704484</v>
      </c>
      <c r="R140" s="222">
        <f t="shared" si="54"/>
        <v>268.7220185249468</v>
      </c>
      <c r="S140" s="222">
        <f t="shared" si="54"/>
        <v>142.41931916647815</v>
      </c>
      <c r="T140" s="222">
        <f t="shared" si="54"/>
        <v>251.62887811015995</v>
      </c>
      <c r="U140" s="222">
        <f t="shared" si="54"/>
        <v>296.07321137308054</v>
      </c>
      <c r="V140" s="222">
        <f t="shared" si="54"/>
        <v>218.28467647061171</v>
      </c>
      <c r="W140" s="222">
        <f t="shared" si="54"/>
        <v>251.62887811015995</v>
      </c>
      <c r="X140" s="222">
        <f t="shared" si="54"/>
        <v>296.07321137308054</v>
      </c>
      <c r="Y140" s="222">
        <f t="shared" si="54"/>
        <v>142.41931916647815</v>
      </c>
      <c r="Z140" s="222">
        <f t="shared" si="54"/>
        <v>251.62887811015995</v>
      </c>
      <c r="AA140" s="222">
        <f>AA153*$D140</f>
        <v>296.07321137308054</v>
      </c>
      <c r="AB140" s="222">
        <f>AB153*$C140</f>
        <v>128.1647896877796</v>
      </c>
      <c r="AC140" s="222">
        <f>AC153*$C140</f>
        <v>147.74267604946829</v>
      </c>
      <c r="AD140" s="222">
        <f>AD153*$C140</f>
        <v>173.83795088761158</v>
      </c>
    </row>
    <row r="141" spans="1:32" ht="14.45" customHeight="1">
      <c r="A141" s="540" t="s">
        <v>168</v>
      </c>
      <c r="B141" s="540"/>
      <c r="C141" s="540"/>
      <c r="D141" s="540"/>
      <c r="E141" s="223">
        <f>SUM(E133:E140)</f>
        <v>1296.5631167312529</v>
      </c>
      <c r="F141" s="223">
        <f t="shared" ref="F141:AC141" si="55">SUM(F133:F140)</f>
        <v>986.72905386693185</v>
      </c>
      <c r="G141" s="223">
        <f t="shared" si="55"/>
        <v>874.39285354525509</v>
      </c>
      <c r="H141" s="223">
        <f t="shared" si="55"/>
        <v>1002.9520208695531</v>
      </c>
      <c r="I141" s="223">
        <f t="shared" si="55"/>
        <v>1025.0426496699358</v>
      </c>
      <c r="J141" s="223">
        <f t="shared" si="55"/>
        <v>894.89724176330333</v>
      </c>
      <c r="K141" s="223">
        <f t="shared" si="55"/>
        <v>846.02730297999358</v>
      </c>
      <c r="L141" s="223">
        <f t="shared" si="55"/>
        <v>1043.9911643365895</v>
      </c>
      <c r="M141" s="223">
        <f>SUM(M133:M140)</f>
        <v>995.59676764912501</v>
      </c>
      <c r="N141" s="223">
        <f t="shared" si="55"/>
        <v>866.46425015171394</v>
      </c>
      <c r="O141" s="223">
        <f t="shared" si="55"/>
        <v>995.0234174760119</v>
      </c>
      <c r="P141" s="223">
        <f t="shared" si="55"/>
        <v>886.96863836976195</v>
      </c>
      <c r="Q141" s="223">
        <f t="shared" si="55"/>
        <v>838.09869958645231</v>
      </c>
      <c r="R141" s="223">
        <f t="shared" si="55"/>
        <v>1036.0625609430481</v>
      </c>
      <c r="S141" s="223">
        <f t="shared" si="55"/>
        <v>549.10023880193626</v>
      </c>
      <c r="T141" s="223">
        <f t="shared" si="55"/>
        <v>970.15965157256346</v>
      </c>
      <c r="U141" s="223">
        <f t="shared" si="55"/>
        <v>1141.5155754099437</v>
      </c>
      <c r="V141" s="223">
        <f t="shared" si="55"/>
        <v>841.6004842482655</v>
      </c>
      <c r="W141" s="223">
        <f t="shared" si="55"/>
        <v>970.15965157256346</v>
      </c>
      <c r="X141" s="223">
        <f>SUM(X133:X140)</f>
        <v>1141.5155754099437</v>
      </c>
      <c r="Y141" s="223">
        <f t="shared" si="55"/>
        <v>549.10023880193626</v>
      </c>
      <c r="Z141" s="223">
        <f t="shared" si="55"/>
        <v>970.15965157256346</v>
      </c>
      <c r="AA141" s="223">
        <f t="shared" si="55"/>
        <v>1141.5155754099437</v>
      </c>
      <c r="AB141" s="223">
        <f>SUM(AB133:AB140)</f>
        <v>748.06661109535219</v>
      </c>
      <c r="AC141" s="223">
        <f t="shared" si="55"/>
        <v>862.33795768497475</v>
      </c>
      <c r="AD141" s="223">
        <f>SUM(AD133:AD140)</f>
        <v>1014.6497108687199</v>
      </c>
    </row>
    <row r="142" spans="1:32" ht="65.25" customHeight="1">
      <c r="A142" s="572" t="s">
        <v>692</v>
      </c>
      <c r="B142" s="572"/>
      <c r="C142" s="572"/>
      <c r="D142" s="572"/>
      <c r="E142" s="572"/>
      <c r="F142" s="323"/>
      <c r="G142" s="323"/>
      <c r="H142" s="323"/>
      <c r="I142" s="323"/>
      <c r="J142" s="323"/>
      <c r="K142" s="323"/>
      <c r="L142" s="323"/>
      <c r="M142" s="323"/>
      <c r="N142" s="323"/>
      <c r="O142" s="323"/>
      <c r="P142" s="323"/>
      <c r="Q142" s="323"/>
      <c r="R142" s="323"/>
      <c r="S142" s="244"/>
      <c r="T142" s="244"/>
      <c r="U142" s="244"/>
      <c r="V142" s="244"/>
      <c r="W142" s="244"/>
      <c r="X142" s="244"/>
      <c r="Y142" s="244"/>
      <c r="Z142" s="244"/>
      <c r="AA142" s="244"/>
      <c r="AB142" s="244"/>
      <c r="AC142" s="244"/>
      <c r="AD142" s="244"/>
    </row>
    <row r="143" spans="1:32" ht="14.45" customHeight="1">
      <c r="A143" s="275" t="s">
        <v>237</v>
      </c>
      <c r="B143" s="276"/>
      <c r="C143" s="276"/>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76"/>
      <c r="AD143" s="277"/>
    </row>
    <row r="144" spans="1:32" ht="14.45" customHeight="1">
      <c r="A144" s="324"/>
      <c r="B144" s="324"/>
      <c r="C144" s="324"/>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row>
    <row r="145" spans="1:32" ht="14.45" customHeight="1">
      <c r="A145" s="573" t="s">
        <v>238</v>
      </c>
      <c r="B145" s="573"/>
      <c r="C145" s="573"/>
      <c r="D145" s="573"/>
      <c r="E145" s="214" t="s">
        <v>151</v>
      </c>
      <c r="F145" s="214" t="s">
        <v>151</v>
      </c>
      <c r="G145" s="214" t="s">
        <v>151</v>
      </c>
      <c r="H145" s="214" t="s">
        <v>151</v>
      </c>
      <c r="I145" s="214" t="s">
        <v>151</v>
      </c>
      <c r="J145" s="214" t="s">
        <v>151</v>
      </c>
      <c r="K145" s="214" t="s">
        <v>151</v>
      </c>
      <c r="L145" s="214" t="s">
        <v>151</v>
      </c>
      <c r="M145" s="215" t="s">
        <v>151</v>
      </c>
      <c r="N145" s="215" t="s">
        <v>151</v>
      </c>
      <c r="O145" s="215" t="s">
        <v>151</v>
      </c>
      <c r="P145" s="215" t="s">
        <v>151</v>
      </c>
      <c r="Q145" s="215" t="s">
        <v>151</v>
      </c>
      <c r="R145" s="215" t="s">
        <v>151</v>
      </c>
      <c r="S145" s="216" t="s">
        <v>151</v>
      </c>
      <c r="T145" s="216" t="s">
        <v>151</v>
      </c>
      <c r="U145" s="216" t="s">
        <v>151</v>
      </c>
      <c r="V145" s="217" t="s">
        <v>151</v>
      </c>
      <c r="W145" s="217" t="s">
        <v>151</v>
      </c>
      <c r="X145" s="217" t="s">
        <v>151</v>
      </c>
      <c r="Y145" s="218" t="s">
        <v>151</v>
      </c>
      <c r="Z145" s="218" t="s">
        <v>151</v>
      </c>
      <c r="AA145" s="218" t="s">
        <v>151</v>
      </c>
      <c r="AB145" s="219" t="s">
        <v>151</v>
      </c>
      <c r="AC145" s="219" t="s">
        <v>151</v>
      </c>
      <c r="AD145" s="219" t="s">
        <v>151</v>
      </c>
    </row>
    <row r="146" spans="1:32" ht="14.45" customHeight="1">
      <c r="A146" s="253" t="s">
        <v>87</v>
      </c>
      <c r="B146" s="536" t="s">
        <v>239</v>
      </c>
      <c r="C146" s="536"/>
      <c r="D146" s="536"/>
      <c r="E146" s="222">
        <f>E49</f>
        <v>2610.1529999999998</v>
      </c>
      <c r="F146" s="222">
        <f t="shared" ref="F146:AD146" si="56">F49</f>
        <v>1829.7239999999999</v>
      </c>
      <c r="G146" s="222">
        <f t="shared" si="56"/>
        <v>1524.77</v>
      </c>
      <c r="H146" s="222">
        <f t="shared" si="56"/>
        <v>1828.37</v>
      </c>
      <c r="I146" s="222">
        <f t="shared" si="56"/>
        <v>1844.076</v>
      </c>
      <c r="J146" s="222">
        <f t="shared" si="56"/>
        <v>1536.73</v>
      </c>
      <c r="K146" s="222">
        <f t="shared" si="56"/>
        <v>1524.77</v>
      </c>
      <c r="L146" s="222">
        <f t="shared" si="56"/>
        <v>1997.749</v>
      </c>
      <c r="M146" s="222">
        <f t="shared" si="56"/>
        <v>1829.7239999999999</v>
      </c>
      <c r="N146" s="222">
        <f t="shared" si="56"/>
        <v>1524.77</v>
      </c>
      <c r="O146" s="222">
        <f t="shared" si="56"/>
        <v>1828.37</v>
      </c>
      <c r="P146" s="222">
        <f t="shared" si="56"/>
        <v>1536.73</v>
      </c>
      <c r="Q146" s="222">
        <f t="shared" si="56"/>
        <v>1524.77</v>
      </c>
      <c r="R146" s="222">
        <f t="shared" si="56"/>
        <v>1997.749</v>
      </c>
      <c r="S146" s="222">
        <f t="shared" si="56"/>
        <v>901.00045454545455</v>
      </c>
      <c r="T146" s="222">
        <f t="shared" si="56"/>
        <v>1828.37</v>
      </c>
      <c r="U146" s="222">
        <f t="shared" si="56"/>
        <v>2305.0950000000003</v>
      </c>
      <c r="V146" s="222">
        <f t="shared" si="56"/>
        <v>1524.77</v>
      </c>
      <c r="W146" s="222">
        <f t="shared" si="56"/>
        <v>1828.37</v>
      </c>
      <c r="X146" s="222">
        <f t="shared" si="56"/>
        <v>2305.0950000000003</v>
      </c>
      <c r="Y146" s="222">
        <f t="shared" si="56"/>
        <v>901.00045454545455</v>
      </c>
      <c r="Z146" s="222">
        <f t="shared" si="56"/>
        <v>1828.37</v>
      </c>
      <c r="AA146" s="222">
        <f t="shared" si="56"/>
        <v>2305.0950000000003</v>
      </c>
      <c r="AB146" s="222">
        <f t="shared" si="56"/>
        <v>1524.77</v>
      </c>
      <c r="AC146" s="222">
        <f t="shared" si="56"/>
        <v>1828.37</v>
      </c>
      <c r="AD146" s="222">
        <f t="shared" si="56"/>
        <v>2305.0950000000003</v>
      </c>
    </row>
    <row r="147" spans="1:32" ht="14.45" customHeight="1">
      <c r="A147" s="253" t="s">
        <v>89</v>
      </c>
      <c r="B147" s="536" t="s">
        <v>240</v>
      </c>
      <c r="C147" s="536"/>
      <c r="D147" s="537"/>
      <c r="E147" s="222">
        <f>E86</f>
        <v>2122.6352476448001</v>
      </c>
      <c r="F147" s="222">
        <f t="shared" ref="F147:AD147" si="57">F86</f>
        <v>1735.0233987584002</v>
      </c>
      <c r="G147" s="222">
        <f t="shared" si="57"/>
        <v>1572.238465632</v>
      </c>
      <c r="H147" s="222">
        <f t="shared" si="57"/>
        <v>1734.300631392</v>
      </c>
      <c r="I147" s="222">
        <f t="shared" si="57"/>
        <v>1741.9669193216</v>
      </c>
      <c r="J147" s="222">
        <f t="shared" si="57"/>
        <v>1577.9051327679999</v>
      </c>
      <c r="K147" s="222">
        <f t="shared" si="57"/>
        <v>1572.238465632</v>
      </c>
      <c r="L147" s="222">
        <f t="shared" si="57"/>
        <v>1823.9978125984001</v>
      </c>
      <c r="M147" s="222">
        <f t="shared" si="57"/>
        <v>1701.8233987584003</v>
      </c>
      <c r="N147" s="222">
        <f t="shared" si="57"/>
        <v>1539.0384656320002</v>
      </c>
      <c r="O147" s="222">
        <f t="shared" si="57"/>
        <v>1701.1006313920002</v>
      </c>
      <c r="P147" s="222">
        <f t="shared" si="57"/>
        <v>1544.7051327679999</v>
      </c>
      <c r="Q147" s="222">
        <f t="shared" si="57"/>
        <v>1539.0384656320002</v>
      </c>
      <c r="R147" s="222">
        <f t="shared" si="57"/>
        <v>1790.7978125984</v>
      </c>
      <c r="S147" s="222">
        <f t="shared" si="57"/>
        <v>1101.9554842370908</v>
      </c>
      <c r="T147" s="222">
        <f t="shared" si="57"/>
        <v>1596.9868313920001</v>
      </c>
      <c r="U147" s="222">
        <f t="shared" si="57"/>
        <v>1851.4633991520002</v>
      </c>
      <c r="V147" s="222">
        <f t="shared" si="57"/>
        <v>1434.9246656320001</v>
      </c>
      <c r="W147" s="222">
        <f t="shared" si="57"/>
        <v>1596.9868313920001</v>
      </c>
      <c r="X147" s="222">
        <f t="shared" si="57"/>
        <v>1851.4633991520002</v>
      </c>
      <c r="Y147" s="222">
        <f t="shared" si="57"/>
        <v>1101.9554842370908</v>
      </c>
      <c r="Z147" s="222">
        <f t="shared" si="57"/>
        <v>1596.9868313920001</v>
      </c>
      <c r="AA147" s="222">
        <f t="shared" si="57"/>
        <v>1851.4633991520002</v>
      </c>
      <c r="AB147" s="222">
        <f t="shared" si="57"/>
        <v>1434.9246656320001</v>
      </c>
      <c r="AC147" s="222">
        <f t="shared" si="57"/>
        <v>1596.9868313920001</v>
      </c>
      <c r="AD147" s="222">
        <f t="shared" si="57"/>
        <v>1851.4633991520002</v>
      </c>
    </row>
    <row r="148" spans="1:32" ht="14.45" customHeight="1">
      <c r="A148" s="253" t="s">
        <v>91</v>
      </c>
      <c r="B148" s="536" t="s">
        <v>241</v>
      </c>
      <c r="C148" s="536"/>
      <c r="D148" s="537"/>
      <c r="E148" s="222">
        <f>E96</f>
        <v>177.57740909999998</v>
      </c>
      <c r="F148" s="222">
        <f t="shared" ref="F148:AD148" si="58">F96</f>
        <v>124.4822228</v>
      </c>
      <c r="G148" s="222">
        <f t="shared" si="58"/>
        <v>103.73518566666667</v>
      </c>
      <c r="H148" s="222">
        <f t="shared" si="58"/>
        <v>124.39010566666667</v>
      </c>
      <c r="I148" s="222">
        <f t="shared" si="58"/>
        <v>125.45863720000001</v>
      </c>
      <c r="J148" s="222">
        <f t="shared" si="58"/>
        <v>104.54886433333334</v>
      </c>
      <c r="K148" s="222">
        <f t="shared" si="58"/>
        <v>103.73518566666667</v>
      </c>
      <c r="L148" s="222">
        <f t="shared" si="58"/>
        <v>135.91352363333334</v>
      </c>
      <c r="M148" s="222">
        <f t="shared" si="58"/>
        <v>124.4822228</v>
      </c>
      <c r="N148" s="222">
        <f t="shared" si="58"/>
        <v>103.73518566666667</v>
      </c>
      <c r="O148" s="222">
        <f t="shared" si="58"/>
        <v>124.39010566666667</v>
      </c>
      <c r="P148" s="222">
        <f t="shared" si="58"/>
        <v>104.54886433333334</v>
      </c>
      <c r="Q148" s="222">
        <f t="shared" si="58"/>
        <v>103.73518566666667</v>
      </c>
      <c r="R148" s="222">
        <f t="shared" si="58"/>
        <v>135.91352363333334</v>
      </c>
      <c r="S148" s="222">
        <f t="shared" si="58"/>
        <v>61.298064257575767</v>
      </c>
      <c r="T148" s="222">
        <f t="shared" si="58"/>
        <v>124.39010566666667</v>
      </c>
      <c r="U148" s="222">
        <f t="shared" si="58"/>
        <v>156.82329650000003</v>
      </c>
      <c r="V148" s="222">
        <f t="shared" si="58"/>
        <v>103.73518566666667</v>
      </c>
      <c r="W148" s="222">
        <f t="shared" si="58"/>
        <v>124.39010566666667</v>
      </c>
      <c r="X148" s="222">
        <f t="shared" si="58"/>
        <v>156.82329650000003</v>
      </c>
      <c r="Y148" s="222">
        <f t="shared" si="58"/>
        <v>61.298064257575767</v>
      </c>
      <c r="Z148" s="222">
        <f t="shared" si="58"/>
        <v>124.39010566666667</v>
      </c>
      <c r="AA148" s="222">
        <f t="shared" si="58"/>
        <v>156.82329650000003</v>
      </c>
      <c r="AB148" s="222">
        <f t="shared" si="58"/>
        <v>103.73518566666667</v>
      </c>
      <c r="AC148" s="222">
        <f t="shared" si="58"/>
        <v>124.39010566666667</v>
      </c>
      <c r="AD148" s="222">
        <f t="shared" si="58"/>
        <v>156.82329650000003</v>
      </c>
    </row>
    <row r="149" spans="1:32" ht="14.45" customHeight="1">
      <c r="A149" s="253" t="s">
        <v>96</v>
      </c>
      <c r="B149" s="536" t="s">
        <v>242</v>
      </c>
      <c r="C149" s="536"/>
      <c r="D149" s="537"/>
      <c r="E149" s="222">
        <f>E122</f>
        <v>447.12866345419997</v>
      </c>
      <c r="F149" s="222">
        <f t="shared" ref="F149:AD149" si="59">F122</f>
        <v>313.43834886693332</v>
      </c>
      <c r="G149" s="222">
        <f t="shared" si="59"/>
        <v>261.19862405577777</v>
      </c>
      <c r="H149" s="222">
        <f t="shared" si="59"/>
        <v>313.20640376244444</v>
      </c>
      <c r="I149" s="222">
        <f t="shared" si="59"/>
        <v>315.89689845306663</v>
      </c>
      <c r="J149" s="222">
        <f t="shared" si="59"/>
        <v>263.24741537755551</v>
      </c>
      <c r="K149" s="222">
        <f t="shared" si="59"/>
        <v>261.19862405577777</v>
      </c>
      <c r="L149" s="222">
        <f t="shared" si="59"/>
        <v>342.22163999082221</v>
      </c>
      <c r="M149" s="222">
        <f t="shared" si="59"/>
        <v>313.43834886693332</v>
      </c>
      <c r="N149" s="222">
        <f t="shared" si="59"/>
        <v>261.19862405577777</v>
      </c>
      <c r="O149" s="222">
        <f t="shared" si="59"/>
        <v>313.20640376244444</v>
      </c>
      <c r="P149" s="222">
        <f t="shared" si="59"/>
        <v>263.24741537755551</v>
      </c>
      <c r="Q149" s="222">
        <f t="shared" si="59"/>
        <v>261.19862405577777</v>
      </c>
      <c r="R149" s="222">
        <f t="shared" si="59"/>
        <v>342.22163999082221</v>
      </c>
      <c r="S149" s="222">
        <f t="shared" si="59"/>
        <v>154.34464148750504</v>
      </c>
      <c r="T149" s="222">
        <f t="shared" si="59"/>
        <v>313.20640376244444</v>
      </c>
      <c r="U149" s="222">
        <f t="shared" si="59"/>
        <v>394.87112306633333</v>
      </c>
      <c r="V149" s="222">
        <f t="shared" si="59"/>
        <v>261.19862405577777</v>
      </c>
      <c r="W149" s="222">
        <f t="shared" si="59"/>
        <v>313.20640376244444</v>
      </c>
      <c r="X149" s="222">
        <f t="shared" si="59"/>
        <v>394.87112306633333</v>
      </c>
      <c r="Y149" s="222">
        <f t="shared" si="59"/>
        <v>154.34464148750504</v>
      </c>
      <c r="Z149" s="222">
        <f t="shared" si="59"/>
        <v>313.20640376244444</v>
      </c>
      <c r="AA149" s="222">
        <f t="shared" si="59"/>
        <v>394.87112306633333</v>
      </c>
      <c r="AB149" s="222">
        <f t="shared" si="59"/>
        <v>261.19862405577777</v>
      </c>
      <c r="AC149" s="222">
        <f t="shared" si="59"/>
        <v>313.20640376244444</v>
      </c>
      <c r="AD149" s="222">
        <f t="shared" si="59"/>
        <v>394.87112306633333</v>
      </c>
    </row>
    <row r="150" spans="1:32" ht="14.45" customHeight="1">
      <c r="A150" s="253" t="s">
        <v>156</v>
      </c>
      <c r="B150" s="536" t="s">
        <v>243</v>
      </c>
      <c r="C150" s="536"/>
      <c r="D150" s="537"/>
      <c r="E150" s="222">
        <f>E129</f>
        <v>71.69583333333334</v>
      </c>
      <c r="F150" s="222">
        <f t="shared" ref="F150:AD150" si="60">F129</f>
        <v>129.13216666666665</v>
      </c>
      <c r="G150" s="222">
        <f t="shared" si="60"/>
        <v>199.46456980952382</v>
      </c>
      <c r="H150" s="222">
        <f t="shared" si="60"/>
        <v>199.46456980952382</v>
      </c>
      <c r="I150" s="222">
        <f t="shared" si="60"/>
        <v>264.83490314285717</v>
      </c>
      <c r="J150" s="222">
        <f t="shared" si="60"/>
        <v>264.83490314285717</v>
      </c>
      <c r="K150" s="222">
        <f t="shared" si="60"/>
        <v>80.6875</v>
      </c>
      <c r="L150" s="222">
        <f t="shared" si="60"/>
        <v>71.69583333333334</v>
      </c>
      <c r="M150" s="222">
        <f t="shared" si="60"/>
        <v>199.46456980952382</v>
      </c>
      <c r="N150" s="222">
        <f t="shared" si="60"/>
        <v>199.46456980952382</v>
      </c>
      <c r="O150" s="222">
        <f t="shared" si="60"/>
        <v>199.46456980952382</v>
      </c>
      <c r="P150" s="222">
        <f t="shared" si="60"/>
        <v>264.83490314285717</v>
      </c>
      <c r="Q150" s="222">
        <f t="shared" si="60"/>
        <v>80.6875</v>
      </c>
      <c r="R150" s="222">
        <f t="shared" si="60"/>
        <v>71.69583333333334</v>
      </c>
      <c r="S150" s="222">
        <f t="shared" si="60"/>
        <v>80.6875</v>
      </c>
      <c r="T150" s="222">
        <f t="shared" si="60"/>
        <v>199.46456980952382</v>
      </c>
      <c r="U150" s="222">
        <f t="shared" si="60"/>
        <v>71.69583333333334</v>
      </c>
      <c r="V150" s="222">
        <f t="shared" si="60"/>
        <v>199.46456980952382</v>
      </c>
      <c r="W150" s="222">
        <f t="shared" si="60"/>
        <v>199.46456980952382</v>
      </c>
      <c r="X150" s="222">
        <f t="shared" si="60"/>
        <v>71.69583333333334</v>
      </c>
      <c r="Y150" s="222">
        <f t="shared" si="60"/>
        <v>80.6875</v>
      </c>
      <c r="Z150" s="222">
        <f t="shared" si="60"/>
        <v>199.46456980952382</v>
      </c>
      <c r="AA150" s="222">
        <f t="shared" si="60"/>
        <v>71.69583333333334</v>
      </c>
      <c r="AB150" s="222">
        <f t="shared" si="60"/>
        <v>199.46456980952382</v>
      </c>
      <c r="AC150" s="222">
        <f t="shared" si="60"/>
        <v>199.46456980952382</v>
      </c>
      <c r="AD150" s="222">
        <f t="shared" si="60"/>
        <v>71.69583333333334</v>
      </c>
    </row>
    <row r="151" spans="1:32" ht="14.45" customHeight="1">
      <c r="A151" s="566" t="s">
        <v>168</v>
      </c>
      <c r="B151" s="567"/>
      <c r="C151" s="567"/>
      <c r="D151" s="567"/>
      <c r="E151" s="222">
        <f>SUM(E146:E150)</f>
        <v>5429.1901535323332</v>
      </c>
      <c r="F151" s="222">
        <f t="shared" ref="F151:AC151" si="61">SUM(F146:F150)</f>
        <v>4131.8001370919992</v>
      </c>
      <c r="G151" s="222">
        <f t="shared" si="61"/>
        <v>3661.4068451639682</v>
      </c>
      <c r="H151" s="222">
        <f t="shared" si="61"/>
        <v>4199.7317106306355</v>
      </c>
      <c r="I151" s="222">
        <f t="shared" si="61"/>
        <v>4292.2333581175235</v>
      </c>
      <c r="J151" s="222">
        <f t="shared" si="61"/>
        <v>3747.2663156217459</v>
      </c>
      <c r="K151" s="222">
        <f t="shared" si="61"/>
        <v>3542.6297753544445</v>
      </c>
      <c r="L151" s="222">
        <f t="shared" si="61"/>
        <v>4371.577809555889</v>
      </c>
      <c r="M151" s="222">
        <f t="shared" si="61"/>
        <v>4168.9325402348568</v>
      </c>
      <c r="N151" s="222">
        <f t="shared" si="61"/>
        <v>3628.2068451639684</v>
      </c>
      <c r="O151" s="222">
        <f t="shared" si="61"/>
        <v>4166.5317106306356</v>
      </c>
      <c r="P151" s="222">
        <f t="shared" si="61"/>
        <v>3714.0663156217456</v>
      </c>
      <c r="Q151" s="222">
        <f t="shared" si="61"/>
        <v>3509.4297753544447</v>
      </c>
      <c r="R151" s="222">
        <f t="shared" si="61"/>
        <v>4338.3778095558882</v>
      </c>
      <c r="S151" s="222">
        <f t="shared" si="61"/>
        <v>2299.2861445276262</v>
      </c>
      <c r="T151" s="222">
        <f t="shared" si="61"/>
        <v>4062.4179106306351</v>
      </c>
      <c r="U151" s="222">
        <f t="shared" si="61"/>
        <v>4779.9486520516666</v>
      </c>
      <c r="V151" s="222">
        <f t="shared" si="61"/>
        <v>3524.0930451639683</v>
      </c>
      <c r="W151" s="222">
        <f t="shared" si="61"/>
        <v>4062.4179106306351</v>
      </c>
      <c r="X151" s="222">
        <f t="shared" si="61"/>
        <v>4779.9486520516666</v>
      </c>
      <c r="Y151" s="222">
        <f t="shared" si="61"/>
        <v>2299.2861445276262</v>
      </c>
      <c r="Z151" s="222">
        <f t="shared" si="61"/>
        <v>4062.4179106306351</v>
      </c>
      <c r="AA151" s="222">
        <f t="shared" si="61"/>
        <v>4779.9486520516666</v>
      </c>
      <c r="AB151" s="222">
        <f t="shared" si="61"/>
        <v>3524.0930451639683</v>
      </c>
      <c r="AC151" s="222">
        <f t="shared" si="61"/>
        <v>4062.4179106306351</v>
      </c>
      <c r="AD151" s="222">
        <f>SUM(AD146:AD150)</f>
        <v>4779.9486520516666</v>
      </c>
    </row>
    <row r="152" spans="1:32" ht="14.45" customHeight="1">
      <c r="A152" s="253" t="s">
        <v>158</v>
      </c>
      <c r="B152" s="536" t="s">
        <v>244</v>
      </c>
      <c r="C152" s="536"/>
      <c r="D152" s="536"/>
      <c r="E152" s="222">
        <f>E141</f>
        <v>1296.5631167312529</v>
      </c>
      <c r="F152" s="222">
        <f t="shared" ref="F152:AC152" si="62">F141</f>
        <v>986.72905386693185</v>
      </c>
      <c r="G152" s="222">
        <f t="shared" si="62"/>
        <v>874.39285354525509</v>
      </c>
      <c r="H152" s="222">
        <f t="shared" si="62"/>
        <v>1002.9520208695531</v>
      </c>
      <c r="I152" s="222">
        <f t="shared" si="62"/>
        <v>1025.0426496699358</v>
      </c>
      <c r="J152" s="222">
        <f t="shared" si="62"/>
        <v>894.89724176330333</v>
      </c>
      <c r="K152" s="222">
        <f t="shared" si="62"/>
        <v>846.02730297999358</v>
      </c>
      <c r="L152" s="222">
        <f t="shared" si="62"/>
        <v>1043.9911643365895</v>
      </c>
      <c r="M152" s="222">
        <f t="shared" si="62"/>
        <v>995.59676764912501</v>
      </c>
      <c r="N152" s="222">
        <f t="shared" si="62"/>
        <v>866.46425015171394</v>
      </c>
      <c r="O152" s="222">
        <f t="shared" si="62"/>
        <v>995.0234174760119</v>
      </c>
      <c r="P152" s="222">
        <f t="shared" si="62"/>
        <v>886.96863836976195</v>
      </c>
      <c r="Q152" s="222">
        <f t="shared" si="62"/>
        <v>838.09869958645231</v>
      </c>
      <c r="R152" s="222">
        <f t="shared" si="62"/>
        <v>1036.0625609430481</v>
      </c>
      <c r="S152" s="222">
        <f t="shared" si="62"/>
        <v>549.10023880193626</v>
      </c>
      <c r="T152" s="222">
        <f t="shared" si="62"/>
        <v>970.15965157256346</v>
      </c>
      <c r="U152" s="222">
        <f t="shared" si="62"/>
        <v>1141.5155754099437</v>
      </c>
      <c r="V152" s="222">
        <f t="shared" si="62"/>
        <v>841.6004842482655</v>
      </c>
      <c r="W152" s="222">
        <f t="shared" si="62"/>
        <v>970.15965157256346</v>
      </c>
      <c r="X152" s="222">
        <f t="shared" si="62"/>
        <v>1141.5155754099437</v>
      </c>
      <c r="Y152" s="222">
        <f t="shared" si="62"/>
        <v>549.10023880193626</v>
      </c>
      <c r="Z152" s="222">
        <f t="shared" si="62"/>
        <v>970.15965157256346</v>
      </c>
      <c r="AA152" s="222">
        <f>AA141</f>
        <v>1141.5155754099437</v>
      </c>
      <c r="AB152" s="222">
        <f>AB141</f>
        <v>748.06661109535219</v>
      </c>
      <c r="AC152" s="222">
        <f t="shared" si="62"/>
        <v>862.33795768497475</v>
      </c>
      <c r="AD152" s="222">
        <f>AD141</f>
        <v>1014.6497108687199</v>
      </c>
      <c r="AF152" s="311"/>
    </row>
    <row r="153" spans="1:32" ht="14.45" customHeight="1">
      <c r="A153" s="540" t="s">
        <v>245</v>
      </c>
      <c r="B153" s="540"/>
      <c r="C153" s="540"/>
      <c r="D153" s="540"/>
      <c r="E153" s="223">
        <f>(E151+E133+E134)/(1-(SUM($D137:$D140)))</f>
        <v>6725.7532702635863</v>
      </c>
      <c r="F153" s="223">
        <f>(F151+F133+F134)/(1-(SUM($D137:$D140)))</f>
        <v>5118.5291909589314</v>
      </c>
      <c r="G153" s="223">
        <f t="shared" ref="G153:Z153" si="63">(G151+G133+G134)/(1-(SUM($D137:$D140)))</f>
        <v>4535.7996987092229</v>
      </c>
      <c r="H153" s="223">
        <f t="shared" si="63"/>
        <v>5202.6837315001885</v>
      </c>
      <c r="I153" s="223">
        <f t="shared" si="63"/>
        <v>5317.27600778746</v>
      </c>
      <c r="J153" s="223">
        <f t="shared" si="63"/>
        <v>4642.1635573850499</v>
      </c>
      <c r="K153" s="223">
        <f t="shared" si="63"/>
        <v>4388.6570783344387</v>
      </c>
      <c r="L153" s="223">
        <f>(L151+L133+L134)/(1-(SUM($D137:$D140)))</f>
        <v>5415.5689738924784</v>
      </c>
      <c r="M153" s="223">
        <f t="shared" si="63"/>
        <v>5164.5293078839823</v>
      </c>
      <c r="N153" s="223">
        <f t="shared" si="63"/>
        <v>4494.6710953156826</v>
      </c>
      <c r="O153" s="223">
        <f>(O151+O133+O134)/(1-(SUM($D137:$D140)))</f>
        <v>5161.5551281066482</v>
      </c>
      <c r="P153" s="223">
        <f t="shared" si="63"/>
        <v>4601.0349539915078</v>
      </c>
      <c r="Q153" s="223">
        <f t="shared" si="63"/>
        <v>4347.5284749408966</v>
      </c>
      <c r="R153" s="223">
        <f t="shared" si="63"/>
        <v>5374.4403704989363</v>
      </c>
      <c r="S153" s="223">
        <f t="shared" si="63"/>
        <v>2848.3863833295627</v>
      </c>
      <c r="T153" s="223">
        <f t="shared" si="63"/>
        <v>5032.5775622031988</v>
      </c>
      <c r="U153" s="223">
        <f t="shared" si="63"/>
        <v>5921.4642274616108</v>
      </c>
      <c r="V153" s="223">
        <f t="shared" si="63"/>
        <v>4365.6935294122341</v>
      </c>
      <c r="W153" s="223">
        <f t="shared" si="63"/>
        <v>5032.5775622031988</v>
      </c>
      <c r="X153" s="223">
        <f t="shared" si="63"/>
        <v>5921.4642274616108</v>
      </c>
      <c r="Y153" s="223">
        <f t="shared" si="63"/>
        <v>2848.3863833295627</v>
      </c>
      <c r="Z153" s="223">
        <f t="shared" si="63"/>
        <v>5032.5775622031988</v>
      </c>
      <c r="AA153" s="223">
        <f>(AA151+AA133+AA134)/(1-(SUM($D137:$D140)))</f>
        <v>5921.4642274616108</v>
      </c>
      <c r="AB153" s="223">
        <f>(AB151+AB133+AB134)/(1-(SUM($C137:$C140)))</f>
        <v>4272.1596562593204</v>
      </c>
      <c r="AC153" s="223">
        <f>(AC151+AC133+AC134)/(1-(SUM($C137:$C140)))</f>
        <v>4924.7558683156094</v>
      </c>
      <c r="AD153" s="223">
        <f>(AD151+AD133+AD134)/(1-(SUM($C137:$C140)))</f>
        <v>5794.5983629203865</v>
      </c>
    </row>
    <row r="154" spans="1:32" ht="14.45" customHeight="1"/>
    <row r="155" spans="1:32" ht="14.45" customHeight="1">
      <c r="A155" s="275" t="s">
        <v>246</v>
      </c>
      <c r="B155" s="276"/>
      <c r="C155" s="276"/>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C155" s="276"/>
      <c r="AD155" s="277"/>
    </row>
    <row r="156" spans="1:32" ht="14.45" customHeight="1">
      <c r="A156" s="325"/>
      <c r="B156" s="325"/>
      <c r="C156" s="325"/>
      <c r="D156" s="325"/>
      <c r="E156" s="325"/>
      <c r="F156" s="325"/>
      <c r="G156" s="325"/>
      <c r="H156" s="325"/>
      <c r="I156" s="325"/>
      <c r="J156" s="325"/>
      <c r="K156" s="325"/>
      <c r="L156" s="325"/>
      <c r="M156" s="325"/>
      <c r="N156" s="325"/>
      <c r="O156" s="325"/>
      <c r="P156" s="325"/>
      <c r="Q156" s="325"/>
      <c r="R156" s="325"/>
      <c r="S156" s="325"/>
      <c r="T156" s="325"/>
      <c r="U156" s="325"/>
      <c r="V156" s="325"/>
      <c r="W156" s="325"/>
      <c r="X156" s="325"/>
      <c r="Y156" s="325"/>
      <c r="Z156" s="325"/>
      <c r="AA156" s="325"/>
      <c r="AB156" s="325"/>
      <c r="AC156" s="325"/>
      <c r="AD156" s="325"/>
    </row>
    <row r="157" spans="1:32" ht="14.45" customHeight="1">
      <c r="A157" s="540" t="s">
        <v>12</v>
      </c>
      <c r="B157" s="540"/>
      <c r="C157" s="540"/>
      <c r="D157" s="540"/>
      <c r="E157" s="214" t="s">
        <v>151</v>
      </c>
      <c r="F157" s="214" t="s">
        <v>151</v>
      </c>
      <c r="G157" s="214" t="s">
        <v>151</v>
      </c>
      <c r="H157" s="214" t="s">
        <v>151</v>
      </c>
      <c r="I157" s="214" t="s">
        <v>151</v>
      </c>
      <c r="J157" s="214" t="s">
        <v>151</v>
      </c>
      <c r="K157" s="214" t="s">
        <v>151</v>
      </c>
      <c r="L157" s="214" t="s">
        <v>151</v>
      </c>
      <c r="M157" s="215" t="s">
        <v>151</v>
      </c>
      <c r="N157" s="215" t="s">
        <v>151</v>
      </c>
      <c r="O157" s="215" t="s">
        <v>151</v>
      </c>
      <c r="P157" s="215" t="s">
        <v>151</v>
      </c>
      <c r="Q157" s="215" t="s">
        <v>151</v>
      </c>
      <c r="R157" s="215" t="s">
        <v>151</v>
      </c>
      <c r="S157" s="216" t="s">
        <v>151</v>
      </c>
      <c r="T157" s="216" t="s">
        <v>151</v>
      </c>
      <c r="U157" s="216" t="s">
        <v>151</v>
      </c>
      <c r="V157" s="217" t="s">
        <v>151</v>
      </c>
      <c r="W157" s="217" t="s">
        <v>151</v>
      </c>
      <c r="X157" s="217" t="s">
        <v>151</v>
      </c>
      <c r="Y157" s="218" t="s">
        <v>151</v>
      </c>
      <c r="Z157" s="218" t="s">
        <v>151</v>
      </c>
      <c r="AA157" s="218" t="s">
        <v>151</v>
      </c>
      <c r="AB157" s="219" t="s">
        <v>151</v>
      </c>
      <c r="AC157" s="219" t="s">
        <v>151</v>
      </c>
      <c r="AD157" s="219" t="s">
        <v>151</v>
      </c>
    </row>
    <row r="158" spans="1:32" ht="14.45" customHeight="1">
      <c r="A158" s="253" t="s">
        <v>87</v>
      </c>
      <c r="B158" s="536" t="s">
        <v>247</v>
      </c>
      <c r="C158" s="536"/>
      <c r="D158" s="536"/>
      <c r="E158" s="222">
        <f>E153*E22</f>
        <v>6725.7532702635863</v>
      </c>
      <c r="F158" s="222">
        <f t="shared" ref="F158:AD158" si="64">F153*F22</f>
        <v>5118.5291909589314</v>
      </c>
      <c r="G158" s="222">
        <f t="shared" si="64"/>
        <v>49893.796685801455</v>
      </c>
      <c r="H158" s="222">
        <f t="shared" si="64"/>
        <v>10405.367463000377</v>
      </c>
      <c r="I158" s="222">
        <f t="shared" si="64"/>
        <v>5317.27600778746</v>
      </c>
      <c r="J158" s="222">
        <f t="shared" si="64"/>
        <v>4642.1635573850499</v>
      </c>
      <c r="K158" s="222">
        <f t="shared" si="64"/>
        <v>21943.285391672194</v>
      </c>
      <c r="L158" s="222">
        <f t="shared" si="64"/>
        <v>21662.275895569914</v>
      </c>
      <c r="M158" s="222">
        <f t="shared" si="64"/>
        <v>5164.5293078839823</v>
      </c>
      <c r="N158" s="222">
        <f t="shared" si="64"/>
        <v>13484.013285947047</v>
      </c>
      <c r="O158" s="222">
        <f t="shared" si="64"/>
        <v>10323.110256213296</v>
      </c>
      <c r="P158" s="222">
        <f t="shared" si="64"/>
        <v>4601.0349539915078</v>
      </c>
      <c r="Q158" s="222">
        <f t="shared" si="64"/>
        <v>8695.0569498817931</v>
      </c>
      <c r="R158" s="222">
        <f t="shared" si="64"/>
        <v>10748.880740997873</v>
      </c>
      <c r="S158" s="222">
        <f t="shared" si="64"/>
        <v>2848.3863833295627</v>
      </c>
      <c r="T158" s="222">
        <f t="shared" si="64"/>
        <v>5032.5775622031988</v>
      </c>
      <c r="U158" s="222">
        <f>U153*U22</f>
        <v>5921.4642274616108</v>
      </c>
      <c r="V158" s="222">
        <f t="shared" si="64"/>
        <v>4365.6935294122341</v>
      </c>
      <c r="W158" s="222">
        <f t="shared" si="64"/>
        <v>5032.5775622031988</v>
      </c>
      <c r="X158" s="222">
        <f t="shared" si="64"/>
        <v>5921.4642274616108</v>
      </c>
      <c r="Y158" s="222">
        <f t="shared" si="64"/>
        <v>2848.3863833295627</v>
      </c>
      <c r="Z158" s="222">
        <f t="shared" si="64"/>
        <v>5032.5775622031988</v>
      </c>
      <c r="AA158" s="222">
        <f t="shared" si="64"/>
        <v>5921.4642274616108</v>
      </c>
      <c r="AB158" s="222">
        <f t="shared" si="64"/>
        <v>4272.1596562593204</v>
      </c>
      <c r="AC158" s="222">
        <f t="shared" si="64"/>
        <v>4924.7558683156094</v>
      </c>
      <c r="AD158" s="222">
        <f t="shared" si="64"/>
        <v>5794.5983629203865</v>
      </c>
    </row>
    <row r="159" spans="1:32" ht="14.45" customHeight="1">
      <c r="A159" s="253" t="s">
        <v>89</v>
      </c>
      <c r="B159" s="546" t="s">
        <v>248</v>
      </c>
      <c r="C159" s="547"/>
      <c r="D159" s="548"/>
      <c r="E159" s="222">
        <f>E158*12</f>
        <v>80709.039243163032</v>
      </c>
      <c r="F159" s="222">
        <f t="shared" ref="F159:AD159" si="65">F158*12</f>
        <v>61422.350291507173</v>
      </c>
      <c r="G159" s="222">
        <f t="shared" si="65"/>
        <v>598725.5602296174</v>
      </c>
      <c r="H159" s="222">
        <f t="shared" si="65"/>
        <v>124864.40955600452</v>
      </c>
      <c r="I159" s="222">
        <f t="shared" si="65"/>
        <v>63807.312093449524</v>
      </c>
      <c r="J159" s="222">
        <f t="shared" si="65"/>
        <v>55705.962688620595</v>
      </c>
      <c r="K159" s="222">
        <f t="shared" si="65"/>
        <v>263319.42470006633</v>
      </c>
      <c r="L159" s="222">
        <f t="shared" si="65"/>
        <v>259947.31074683898</v>
      </c>
      <c r="M159" s="222">
        <f t="shared" si="65"/>
        <v>61974.351694607787</v>
      </c>
      <c r="N159" s="222">
        <f t="shared" si="65"/>
        <v>161808.15943136456</v>
      </c>
      <c r="O159" s="222">
        <f t="shared" si="65"/>
        <v>123877.32307455956</v>
      </c>
      <c r="P159" s="222">
        <f t="shared" si="65"/>
        <v>55212.419447898093</v>
      </c>
      <c r="Q159" s="222">
        <f t="shared" si="65"/>
        <v>104340.68339858152</v>
      </c>
      <c r="R159" s="222">
        <f t="shared" si="65"/>
        <v>128986.56889197447</v>
      </c>
      <c r="S159" s="222">
        <f t="shared" si="65"/>
        <v>34180.636599954756</v>
      </c>
      <c r="T159" s="222">
        <f t="shared" si="65"/>
        <v>60390.930746438389</v>
      </c>
      <c r="U159" s="222">
        <f t="shared" si="65"/>
        <v>71057.570729539322</v>
      </c>
      <c r="V159" s="222">
        <f t="shared" si="65"/>
        <v>52388.322352946809</v>
      </c>
      <c r="W159" s="222">
        <f t="shared" si="65"/>
        <v>60390.930746438389</v>
      </c>
      <c r="X159" s="222">
        <f t="shared" si="65"/>
        <v>71057.570729539322</v>
      </c>
      <c r="Y159" s="222">
        <f t="shared" si="65"/>
        <v>34180.636599954756</v>
      </c>
      <c r="Z159" s="222">
        <f t="shared" si="65"/>
        <v>60390.930746438389</v>
      </c>
      <c r="AA159" s="222">
        <f t="shared" si="65"/>
        <v>71057.570729539322</v>
      </c>
      <c r="AB159" s="222">
        <f t="shared" si="65"/>
        <v>51265.915875111845</v>
      </c>
      <c r="AC159" s="222">
        <f t="shared" si="65"/>
        <v>59097.070419787313</v>
      </c>
      <c r="AD159" s="222">
        <f t="shared" si="65"/>
        <v>69535.180355044635</v>
      </c>
    </row>
    <row r="160" spans="1:32" ht="14.45" customHeight="1">
      <c r="A160" s="253" t="s">
        <v>91</v>
      </c>
      <c r="B160" s="536" t="s">
        <v>249</v>
      </c>
      <c r="C160" s="536"/>
      <c r="D160" s="537"/>
      <c r="E160" s="245">
        <f>E158*$E17</f>
        <v>242127.11772948911</v>
      </c>
      <c r="F160" s="245">
        <f t="shared" ref="F160:AC160" si="66">F158*$E17</f>
        <v>184267.05087452152</v>
      </c>
      <c r="G160" s="245">
        <f t="shared" si="66"/>
        <v>1796176.6806888524</v>
      </c>
      <c r="H160" s="245">
        <f t="shared" si="66"/>
        <v>374593.22866801359</v>
      </c>
      <c r="I160" s="245">
        <f t="shared" si="66"/>
        <v>191421.93628034857</v>
      </c>
      <c r="J160" s="245">
        <f t="shared" si="66"/>
        <v>167117.8880658618</v>
      </c>
      <c r="K160" s="245">
        <f t="shared" si="66"/>
        <v>789958.27410019899</v>
      </c>
      <c r="L160" s="245">
        <f t="shared" si="66"/>
        <v>779841.93224051688</v>
      </c>
      <c r="M160" s="245">
        <f t="shared" si="66"/>
        <v>185923.05508382336</v>
      </c>
      <c r="N160" s="245">
        <f t="shared" si="66"/>
        <v>485424.47829409369</v>
      </c>
      <c r="O160" s="245">
        <f t="shared" si="66"/>
        <v>371631.96922367869</v>
      </c>
      <c r="P160" s="245">
        <f t="shared" si="66"/>
        <v>165637.25834369427</v>
      </c>
      <c r="Q160" s="245">
        <f t="shared" si="66"/>
        <v>313022.05019574455</v>
      </c>
      <c r="R160" s="245">
        <f t="shared" si="66"/>
        <v>386959.70667592343</v>
      </c>
      <c r="S160" s="245">
        <f t="shared" si="66"/>
        <v>102541.90979986425</v>
      </c>
      <c r="T160" s="245">
        <f t="shared" si="66"/>
        <v>181172.79223931517</v>
      </c>
      <c r="U160" s="245">
        <f t="shared" si="66"/>
        <v>213172.712188618</v>
      </c>
      <c r="V160" s="245">
        <f t="shared" si="66"/>
        <v>157164.96705884044</v>
      </c>
      <c r="W160" s="245">
        <f t="shared" si="66"/>
        <v>181172.79223931517</v>
      </c>
      <c r="X160" s="245">
        <f t="shared" si="66"/>
        <v>213172.712188618</v>
      </c>
      <c r="Y160" s="245">
        <f t="shared" si="66"/>
        <v>102541.90979986425</v>
      </c>
      <c r="Z160" s="245">
        <f t="shared" si="66"/>
        <v>181172.79223931517</v>
      </c>
      <c r="AA160" s="245">
        <f t="shared" si="66"/>
        <v>213172.712188618</v>
      </c>
      <c r="AB160" s="245">
        <f t="shared" si="66"/>
        <v>153797.74762533553</v>
      </c>
      <c r="AC160" s="245">
        <f t="shared" si="66"/>
        <v>177291.21125936194</v>
      </c>
      <c r="AD160" s="245">
        <f>AD158*$E17</f>
        <v>208605.5410651339</v>
      </c>
    </row>
    <row r="162" spans="7:7">
      <c r="G162" s="246"/>
    </row>
    <row r="163" spans="7:7">
      <c r="G163" s="246"/>
    </row>
  </sheetData>
  <sheetProtection algorithmName="SHA-512" hashValue="FJKfGfGQ5X8rccWThsNUdYbY7NlhH9Jhqb/DdY4AkGOHb3edLWqO6P2hYJEgLjzyrbPhTItbRdFqWd9F3QnfYw==" saltValue="+ShuaCTUaD7lzxarA9EsFg==" spinCount="100000" sheet="1" objects="1" scenarios="1" selectLockedCells="1"/>
  <mergeCells count="132">
    <mergeCell ref="C93:D93"/>
    <mergeCell ref="C94:D94"/>
    <mergeCell ref="C61:D61"/>
    <mergeCell ref="C62:D62"/>
    <mergeCell ref="C108:D108"/>
    <mergeCell ref="C110:D110"/>
    <mergeCell ref="C111:D111"/>
    <mergeCell ref="C114:D114"/>
    <mergeCell ref="C115:D115"/>
    <mergeCell ref="C103:D103"/>
    <mergeCell ref="C104:D104"/>
    <mergeCell ref="C105:D105"/>
    <mergeCell ref="C106:D106"/>
    <mergeCell ref="C107:D107"/>
    <mergeCell ref="C95:D95"/>
    <mergeCell ref="C96:D96"/>
    <mergeCell ref="C100:D100"/>
    <mergeCell ref="C101:D101"/>
    <mergeCell ref="C102:D102"/>
    <mergeCell ref="C67:D67"/>
    <mergeCell ref="C68:D68"/>
    <mergeCell ref="C89:D89"/>
    <mergeCell ref="C90:D90"/>
    <mergeCell ref="C91:D91"/>
    <mergeCell ref="A86:D86"/>
    <mergeCell ref="C92:D92"/>
    <mergeCell ref="A22:D22"/>
    <mergeCell ref="B32:D32"/>
    <mergeCell ref="B33:D33"/>
    <mergeCell ref="B31:D31"/>
    <mergeCell ref="C46:D46"/>
    <mergeCell ref="C47:D47"/>
    <mergeCell ref="C48:D48"/>
    <mergeCell ref="C53:D53"/>
    <mergeCell ref="C54:D54"/>
    <mergeCell ref="B23:C23"/>
    <mergeCell ref="B24:C24"/>
    <mergeCell ref="B25:C25"/>
    <mergeCell ref="A68:B68"/>
    <mergeCell ref="B82:D82"/>
    <mergeCell ref="B74:D74"/>
    <mergeCell ref="B75:D75"/>
    <mergeCell ref="B30:D30"/>
    <mergeCell ref="A56:B56"/>
    <mergeCell ref="B72:D72"/>
    <mergeCell ref="B73:D73"/>
    <mergeCell ref="C38:D38"/>
    <mergeCell ref="C39:D39"/>
    <mergeCell ref="C40:D40"/>
    <mergeCell ref="C41:D41"/>
    <mergeCell ref="C42:D42"/>
    <mergeCell ref="C43:D43"/>
    <mergeCell ref="C44:D44"/>
    <mergeCell ref="C45:D45"/>
    <mergeCell ref="C63:D63"/>
    <mergeCell ref="C64:D64"/>
    <mergeCell ref="C65:D65"/>
    <mergeCell ref="C66:D66"/>
    <mergeCell ref="C55:D55"/>
    <mergeCell ref="C56:D56"/>
    <mergeCell ref="C59:D59"/>
    <mergeCell ref="C60:D60"/>
    <mergeCell ref="B160:D160"/>
    <mergeCell ref="B158:D158"/>
    <mergeCell ref="A157:D157"/>
    <mergeCell ref="B150:D150"/>
    <mergeCell ref="A151:D151"/>
    <mergeCell ref="B159:D159"/>
    <mergeCell ref="B126:D126"/>
    <mergeCell ref="B127:D127"/>
    <mergeCell ref="B128:D128"/>
    <mergeCell ref="A129:D129"/>
    <mergeCell ref="B152:D152"/>
    <mergeCell ref="A153:D153"/>
    <mergeCell ref="B149:D149"/>
    <mergeCell ref="A142:E142"/>
    <mergeCell ref="A141:D141"/>
    <mergeCell ref="A145:D145"/>
    <mergeCell ref="B146:D146"/>
    <mergeCell ref="B147:D147"/>
    <mergeCell ref="B148:D148"/>
    <mergeCell ref="C132:D132"/>
    <mergeCell ref="C133:D133"/>
    <mergeCell ref="C134:D134"/>
    <mergeCell ref="C135:D135"/>
    <mergeCell ref="A1:AD1"/>
    <mergeCell ref="A20:D20"/>
    <mergeCell ref="A21:D21"/>
    <mergeCell ref="B18:D18"/>
    <mergeCell ref="B17:D17"/>
    <mergeCell ref="B15:D15"/>
    <mergeCell ref="A9:AD9"/>
    <mergeCell ref="B14:D14"/>
    <mergeCell ref="L16:M16"/>
    <mergeCell ref="L17:M17"/>
    <mergeCell ref="V19:X19"/>
    <mergeCell ref="A13:J13"/>
    <mergeCell ref="L13:M13"/>
    <mergeCell ref="A2:AD2"/>
    <mergeCell ref="A3:AD3"/>
    <mergeCell ref="Y19:AA19"/>
    <mergeCell ref="A4:AD4"/>
    <mergeCell ref="A5:B5"/>
    <mergeCell ref="A7:AD7"/>
    <mergeCell ref="A8:AD8"/>
    <mergeCell ref="A10:AD10"/>
    <mergeCell ref="A11:AD11"/>
    <mergeCell ref="E19:L19"/>
    <mergeCell ref="B125:D125"/>
    <mergeCell ref="A19:D19"/>
    <mergeCell ref="S19:U19"/>
    <mergeCell ref="B16:D16"/>
    <mergeCell ref="B71:D71"/>
    <mergeCell ref="B34:D34"/>
    <mergeCell ref="A49:D49"/>
    <mergeCell ref="AB19:AD19"/>
    <mergeCell ref="M19:R19"/>
    <mergeCell ref="B83:D83"/>
    <mergeCell ref="B121:D121"/>
    <mergeCell ref="A122:D122"/>
    <mergeCell ref="A116:D116"/>
    <mergeCell ref="B119:D119"/>
    <mergeCell ref="B120:D120"/>
    <mergeCell ref="B76:D76"/>
    <mergeCell ref="B84:D84"/>
    <mergeCell ref="A79:D79"/>
    <mergeCell ref="B77:D77"/>
    <mergeCell ref="B85:D85"/>
    <mergeCell ref="A96:B96"/>
    <mergeCell ref="A111:B111"/>
    <mergeCell ref="A107:B107"/>
    <mergeCell ref="A109:D109"/>
  </mergeCells>
  <printOptions horizontalCentered="1"/>
  <pageMargins left="0.25" right="0.25" top="0.75" bottom="0.75" header="0.3" footer="0.3"/>
  <pageSetup paperSize="9" scale="65" orientation="landscape" r:id="rId1"/>
  <headerFooter>
    <oddFooter>&amp;L&amp;F&amp;C&amp;P/&amp;N&amp;R&amp;A</oddFooter>
  </headerFooter>
  <drawing r:id="rId2"/>
</worksheet>
</file>

<file path=xl/worksheets/sheet6.xml><?xml version="1.0" encoding="utf-8"?>
<worksheet xmlns="http://schemas.openxmlformats.org/spreadsheetml/2006/main" xmlns:r="http://schemas.openxmlformats.org/officeDocument/2006/relationships">
  <sheetPr>
    <tabColor theme="0"/>
    <pageSetUpPr fitToPage="1"/>
  </sheetPr>
  <dimension ref="A1:Z1000"/>
  <sheetViews>
    <sheetView showGridLines="0" topLeftCell="A4" zoomScaleNormal="100" zoomScaleSheetLayoutView="90" workbookViewId="0">
      <selection activeCell="O24" sqref="O24"/>
    </sheetView>
  </sheetViews>
  <sheetFormatPr defaultColWidth="15.140625" defaultRowHeight="15"/>
  <cols>
    <col min="1" max="11" width="8" customWidth="1"/>
    <col min="12" max="26" width="7" customWidth="1"/>
  </cols>
  <sheetData>
    <row r="1" spans="1:26" ht="12.75" customHeight="1">
      <c r="A1" s="9"/>
      <c r="B1" s="10"/>
      <c r="C1" s="10"/>
      <c r="D1" s="10"/>
      <c r="E1" s="10"/>
      <c r="F1" s="10"/>
      <c r="G1" s="10"/>
      <c r="H1" s="10"/>
      <c r="I1" s="10"/>
      <c r="J1" s="11"/>
      <c r="K1" s="12"/>
      <c r="L1" s="12"/>
      <c r="M1" s="12"/>
      <c r="N1" s="12"/>
      <c r="O1" s="12"/>
      <c r="P1" s="12"/>
      <c r="Q1" s="12"/>
      <c r="R1" s="12"/>
      <c r="S1" s="12"/>
      <c r="T1" s="12"/>
      <c r="U1" s="12"/>
      <c r="V1" s="12"/>
      <c r="W1" s="12"/>
      <c r="X1" s="12"/>
      <c r="Y1" s="12"/>
      <c r="Z1" s="12"/>
    </row>
    <row r="2" spans="1:26" ht="12.75" customHeight="1">
      <c r="A2" s="13"/>
      <c r="B2" s="14"/>
      <c r="C2" s="14"/>
      <c r="D2" s="14"/>
      <c r="E2" s="14"/>
      <c r="F2" s="14"/>
      <c r="G2" s="14"/>
      <c r="H2" s="14"/>
      <c r="I2" s="14"/>
      <c r="J2" s="15"/>
      <c r="K2" s="12"/>
      <c r="L2" s="12"/>
      <c r="M2" s="12"/>
      <c r="N2" s="12"/>
      <c r="O2" s="12"/>
      <c r="P2" s="12"/>
      <c r="Q2" s="12"/>
      <c r="R2" s="12"/>
      <c r="S2" s="12"/>
      <c r="T2" s="12"/>
      <c r="U2" s="12"/>
      <c r="V2" s="12"/>
      <c r="W2" s="12"/>
      <c r="X2" s="12"/>
      <c r="Y2" s="12"/>
      <c r="Z2" s="12"/>
    </row>
    <row r="3" spans="1:26" ht="12.75" customHeight="1">
      <c r="A3" s="13"/>
      <c r="B3" s="14"/>
      <c r="C3" s="14"/>
      <c r="D3" s="14"/>
      <c r="E3" s="14"/>
      <c r="F3" s="14"/>
      <c r="G3" s="14"/>
      <c r="H3" s="14"/>
      <c r="I3" s="14"/>
      <c r="J3" s="15"/>
      <c r="K3" s="12"/>
      <c r="L3" s="12"/>
      <c r="M3" s="12"/>
      <c r="N3" s="12"/>
      <c r="O3" s="12"/>
      <c r="P3" s="12"/>
      <c r="Q3" s="12"/>
      <c r="R3" s="12"/>
      <c r="S3" s="12"/>
      <c r="T3" s="12"/>
      <c r="U3" s="12"/>
      <c r="V3" s="12"/>
      <c r="W3" s="12"/>
      <c r="X3" s="12"/>
      <c r="Y3" s="12"/>
      <c r="Z3" s="12"/>
    </row>
    <row r="4" spans="1:26" ht="12.75" customHeight="1">
      <c r="A4" s="13"/>
      <c r="B4" s="14"/>
      <c r="C4" s="14"/>
      <c r="D4" s="14"/>
      <c r="E4" s="14"/>
      <c r="F4" s="14"/>
      <c r="G4" s="14"/>
      <c r="H4" s="14"/>
      <c r="I4" s="14"/>
      <c r="J4" s="15"/>
      <c r="K4" s="12"/>
      <c r="L4" s="12"/>
      <c r="M4" s="12"/>
      <c r="N4" s="12"/>
      <c r="O4" s="12"/>
      <c r="P4" s="12"/>
      <c r="Q4" s="12"/>
      <c r="R4" s="12"/>
      <c r="S4" s="12"/>
      <c r="T4" s="12"/>
      <c r="U4" s="12"/>
      <c r="V4" s="12"/>
      <c r="W4" s="12"/>
      <c r="X4" s="12"/>
      <c r="Y4" s="12"/>
      <c r="Z4" s="12"/>
    </row>
    <row r="5" spans="1:26" ht="12.75" customHeight="1">
      <c r="A5" s="13"/>
      <c r="B5" s="14"/>
      <c r="C5" s="14"/>
      <c r="D5" s="14"/>
      <c r="E5" s="14"/>
      <c r="F5" s="14"/>
      <c r="G5" s="14"/>
      <c r="H5" s="14"/>
      <c r="I5" s="14"/>
      <c r="J5" s="15"/>
      <c r="K5" s="12"/>
      <c r="L5" s="12"/>
      <c r="M5" s="12"/>
      <c r="N5" s="12"/>
      <c r="O5" s="12"/>
      <c r="P5" s="12"/>
      <c r="Q5" s="12"/>
      <c r="R5" s="12"/>
      <c r="S5" s="12"/>
      <c r="T5" s="12"/>
      <c r="U5" s="12"/>
      <c r="V5" s="12"/>
      <c r="W5" s="12"/>
      <c r="X5" s="12"/>
      <c r="Y5" s="12"/>
      <c r="Z5" s="12"/>
    </row>
    <row r="6" spans="1:26" ht="12.75" customHeight="1">
      <c r="A6" s="13"/>
      <c r="B6" s="14"/>
      <c r="C6" s="14"/>
      <c r="D6" s="14"/>
      <c r="E6" s="14"/>
      <c r="F6" s="14"/>
      <c r="G6" s="14"/>
      <c r="H6" s="14"/>
      <c r="I6" s="14"/>
      <c r="J6" s="15"/>
      <c r="K6" s="12"/>
      <c r="L6" s="12"/>
      <c r="M6" s="12"/>
      <c r="N6" s="12"/>
      <c r="O6" s="12"/>
      <c r="P6" s="12"/>
      <c r="Q6" s="12"/>
      <c r="R6" s="12"/>
      <c r="S6" s="12"/>
      <c r="T6" s="12"/>
      <c r="U6" s="12"/>
      <c r="V6" s="12"/>
      <c r="W6" s="12"/>
      <c r="X6" s="12"/>
      <c r="Y6" s="12"/>
      <c r="Z6" s="12"/>
    </row>
    <row r="7" spans="1:26" ht="4.5" customHeight="1">
      <c r="A7" s="530"/>
      <c r="B7" s="523"/>
      <c r="C7" s="523"/>
      <c r="D7" s="523"/>
      <c r="E7" s="523"/>
      <c r="F7" s="523"/>
      <c r="G7" s="523"/>
      <c r="H7" s="523"/>
      <c r="I7" s="523"/>
      <c r="J7" s="524"/>
      <c r="K7" s="12"/>
      <c r="L7" s="12"/>
      <c r="M7" s="12"/>
      <c r="N7" s="12"/>
      <c r="O7" s="12"/>
      <c r="P7" s="12"/>
      <c r="Q7" s="12"/>
      <c r="R7" s="12"/>
      <c r="S7" s="12"/>
      <c r="T7" s="12"/>
      <c r="U7" s="12"/>
      <c r="V7" s="12"/>
      <c r="W7" s="12"/>
      <c r="X7" s="12"/>
      <c r="Y7" s="12"/>
      <c r="Z7" s="12"/>
    </row>
    <row r="8" spans="1:26" ht="12.75" customHeight="1">
      <c r="A8" s="13"/>
      <c r="B8" s="14"/>
      <c r="C8" s="14"/>
      <c r="D8" s="14"/>
      <c r="E8" s="14"/>
      <c r="F8" s="14"/>
      <c r="G8" s="14"/>
      <c r="H8" s="14"/>
      <c r="I8" s="14"/>
      <c r="J8" s="15"/>
      <c r="K8" s="12"/>
      <c r="L8" s="12"/>
      <c r="M8" s="12"/>
      <c r="N8" s="12"/>
      <c r="O8" s="12"/>
      <c r="P8" s="12"/>
      <c r="Q8" s="12"/>
      <c r="R8" s="12"/>
      <c r="S8" s="12"/>
      <c r="T8" s="12"/>
      <c r="U8" s="12"/>
      <c r="V8" s="12"/>
      <c r="W8" s="12"/>
      <c r="X8" s="12"/>
      <c r="Y8" s="12"/>
      <c r="Z8" s="12"/>
    </row>
    <row r="9" spans="1:26" ht="12.75" customHeight="1">
      <c r="A9" s="13"/>
      <c r="B9" s="14"/>
      <c r="C9" s="14"/>
      <c r="D9" s="14"/>
      <c r="E9" s="14"/>
      <c r="F9" s="14"/>
      <c r="G9" s="14"/>
      <c r="H9" s="14"/>
      <c r="I9" s="14"/>
      <c r="J9" s="15"/>
      <c r="K9" s="12"/>
      <c r="L9" s="12"/>
      <c r="M9" s="12"/>
      <c r="N9" s="12"/>
      <c r="O9" s="12"/>
      <c r="P9" s="12"/>
      <c r="Q9" s="12"/>
      <c r="R9" s="12"/>
      <c r="S9" s="12"/>
      <c r="T9" s="12"/>
      <c r="U9" s="12"/>
      <c r="V9" s="12"/>
      <c r="W9" s="12"/>
      <c r="X9" s="12"/>
      <c r="Y9" s="12"/>
      <c r="Z9" s="12"/>
    </row>
    <row r="10" spans="1:26" ht="12.75" customHeight="1">
      <c r="A10" s="13"/>
      <c r="B10" s="14"/>
      <c r="C10" s="14"/>
      <c r="D10" s="14"/>
      <c r="E10" s="14"/>
      <c r="F10" s="14"/>
      <c r="G10" s="14"/>
      <c r="H10" s="14"/>
      <c r="I10" s="14"/>
      <c r="J10" s="15"/>
      <c r="K10" s="12"/>
      <c r="L10" s="12"/>
      <c r="M10" s="12"/>
      <c r="N10" s="12"/>
      <c r="O10" s="12"/>
      <c r="P10" s="12"/>
      <c r="Q10" s="12"/>
      <c r="R10" s="12"/>
      <c r="S10" s="12"/>
      <c r="T10" s="12"/>
      <c r="U10" s="12"/>
      <c r="V10" s="12"/>
      <c r="W10" s="12"/>
      <c r="X10" s="12"/>
      <c r="Y10" s="12"/>
      <c r="Z10" s="12"/>
    </row>
    <row r="11" spans="1:26" ht="12.75" customHeight="1">
      <c r="A11" s="13"/>
      <c r="B11" s="14"/>
      <c r="C11" s="14"/>
      <c r="D11" s="14"/>
      <c r="E11" s="14"/>
      <c r="F11" s="14"/>
      <c r="G11" s="14"/>
      <c r="H11" s="14"/>
      <c r="I11" s="14"/>
      <c r="J11" s="15"/>
      <c r="K11" s="12"/>
      <c r="L11" s="12"/>
      <c r="M11" s="12"/>
      <c r="N11" s="12"/>
      <c r="O11" s="12"/>
      <c r="P11" s="12"/>
      <c r="Q11" s="12"/>
      <c r="R11" s="12"/>
      <c r="S11" s="12"/>
      <c r="T11" s="12"/>
      <c r="U11" s="12"/>
      <c r="V11" s="12"/>
      <c r="W11" s="12"/>
      <c r="X11" s="12"/>
      <c r="Y11" s="12"/>
      <c r="Z11" s="12"/>
    </row>
    <row r="12" spans="1:26" ht="12.75" customHeight="1">
      <c r="A12" s="13"/>
      <c r="B12" s="14"/>
      <c r="C12" s="14"/>
      <c r="D12" s="14"/>
      <c r="E12" s="14"/>
      <c r="F12" s="14"/>
      <c r="G12" s="14"/>
      <c r="H12" s="14"/>
      <c r="I12" s="14"/>
      <c r="J12" s="15"/>
      <c r="K12" s="12"/>
      <c r="L12" s="12"/>
      <c r="M12" s="12"/>
      <c r="N12" s="12"/>
      <c r="O12" s="12"/>
      <c r="P12" s="12"/>
      <c r="Q12" s="12"/>
      <c r="R12" s="12"/>
      <c r="S12" s="12"/>
      <c r="T12" s="12"/>
      <c r="U12" s="12"/>
      <c r="V12" s="12"/>
      <c r="W12" s="12"/>
      <c r="X12" s="12"/>
      <c r="Y12" s="12"/>
      <c r="Z12" s="12"/>
    </row>
    <row r="13" spans="1:26" ht="12.75" customHeight="1">
      <c r="A13" s="13"/>
      <c r="B13" s="14"/>
      <c r="C13" s="14"/>
      <c r="D13" s="14"/>
      <c r="E13" s="14"/>
      <c r="F13" s="14"/>
      <c r="G13" s="14"/>
      <c r="H13" s="14"/>
      <c r="I13" s="14"/>
      <c r="J13" s="15"/>
      <c r="K13" s="12"/>
      <c r="L13" s="12"/>
      <c r="M13" s="12"/>
      <c r="N13" s="12"/>
      <c r="O13" s="12"/>
      <c r="P13" s="12"/>
      <c r="Q13" s="12"/>
      <c r="R13" s="12"/>
      <c r="S13" s="12"/>
      <c r="T13" s="12"/>
      <c r="U13" s="12"/>
      <c r="V13" s="12"/>
      <c r="W13" s="12"/>
      <c r="X13" s="12"/>
      <c r="Y13" s="12"/>
      <c r="Z13" s="12"/>
    </row>
    <row r="14" spans="1:26" ht="12.75" customHeight="1">
      <c r="A14" s="13"/>
      <c r="B14" s="14"/>
      <c r="C14" s="14"/>
      <c r="D14" s="14"/>
      <c r="E14" s="14"/>
      <c r="F14" s="14"/>
      <c r="G14" s="14"/>
      <c r="H14" s="14"/>
      <c r="I14" s="14"/>
      <c r="J14" s="15"/>
      <c r="K14" s="12"/>
      <c r="L14" s="12"/>
      <c r="M14" s="12"/>
      <c r="N14" s="12"/>
      <c r="O14" s="12"/>
      <c r="P14" s="12"/>
      <c r="Q14" s="12"/>
      <c r="R14" s="12"/>
      <c r="S14" s="12"/>
      <c r="T14" s="12"/>
      <c r="U14" s="12"/>
      <c r="V14" s="12"/>
      <c r="W14" s="12"/>
      <c r="X14" s="12"/>
      <c r="Y14" s="12"/>
      <c r="Z14" s="12"/>
    </row>
    <row r="15" spans="1:26" ht="12.75" customHeight="1">
      <c r="A15" s="13"/>
      <c r="B15" s="14"/>
      <c r="C15" s="14"/>
      <c r="D15" s="14"/>
      <c r="E15" s="14"/>
      <c r="F15" s="14"/>
      <c r="G15" s="14"/>
      <c r="H15" s="14"/>
      <c r="I15" s="14"/>
      <c r="J15" s="15"/>
      <c r="K15" s="12"/>
      <c r="L15" s="12"/>
      <c r="M15" s="12"/>
      <c r="N15" s="12"/>
      <c r="O15" s="12"/>
      <c r="P15" s="12"/>
      <c r="Q15" s="12"/>
      <c r="R15" s="12"/>
      <c r="S15" s="12"/>
      <c r="T15" s="12"/>
      <c r="U15" s="12"/>
      <c r="V15" s="12"/>
      <c r="W15" s="12"/>
      <c r="X15" s="12"/>
      <c r="Y15" s="12"/>
      <c r="Z15" s="12"/>
    </row>
    <row r="16" spans="1:26" ht="12.75" customHeight="1">
      <c r="A16" s="13"/>
      <c r="B16" s="14"/>
      <c r="C16" s="14"/>
      <c r="D16" s="14"/>
      <c r="E16" s="14"/>
      <c r="F16" s="14"/>
      <c r="G16" s="14"/>
      <c r="H16" s="14"/>
      <c r="I16" s="14"/>
      <c r="J16" s="15"/>
      <c r="K16" s="12"/>
      <c r="L16" s="12"/>
      <c r="M16" s="12"/>
      <c r="N16" s="12"/>
      <c r="O16" s="12"/>
      <c r="P16" s="12"/>
      <c r="Q16" s="12"/>
      <c r="R16" s="12"/>
      <c r="S16" s="12"/>
      <c r="T16" s="12"/>
      <c r="U16" s="12"/>
      <c r="V16" s="12"/>
      <c r="W16" s="12"/>
      <c r="X16" s="12"/>
      <c r="Y16" s="12"/>
      <c r="Z16" s="12"/>
    </row>
    <row r="17" spans="1:26" ht="12.75" customHeight="1">
      <c r="A17" s="13"/>
      <c r="B17" s="14"/>
      <c r="C17" s="14"/>
      <c r="D17" s="14"/>
      <c r="E17" s="14"/>
      <c r="F17" s="14"/>
      <c r="G17" s="14"/>
      <c r="H17" s="14"/>
      <c r="I17" s="14"/>
      <c r="J17" s="15"/>
      <c r="K17" s="12"/>
      <c r="L17" s="12"/>
      <c r="M17" s="12"/>
      <c r="N17" s="12"/>
      <c r="O17" s="12"/>
      <c r="P17" s="12"/>
      <c r="Q17" s="12"/>
      <c r="R17" s="12"/>
      <c r="S17" s="12"/>
      <c r="T17" s="12"/>
      <c r="U17" s="12"/>
      <c r="V17" s="12"/>
      <c r="W17" s="12"/>
      <c r="X17" s="12"/>
      <c r="Y17" s="12"/>
      <c r="Z17" s="12"/>
    </row>
    <row r="18" spans="1:26" ht="12.75" customHeight="1">
      <c r="A18" s="13"/>
      <c r="B18" s="14"/>
      <c r="C18" s="14"/>
      <c r="D18" s="14"/>
      <c r="E18" s="14"/>
      <c r="F18" s="14"/>
      <c r="G18" s="14"/>
      <c r="H18" s="14"/>
      <c r="I18" s="14"/>
      <c r="J18" s="15"/>
      <c r="K18" s="12"/>
      <c r="L18" s="12"/>
      <c r="M18" s="12"/>
      <c r="N18" s="12"/>
      <c r="O18" s="12"/>
      <c r="P18" s="12"/>
      <c r="Q18" s="12"/>
      <c r="R18" s="12"/>
      <c r="S18" s="12"/>
      <c r="T18" s="12"/>
      <c r="U18" s="12"/>
      <c r="V18" s="12"/>
      <c r="W18" s="12"/>
      <c r="X18" s="12"/>
      <c r="Y18" s="12"/>
      <c r="Z18" s="12"/>
    </row>
    <row r="19" spans="1:26" ht="12.75" customHeight="1">
      <c r="A19" s="13"/>
      <c r="B19" s="14"/>
      <c r="C19" s="14"/>
      <c r="D19" s="14"/>
      <c r="E19" s="14"/>
      <c r="F19" s="14"/>
      <c r="G19" s="14"/>
      <c r="H19" s="14"/>
      <c r="I19" s="14"/>
      <c r="J19" s="15"/>
      <c r="K19" s="12"/>
      <c r="L19" s="12"/>
      <c r="M19" s="12"/>
      <c r="N19" s="12"/>
      <c r="O19" s="12"/>
      <c r="P19" s="12"/>
      <c r="Q19" s="12"/>
      <c r="R19" s="12"/>
      <c r="S19" s="12"/>
      <c r="T19" s="12"/>
      <c r="U19" s="12"/>
      <c r="V19" s="12"/>
      <c r="W19" s="12"/>
      <c r="X19" s="12"/>
      <c r="Y19" s="12"/>
      <c r="Z19" s="12"/>
    </row>
    <row r="20" spans="1:26" ht="12.75" customHeight="1">
      <c r="A20" s="13"/>
      <c r="B20" s="14"/>
      <c r="C20" s="14"/>
      <c r="D20" s="14"/>
      <c r="E20" s="14"/>
      <c r="F20" s="14"/>
      <c r="G20" s="14"/>
      <c r="H20" s="14"/>
      <c r="I20" s="14"/>
      <c r="J20" s="15"/>
      <c r="K20" s="12"/>
      <c r="L20" s="12"/>
      <c r="M20" s="12"/>
      <c r="N20" s="12"/>
      <c r="O20" s="12"/>
      <c r="P20" s="12"/>
      <c r="Q20" s="12"/>
      <c r="R20" s="12"/>
      <c r="S20" s="12"/>
      <c r="T20" s="12"/>
      <c r="U20" s="12"/>
      <c r="V20" s="12"/>
      <c r="W20" s="12"/>
      <c r="X20" s="12"/>
      <c r="Y20" s="12"/>
      <c r="Z20" s="12"/>
    </row>
    <row r="21" spans="1:26" ht="12.75" customHeight="1">
      <c r="A21" s="23"/>
      <c r="B21" s="24"/>
      <c r="C21" s="24"/>
      <c r="D21" s="24"/>
      <c r="E21" s="24"/>
      <c r="F21" s="24"/>
      <c r="G21" s="24"/>
      <c r="H21" s="24"/>
      <c r="I21" s="24"/>
      <c r="J21" s="25"/>
      <c r="K21" s="12"/>
      <c r="L21" s="12"/>
      <c r="M21" s="12"/>
      <c r="N21" s="12"/>
      <c r="O21" s="12"/>
      <c r="P21" s="12"/>
      <c r="Q21" s="12"/>
      <c r="R21" s="12"/>
      <c r="S21" s="12"/>
      <c r="T21" s="12"/>
      <c r="U21" s="12"/>
      <c r="V21" s="12"/>
      <c r="W21" s="12"/>
      <c r="X21" s="12"/>
      <c r="Y21" s="12"/>
      <c r="Z21" s="12"/>
    </row>
    <row r="22" spans="1:26" ht="12.75" customHeight="1">
      <c r="A22" s="26"/>
      <c r="B22" s="21"/>
      <c r="C22" s="21"/>
      <c r="D22" s="21"/>
      <c r="E22" s="21"/>
      <c r="F22" s="21"/>
      <c r="G22" s="21"/>
      <c r="H22" s="21"/>
      <c r="I22" s="21"/>
      <c r="J22" s="25"/>
      <c r="K22" s="12"/>
      <c r="L22" s="12"/>
      <c r="M22" s="12"/>
      <c r="N22" s="12"/>
      <c r="O22" s="12"/>
      <c r="P22" s="12"/>
      <c r="Q22" s="12"/>
      <c r="R22" s="12"/>
      <c r="S22" s="12"/>
      <c r="T22" s="12"/>
      <c r="U22" s="12"/>
      <c r="V22" s="12"/>
      <c r="W22" s="12"/>
      <c r="X22" s="12"/>
      <c r="Y22" s="12"/>
      <c r="Z22" s="12"/>
    </row>
    <row r="23" spans="1:26" ht="12.75" customHeight="1">
      <c r="A23" s="26"/>
      <c r="B23" s="21"/>
      <c r="C23" s="21"/>
      <c r="D23" s="21"/>
      <c r="E23" s="21"/>
      <c r="F23" s="21"/>
      <c r="G23" s="21"/>
      <c r="H23" s="21"/>
      <c r="I23" s="21"/>
      <c r="J23" s="25"/>
      <c r="K23" s="12"/>
      <c r="L23" s="12"/>
      <c r="M23" s="12"/>
      <c r="N23" s="12"/>
      <c r="O23" s="12"/>
      <c r="P23" s="12"/>
      <c r="Q23" s="12"/>
      <c r="R23" s="12"/>
      <c r="S23" s="12"/>
      <c r="T23" s="12"/>
      <c r="U23" s="12"/>
      <c r="V23" s="12"/>
      <c r="W23" s="12"/>
      <c r="X23" s="12"/>
      <c r="Y23" s="12"/>
      <c r="Z23" s="12"/>
    </row>
    <row r="24" spans="1:26" ht="12.75" customHeight="1">
      <c r="A24" s="26"/>
      <c r="B24" s="21"/>
      <c r="C24" s="21"/>
      <c r="D24" s="21"/>
      <c r="E24" s="21"/>
      <c r="F24" s="21"/>
      <c r="G24" s="21"/>
      <c r="H24" s="21"/>
      <c r="I24" s="21"/>
      <c r="J24" s="25"/>
      <c r="K24" s="12"/>
      <c r="L24" s="12"/>
      <c r="M24" s="12"/>
      <c r="N24" s="12"/>
      <c r="O24" s="12"/>
      <c r="P24" s="12"/>
      <c r="Q24" s="12"/>
      <c r="R24" s="12"/>
      <c r="S24" s="12"/>
      <c r="T24" s="12"/>
      <c r="U24" s="12"/>
      <c r="V24" s="12"/>
      <c r="W24" s="12"/>
      <c r="X24" s="12"/>
      <c r="Y24" s="12"/>
      <c r="Z24" s="12"/>
    </row>
    <row r="25" spans="1:26" ht="12.75" customHeight="1">
      <c r="A25" s="26"/>
      <c r="B25" s="24"/>
      <c r="C25" s="24"/>
      <c r="D25" s="24"/>
      <c r="E25" s="24"/>
      <c r="F25" s="24"/>
      <c r="G25" s="24"/>
      <c r="H25" s="24"/>
      <c r="I25" s="24"/>
      <c r="J25" s="25"/>
      <c r="K25" s="12"/>
      <c r="L25" s="12"/>
      <c r="M25" s="12"/>
      <c r="N25" s="12"/>
      <c r="O25" s="12"/>
      <c r="P25" s="12"/>
      <c r="Q25" s="12"/>
      <c r="R25" s="12"/>
      <c r="S25" s="12"/>
      <c r="T25" s="12"/>
      <c r="U25" s="12"/>
      <c r="V25" s="12"/>
      <c r="W25" s="12"/>
      <c r="X25" s="12"/>
      <c r="Y25" s="12"/>
      <c r="Z25" s="12"/>
    </row>
    <row r="26" spans="1:26" ht="12.75" customHeight="1">
      <c r="A26" s="522"/>
      <c r="B26" s="523"/>
      <c r="C26" s="523"/>
      <c r="D26" s="523"/>
      <c r="E26" s="523"/>
      <c r="F26" s="523"/>
      <c r="G26" s="523"/>
      <c r="H26" s="523"/>
      <c r="I26" s="523"/>
      <c r="J26" s="524"/>
      <c r="K26" s="12"/>
      <c r="L26" s="12"/>
      <c r="M26" s="12"/>
      <c r="N26" s="12"/>
      <c r="O26" s="12"/>
      <c r="P26" s="12"/>
      <c r="Q26" s="12"/>
      <c r="R26" s="12"/>
      <c r="S26" s="12"/>
      <c r="T26" s="12"/>
      <c r="U26" s="12"/>
      <c r="V26" s="12"/>
      <c r="W26" s="12"/>
      <c r="X26" s="12"/>
      <c r="Y26" s="12"/>
      <c r="Z26" s="12"/>
    </row>
    <row r="27" spans="1:26" ht="12.75" customHeight="1">
      <c r="A27" s="525"/>
      <c r="B27" s="523"/>
      <c r="C27" s="523"/>
      <c r="D27" s="523"/>
      <c r="E27" s="523"/>
      <c r="F27" s="523"/>
      <c r="G27" s="523"/>
      <c r="H27" s="523"/>
      <c r="I27" s="523"/>
      <c r="J27" s="524"/>
      <c r="K27" s="12"/>
      <c r="L27" s="12"/>
      <c r="M27" s="12"/>
      <c r="N27" s="12"/>
      <c r="O27" s="12"/>
      <c r="P27" s="12"/>
      <c r="Q27" s="12"/>
      <c r="R27" s="12"/>
      <c r="S27" s="12"/>
      <c r="T27" s="12"/>
      <c r="U27" s="12"/>
      <c r="V27" s="12"/>
      <c r="W27" s="12"/>
      <c r="X27" s="12"/>
      <c r="Y27" s="12"/>
      <c r="Z27" s="12"/>
    </row>
    <row r="28" spans="1:26" ht="12.75" customHeight="1">
      <c r="A28" s="13"/>
      <c r="B28" s="14"/>
      <c r="C28" s="14"/>
      <c r="D28" s="14"/>
      <c r="E28" s="14"/>
      <c r="F28" s="14"/>
      <c r="G28" s="14"/>
      <c r="H28" s="14"/>
      <c r="I28" s="14"/>
      <c r="J28" s="15"/>
      <c r="K28" s="12"/>
      <c r="L28" s="12"/>
      <c r="M28" s="12"/>
      <c r="N28" s="12"/>
      <c r="O28" s="12"/>
      <c r="P28" s="12"/>
      <c r="Q28" s="12"/>
      <c r="R28" s="12"/>
      <c r="S28" s="12"/>
      <c r="T28" s="12"/>
      <c r="U28" s="12"/>
      <c r="V28" s="12"/>
      <c r="W28" s="12"/>
      <c r="X28" s="12"/>
      <c r="Y28" s="12"/>
      <c r="Z28" s="12"/>
    </row>
    <row r="29" spans="1:26" ht="12.75" customHeight="1">
      <c r="A29" s="13"/>
      <c r="B29" s="14"/>
      <c r="C29" s="14"/>
      <c r="D29" s="14"/>
      <c r="E29" s="14"/>
      <c r="F29" s="14"/>
      <c r="G29" s="14"/>
      <c r="H29" s="14"/>
      <c r="I29" s="14"/>
      <c r="J29" s="15"/>
      <c r="K29" s="12"/>
      <c r="L29" s="12"/>
      <c r="M29" s="12"/>
      <c r="N29" s="12"/>
      <c r="O29" s="12"/>
      <c r="P29" s="12"/>
      <c r="Q29" s="12"/>
      <c r="R29" s="12"/>
      <c r="S29" s="12"/>
      <c r="T29" s="12"/>
      <c r="U29" s="12"/>
      <c r="V29" s="12"/>
      <c r="W29" s="12"/>
      <c r="X29" s="12"/>
      <c r="Y29" s="12"/>
      <c r="Z29" s="12"/>
    </row>
    <row r="30" spans="1:26" ht="12.75" customHeight="1">
      <c r="A30" s="13"/>
      <c r="B30" s="14"/>
      <c r="C30" s="14"/>
      <c r="D30" s="14"/>
      <c r="E30" s="14"/>
      <c r="F30" s="14"/>
      <c r="G30" s="14"/>
      <c r="H30" s="14"/>
      <c r="I30" s="14"/>
      <c r="J30" s="15"/>
      <c r="K30" s="12"/>
      <c r="L30" s="12"/>
      <c r="M30" s="12"/>
      <c r="N30" s="12"/>
      <c r="O30" s="12"/>
      <c r="P30" s="12"/>
      <c r="Q30" s="12"/>
      <c r="R30" s="12"/>
      <c r="S30" s="12"/>
      <c r="T30" s="12"/>
      <c r="U30" s="12"/>
      <c r="V30" s="12"/>
      <c r="W30" s="12"/>
      <c r="X30" s="12"/>
      <c r="Y30" s="12"/>
      <c r="Z30" s="12"/>
    </row>
    <row r="31" spans="1:26" ht="12.75" customHeight="1">
      <c r="A31" s="13"/>
      <c r="B31" s="14"/>
      <c r="C31" s="14"/>
      <c r="D31" s="14"/>
      <c r="E31" s="14"/>
      <c r="F31" s="14"/>
      <c r="G31" s="14"/>
      <c r="H31" s="14"/>
      <c r="I31" s="14"/>
      <c r="J31" s="15"/>
      <c r="K31" s="12"/>
      <c r="L31" s="12"/>
      <c r="M31" s="12"/>
      <c r="N31" s="12"/>
      <c r="O31" s="12"/>
      <c r="P31" s="12"/>
      <c r="Q31" s="12"/>
      <c r="R31" s="12"/>
      <c r="S31" s="12"/>
      <c r="T31" s="12"/>
      <c r="U31" s="12"/>
      <c r="V31" s="12"/>
      <c r="W31" s="12"/>
      <c r="X31" s="12"/>
      <c r="Y31" s="12"/>
      <c r="Z31" s="12"/>
    </row>
    <row r="32" spans="1:26" ht="12.75" customHeight="1">
      <c r="A32" s="13"/>
      <c r="B32" s="14"/>
      <c r="C32" s="14"/>
      <c r="D32" s="14"/>
      <c r="E32" s="14"/>
      <c r="F32" s="14"/>
      <c r="G32" s="14"/>
      <c r="H32" s="14"/>
      <c r="I32" s="14"/>
      <c r="J32" s="15"/>
      <c r="K32" s="12"/>
      <c r="L32" s="12"/>
      <c r="M32" s="12"/>
      <c r="N32" s="12"/>
      <c r="O32" s="12"/>
      <c r="P32" s="12"/>
      <c r="Q32" s="12"/>
      <c r="R32" s="12"/>
      <c r="S32" s="12"/>
      <c r="T32" s="12"/>
      <c r="U32" s="12"/>
      <c r="V32" s="12"/>
      <c r="W32" s="12"/>
      <c r="X32" s="12"/>
      <c r="Y32" s="12"/>
      <c r="Z32" s="12"/>
    </row>
    <row r="33" spans="1:26" ht="12.75" customHeight="1">
      <c r="A33" s="13"/>
      <c r="B33" s="14"/>
      <c r="C33" s="14"/>
      <c r="D33" s="14"/>
      <c r="E33" s="14"/>
      <c r="F33" s="14"/>
      <c r="G33" s="14"/>
      <c r="H33" s="14"/>
      <c r="I33" s="14"/>
      <c r="J33" s="15"/>
      <c r="K33" s="12"/>
      <c r="L33" s="12"/>
      <c r="M33" s="12"/>
      <c r="N33" s="12"/>
      <c r="O33" s="12"/>
      <c r="P33" s="12"/>
      <c r="Q33" s="12"/>
      <c r="R33" s="12"/>
      <c r="S33" s="12"/>
      <c r="T33" s="12"/>
      <c r="U33" s="12"/>
      <c r="V33" s="12"/>
      <c r="W33" s="12"/>
      <c r="X33" s="12"/>
      <c r="Y33" s="12"/>
      <c r="Z33" s="12"/>
    </row>
    <row r="34" spans="1:26" ht="12.75" customHeight="1">
      <c r="A34" s="13"/>
      <c r="B34" s="14"/>
      <c r="C34" s="14"/>
      <c r="D34" s="14"/>
      <c r="E34" s="14"/>
      <c r="F34" s="14"/>
      <c r="G34" s="14"/>
      <c r="H34" s="14"/>
      <c r="I34" s="14"/>
      <c r="J34" s="15"/>
      <c r="K34" s="12"/>
      <c r="L34" s="12"/>
      <c r="M34" s="12"/>
      <c r="N34" s="12"/>
      <c r="O34" s="12"/>
      <c r="P34" s="12"/>
      <c r="Q34" s="12"/>
      <c r="R34" s="12"/>
      <c r="S34" s="12"/>
      <c r="T34" s="12"/>
      <c r="U34" s="12"/>
      <c r="V34" s="12"/>
      <c r="W34" s="12"/>
      <c r="X34" s="12"/>
      <c r="Y34" s="12"/>
      <c r="Z34" s="12"/>
    </row>
    <row r="35" spans="1:26" ht="12.75" customHeight="1">
      <c r="A35" s="13"/>
      <c r="B35" s="14"/>
      <c r="C35" s="14"/>
      <c r="D35" s="14"/>
      <c r="E35" s="14"/>
      <c r="F35" s="14"/>
      <c r="G35" s="14"/>
      <c r="H35" s="14"/>
      <c r="I35" s="14"/>
      <c r="J35" s="15"/>
      <c r="K35" s="12"/>
      <c r="L35" s="12"/>
      <c r="M35" s="12"/>
      <c r="N35" s="12"/>
      <c r="O35" s="12"/>
      <c r="P35" s="12"/>
      <c r="Q35" s="12"/>
      <c r="R35" s="12"/>
      <c r="S35" s="12"/>
      <c r="T35" s="12"/>
      <c r="U35" s="12"/>
      <c r="V35" s="12"/>
      <c r="W35" s="12"/>
      <c r="X35" s="12"/>
      <c r="Y35" s="12"/>
      <c r="Z35" s="12"/>
    </row>
    <row r="36" spans="1:26" ht="12.75" customHeight="1">
      <c r="A36" s="526" t="s">
        <v>251</v>
      </c>
      <c r="B36" s="527"/>
      <c r="C36" s="527"/>
      <c r="D36" s="527"/>
      <c r="E36" s="527"/>
      <c r="F36" s="527"/>
      <c r="G36" s="527"/>
      <c r="H36" s="527"/>
      <c r="I36" s="527"/>
      <c r="J36" s="528"/>
      <c r="K36" s="12"/>
      <c r="L36" s="12"/>
      <c r="M36" s="12"/>
      <c r="N36" s="12"/>
      <c r="O36" s="12"/>
      <c r="P36" s="12"/>
      <c r="Q36" s="12"/>
      <c r="R36" s="12"/>
      <c r="S36" s="12"/>
      <c r="T36" s="12"/>
      <c r="U36" s="12"/>
      <c r="V36" s="12"/>
      <c r="W36" s="12"/>
      <c r="X36" s="12"/>
      <c r="Y36" s="12"/>
      <c r="Z36" s="12"/>
    </row>
    <row r="37" spans="1:26" ht="12.75" customHeight="1">
      <c r="A37" s="529"/>
      <c r="B37" s="527"/>
      <c r="C37" s="527"/>
      <c r="D37" s="527"/>
      <c r="E37" s="527"/>
      <c r="F37" s="527"/>
      <c r="G37" s="527"/>
      <c r="H37" s="527"/>
      <c r="I37" s="527"/>
      <c r="J37" s="528"/>
      <c r="K37" s="12"/>
      <c r="L37" s="12"/>
      <c r="M37" s="12"/>
      <c r="N37" s="12"/>
      <c r="O37" s="12"/>
      <c r="P37" s="12"/>
      <c r="Q37" s="12"/>
      <c r="R37" s="12"/>
      <c r="S37" s="12"/>
      <c r="T37" s="12"/>
      <c r="U37" s="12"/>
      <c r="V37" s="12"/>
      <c r="W37" s="12"/>
      <c r="X37" s="12"/>
      <c r="Y37" s="12"/>
      <c r="Z37" s="12"/>
    </row>
    <row r="38" spans="1:26" ht="12.75" customHeight="1">
      <c r="A38" s="13"/>
      <c r="B38" s="14"/>
      <c r="C38" s="14"/>
      <c r="D38" s="14"/>
      <c r="E38" s="14"/>
      <c r="F38" s="14"/>
      <c r="G38" s="14"/>
      <c r="H38" s="14"/>
      <c r="I38" s="14"/>
      <c r="J38" s="15"/>
      <c r="K38" s="12"/>
      <c r="L38" s="12"/>
      <c r="M38" s="12"/>
      <c r="N38" s="12"/>
      <c r="O38" s="12"/>
      <c r="P38" s="12"/>
      <c r="Q38" s="12"/>
      <c r="R38" s="12"/>
      <c r="S38" s="12"/>
      <c r="T38" s="12"/>
      <c r="U38" s="12"/>
      <c r="V38" s="12"/>
      <c r="W38" s="12"/>
      <c r="X38" s="12"/>
      <c r="Y38" s="12"/>
      <c r="Z38" s="12"/>
    </row>
    <row r="39" spans="1:26" ht="12.75" customHeight="1">
      <c r="A39" s="13"/>
      <c r="B39" s="14"/>
      <c r="C39" s="14"/>
      <c r="D39" s="14"/>
      <c r="E39" s="14"/>
      <c r="F39" s="14"/>
      <c r="G39" s="14"/>
      <c r="H39" s="14"/>
      <c r="I39" s="14"/>
      <c r="J39" s="15"/>
      <c r="K39" s="12"/>
      <c r="L39" s="12"/>
      <c r="M39" s="12"/>
      <c r="N39" s="12"/>
      <c r="O39" s="12"/>
      <c r="P39" s="12"/>
      <c r="Q39" s="12"/>
      <c r="R39" s="12"/>
      <c r="S39" s="12"/>
      <c r="T39" s="12"/>
      <c r="U39" s="12"/>
      <c r="V39" s="12"/>
      <c r="W39" s="12"/>
      <c r="X39" s="12"/>
      <c r="Y39" s="12"/>
      <c r="Z39" s="12"/>
    </row>
    <row r="40" spans="1:26" ht="12.75" customHeight="1">
      <c r="A40" s="13"/>
      <c r="B40" s="14"/>
      <c r="C40" s="14"/>
      <c r="D40" s="14"/>
      <c r="E40" s="14"/>
      <c r="F40" s="14"/>
      <c r="G40" s="14"/>
      <c r="H40" s="14"/>
      <c r="I40" s="14"/>
      <c r="J40" s="15"/>
      <c r="K40" s="12"/>
      <c r="L40" s="12"/>
      <c r="M40" s="12"/>
      <c r="N40" s="12"/>
      <c r="O40" s="12"/>
      <c r="P40" s="12"/>
      <c r="Q40" s="12"/>
      <c r="R40" s="12"/>
      <c r="S40" s="12"/>
      <c r="T40" s="12"/>
      <c r="U40" s="12"/>
      <c r="V40" s="12"/>
      <c r="W40" s="12"/>
      <c r="X40" s="12"/>
      <c r="Y40" s="12"/>
      <c r="Z40" s="12"/>
    </row>
    <row r="41" spans="1:26" ht="12.75" customHeight="1">
      <c r="A41" s="13"/>
      <c r="B41" s="14"/>
      <c r="C41" s="14"/>
      <c r="D41" s="14"/>
      <c r="E41" s="14"/>
      <c r="F41" s="14"/>
      <c r="G41" s="14"/>
      <c r="H41" s="14"/>
      <c r="I41" s="14"/>
      <c r="J41" s="15"/>
      <c r="K41" s="12"/>
      <c r="L41" s="12"/>
      <c r="M41" s="12"/>
      <c r="N41" s="12"/>
      <c r="O41" s="12"/>
      <c r="P41" s="12"/>
      <c r="Q41" s="12"/>
      <c r="R41" s="12"/>
      <c r="S41" s="12"/>
      <c r="T41" s="12"/>
      <c r="U41" s="12"/>
      <c r="V41" s="12"/>
      <c r="W41" s="12"/>
      <c r="X41" s="12"/>
      <c r="Y41" s="12"/>
      <c r="Z41" s="12"/>
    </row>
    <row r="42" spans="1:26" ht="12.75" customHeight="1">
      <c r="A42" s="13"/>
      <c r="B42" s="14"/>
      <c r="C42" s="14"/>
      <c r="D42" s="14"/>
      <c r="E42" s="14"/>
      <c r="F42" s="14"/>
      <c r="G42" s="14"/>
      <c r="H42" s="14"/>
      <c r="I42" s="14"/>
      <c r="J42" s="15"/>
      <c r="K42" s="12"/>
      <c r="L42" s="12"/>
      <c r="M42" s="12"/>
      <c r="N42" s="12"/>
      <c r="O42" s="12"/>
      <c r="P42" s="12"/>
      <c r="Q42" s="12"/>
      <c r="R42" s="12"/>
      <c r="S42" s="12"/>
      <c r="T42" s="12"/>
      <c r="U42" s="12"/>
      <c r="V42" s="12"/>
      <c r="W42" s="12"/>
      <c r="X42" s="12"/>
      <c r="Y42" s="12"/>
      <c r="Z42" s="12"/>
    </row>
    <row r="43" spans="1:26" ht="12.75" customHeight="1">
      <c r="A43" s="13"/>
      <c r="B43" s="14"/>
      <c r="C43" s="14"/>
      <c r="D43" s="14"/>
      <c r="E43" s="14"/>
      <c r="F43" s="14"/>
      <c r="G43" s="14"/>
      <c r="H43" s="14"/>
      <c r="I43" s="14"/>
      <c r="J43" s="15"/>
      <c r="K43" s="12"/>
      <c r="L43" s="12"/>
      <c r="M43" s="12"/>
      <c r="N43" s="12"/>
      <c r="O43" s="12"/>
      <c r="P43" s="12"/>
      <c r="Q43" s="12"/>
      <c r="R43" s="12"/>
      <c r="S43" s="12"/>
      <c r="T43" s="12"/>
      <c r="U43" s="12"/>
      <c r="V43" s="12"/>
      <c r="W43" s="12"/>
      <c r="X43" s="12"/>
      <c r="Y43" s="12"/>
      <c r="Z43" s="12"/>
    </row>
    <row r="44" spans="1:26" ht="12.75" customHeight="1">
      <c r="A44" s="13"/>
      <c r="B44" s="14"/>
      <c r="C44" s="14"/>
      <c r="D44" s="14"/>
      <c r="E44" s="14"/>
      <c r="F44" s="14"/>
      <c r="G44" s="14"/>
      <c r="H44" s="14"/>
      <c r="I44" s="14"/>
      <c r="J44" s="15"/>
      <c r="K44" s="12"/>
      <c r="L44" s="12"/>
      <c r="M44" s="12"/>
      <c r="N44" s="12"/>
      <c r="O44" s="12"/>
      <c r="P44" s="12"/>
      <c r="Q44" s="12"/>
      <c r="R44" s="12"/>
      <c r="S44" s="12"/>
      <c r="T44" s="12"/>
      <c r="U44" s="12"/>
      <c r="V44" s="12"/>
      <c r="W44" s="12"/>
      <c r="X44" s="12"/>
      <c r="Y44" s="12"/>
      <c r="Z44" s="12"/>
    </row>
    <row r="45" spans="1:26" ht="12.75" customHeight="1">
      <c r="A45" s="13"/>
      <c r="B45" s="14"/>
      <c r="C45" s="14"/>
      <c r="D45" s="14"/>
      <c r="E45" s="14"/>
      <c r="F45" s="14"/>
      <c r="G45" s="14"/>
      <c r="H45" s="14"/>
      <c r="I45" s="14"/>
      <c r="J45" s="15"/>
      <c r="K45" s="12"/>
      <c r="L45" s="12"/>
      <c r="M45" s="12"/>
      <c r="N45" s="12"/>
      <c r="O45" s="12"/>
      <c r="P45" s="12"/>
      <c r="Q45" s="12"/>
      <c r="R45" s="12"/>
      <c r="S45" s="12"/>
      <c r="T45" s="12"/>
      <c r="U45" s="12"/>
      <c r="V45" s="12"/>
      <c r="W45" s="12"/>
      <c r="X45" s="12"/>
      <c r="Y45" s="12"/>
      <c r="Z45" s="12"/>
    </row>
    <row r="46" spans="1:26" ht="12.75" customHeight="1">
      <c r="A46" s="13"/>
      <c r="B46" s="14"/>
      <c r="C46" s="14"/>
      <c r="D46" s="14"/>
      <c r="E46" s="14"/>
      <c r="F46" s="14"/>
      <c r="G46" s="14"/>
      <c r="H46" s="14"/>
      <c r="I46" s="14"/>
      <c r="J46" s="15"/>
      <c r="K46" s="12"/>
      <c r="L46" s="12"/>
      <c r="M46" s="12"/>
      <c r="N46" s="12"/>
      <c r="O46" s="12"/>
      <c r="P46" s="12"/>
      <c r="Q46" s="12"/>
      <c r="R46" s="12"/>
      <c r="S46" s="12"/>
      <c r="T46" s="12"/>
      <c r="U46" s="12"/>
      <c r="V46" s="12"/>
      <c r="W46" s="12"/>
      <c r="X46" s="12"/>
      <c r="Y46" s="12"/>
      <c r="Z46" s="12"/>
    </row>
    <row r="47" spans="1:26" ht="12.75" customHeight="1">
      <c r="A47" s="13"/>
      <c r="B47" s="14"/>
      <c r="C47" s="14"/>
      <c r="D47" s="14"/>
      <c r="E47" s="14"/>
      <c r="F47" s="14"/>
      <c r="G47" s="14"/>
      <c r="H47" s="14"/>
      <c r="I47" s="14"/>
      <c r="J47" s="15"/>
      <c r="K47" s="12"/>
      <c r="L47" s="12"/>
      <c r="M47" s="12"/>
      <c r="N47" s="12"/>
      <c r="O47" s="12"/>
      <c r="P47" s="12"/>
      <c r="Q47" s="12"/>
      <c r="R47" s="12"/>
      <c r="S47" s="12"/>
      <c r="T47" s="12"/>
      <c r="U47" s="12"/>
      <c r="V47" s="12"/>
      <c r="W47" s="12"/>
      <c r="X47" s="12"/>
      <c r="Y47" s="12"/>
      <c r="Z47" s="12"/>
    </row>
    <row r="48" spans="1:26" ht="12.75" customHeight="1">
      <c r="A48" s="13"/>
      <c r="B48" s="14"/>
      <c r="C48" s="14"/>
      <c r="D48" s="14"/>
      <c r="E48" s="14"/>
      <c r="F48" s="14"/>
      <c r="G48" s="14"/>
      <c r="H48" s="14"/>
      <c r="I48" s="14"/>
      <c r="J48" s="15"/>
      <c r="K48" s="12"/>
      <c r="L48" s="12"/>
      <c r="M48" s="12"/>
      <c r="N48" s="12"/>
      <c r="O48" s="12"/>
      <c r="P48" s="12"/>
      <c r="Q48" s="12"/>
      <c r="R48" s="12"/>
      <c r="S48" s="12"/>
      <c r="T48" s="12"/>
      <c r="U48" s="12"/>
      <c r="V48" s="12"/>
      <c r="W48" s="12"/>
      <c r="X48" s="12"/>
      <c r="Y48" s="12"/>
      <c r="Z48" s="12"/>
    </row>
    <row r="49" spans="1:26" ht="12.75" customHeight="1">
      <c r="A49" s="13"/>
      <c r="B49" s="14"/>
      <c r="C49" s="14"/>
      <c r="D49" s="14"/>
      <c r="E49" s="14"/>
      <c r="F49" s="14"/>
      <c r="G49" s="14"/>
      <c r="H49" s="14"/>
      <c r="I49" s="14"/>
      <c r="J49" s="15"/>
      <c r="K49" s="12"/>
      <c r="L49" s="12"/>
      <c r="M49" s="12"/>
      <c r="N49" s="12"/>
      <c r="O49" s="12"/>
      <c r="P49" s="12"/>
      <c r="Q49" s="12"/>
      <c r="R49" s="12"/>
      <c r="S49" s="12"/>
      <c r="T49" s="12"/>
      <c r="U49" s="12"/>
      <c r="V49" s="12"/>
      <c r="W49" s="12"/>
      <c r="X49" s="12"/>
      <c r="Y49" s="12"/>
      <c r="Z49" s="12"/>
    </row>
    <row r="50" spans="1:26" ht="12.75" customHeight="1">
      <c r="A50" s="13"/>
      <c r="B50" s="14"/>
      <c r="C50" s="14"/>
      <c r="D50" s="14"/>
      <c r="E50" s="14"/>
      <c r="F50" s="14"/>
      <c r="G50" s="14"/>
      <c r="H50" s="14"/>
      <c r="I50" s="14"/>
      <c r="J50" s="15"/>
      <c r="K50" s="12"/>
      <c r="L50" s="12"/>
      <c r="M50" s="12"/>
      <c r="N50" s="12"/>
      <c r="O50" s="12"/>
      <c r="P50" s="12"/>
      <c r="Q50" s="12"/>
      <c r="R50" s="12"/>
      <c r="S50" s="12"/>
      <c r="T50" s="12"/>
      <c r="U50" s="12"/>
      <c r="V50" s="12"/>
      <c r="W50" s="12"/>
      <c r="X50" s="12"/>
      <c r="Y50" s="12"/>
      <c r="Z50" s="12"/>
    </row>
    <row r="51" spans="1:26" ht="12.75" customHeight="1">
      <c r="A51" s="13"/>
      <c r="B51" s="14"/>
      <c r="C51" s="14"/>
      <c r="D51" s="14"/>
      <c r="E51" s="14"/>
      <c r="F51" s="14"/>
      <c r="G51" s="14"/>
      <c r="H51" s="14"/>
      <c r="I51" s="14"/>
      <c r="J51" s="15"/>
      <c r="K51" s="12"/>
      <c r="L51" s="12"/>
      <c r="M51" s="12"/>
      <c r="N51" s="12"/>
      <c r="O51" s="12"/>
      <c r="P51" s="12"/>
      <c r="Q51" s="12"/>
      <c r="R51" s="12"/>
      <c r="S51" s="12"/>
      <c r="T51" s="12"/>
      <c r="U51" s="12"/>
      <c r="V51" s="12"/>
      <c r="W51" s="12"/>
      <c r="X51" s="12"/>
      <c r="Y51" s="12"/>
      <c r="Z51" s="12"/>
    </row>
    <row r="52" spans="1:26" ht="12.75" customHeight="1">
      <c r="A52" s="13"/>
      <c r="B52" s="14"/>
      <c r="C52" s="14"/>
      <c r="D52" s="14"/>
      <c r="E52" s="14"/>
      <c r="F52" s="14"/>
      <c r="G52" s="14"/>
      <c r="H52" s="14"/>
      <c r="I52" s="14"/>
      <c r="J52" s="15"/>
      <c r="K52" s="12"/>
      <c r="L52" s="12"/>
      <c r="M52" s="12"/>
      <c r="N52" s="12"/>
      <c r="O52" s="12"/>
      <c r="P52" s="12"/>
      <c r="Q52" s="12"/>
      <c r="R52" s="12"/>
      <c r="S52" s="12"/>
      <c r="T52" s="12"/>
      <c r="U52" s="12"/>
      <c r="V52" s="12"/>
      <c r="W52" s="12"/>
      <c r="X52" s="12"/>
      <c r="Y52" s="12"/>
      <c r="Z52" s="12"/>
    </row>
    <row r="53" spans="1:26" ht="12.75" customHeight="1">
      <c r="A53" s="13"/>
      <c r="B53" s="14"/>
      <c r="C53" s="14"/>
      <c r="D53" s="14"/>
      <c r="E53" s="14"/>
      <c r="F53" s="14"/>
      <c r="G53" s="14"/>
      <c r="H53" s="14"/>
      <c r="I53" s="14"/>
      <c r="J53" s="15"/>
      <c r="K53" s="12"/>
      <c r="L53" s="12"/>
      <c r="M53" s="12"/>
      <c r="N53" s="12"/>
      <c r="O53" s="12"/>
      <c r="P53" s="12"/>
      <c r="Q53" s="12"/>
      <c r="R53" s="12"/>
      <c r="S53" s="12"/>
      <c r="T53" s="12"/>
      <c r="U53" s="12"/>
      <c r="V53" s="12"/>
      <c r="W53" s="12"/>
      <c r="X53" s="12"/>
      <c r="Y53" s="12"/>
      <c r="Z53" s="12"/>
    </row>
    <row r="54" spans="1:26" ht="12.75" customHeight="1">
      <c r="A54" s="13"/>
      <c r="B54" s="14"/>
      <c r="C54" s="14"/>
      <c r="D54" s="14"/>
      <c r="E54" s="14"/>
      <c r="F54" s="14"/>
      <c r="G54" s="14"/>
      <c r="H54" s="14"/>
      <c r="I54" s="14"/>
      <c r="J54" s="15"/>
      <c r="K54" s="12"/>
      <c r="L54" s="12"/>
      <c r="M54" s="12"/>
      <c r="N54" s="12"/>
      <c r="O54" s="12"/>
      <c r="P54" s="12"/>
      <c r="Q54" s="12"/>
      <c r="R54" s="12"/>
      <c r="S54" s="12"/>
      <c r="T54" s="12"/>
      <c r="U54" s="12"/>
      <c r="V54" s="12"/>
      <c r="W54" s="12"/>
      <c r="X54" s="12"/>
      <c r="Y54" s="12"/>
      <c r="Z54" s="12"/>
    </row>
    <row r="55" spans="1:26" ht="12.75" customHeight="1">
      <c r="A55" s="13"/>
      <c r="B55" s="14"/>
      <c r="C55" s="14"/>
      <c r="D55" s="14"/>
      <c r="E55" s="14"/>
      <c r="F55" s="14"/>
      <c r="G55" s="14"/>
      <c r="H55" s="14"/>
      <c r="I55" s="14"/>
      <c r="J55" s="15"/>
      <c r="K55" s="12"/>
      <c r="L55" s="12"/>
      <c r="M55" s="12"/>
      <c r="N55" s="12"/>
      <c r="O55" s="12"/>
      <c r="P55" s="12"/>
      <c r="Q55" s="12"/>
      <c r="R55" s="12"/>
      <c r="S55" s="12"/>
      <c r="T55" s="12"/>
      <c r="U55" s="12"/>
      <c r="V55" s="12"/>
      <c r="W55" s="12"/>
      <c r="X55" s="12"/>
      <c r="Y55" s="12"/>
      <c r="Z55" s="12"/>
    </row>
    <row r="56" spans="1:26" ht="12.75" customHeight="1">
      <c r="A56" s="13"/>
      <c r="B56" s="14"/>
      <c r="C56" s="14"/>
      <c r="D56" s="14"/>
      <c r="E56" s="14"/>
      <c r="F56" s="14"/>
      <c r="G56" s="14"/>
      <c r="H56" s="14"/>
      <c r="I56" s="14"/>
      <c r="J56" s="15"/>
      <c r="K56" s="12"/>
      <c r="L56" s="12"/>
      <c r="M56" s="12"/>
      <c r="N56" s="12"/>
      <c r="O56" s="12"/>
      <c r="P56" s="12"/>
      <c r="Q56" s="12"/>
      <c r="R56" s="12"/>
      <c r="S56" s="12"/>
      <c r="T56" s="12"/>
      <c r="U56" s="12"/>
      <c r="V56" s="12"/>
      <c r="W56" s="12"/>
      <c r="X56" s="12"/>
      <c r="Y56" s="12"/>
      <c r="Z56" s="12"/>
    </row>
    <row r="57" spans="1:26" ht="12.75" customHeight="1">
      <c r="A57" s="526" t="s">
        <v>654</v>
      </c>
      <c r="B57" s="527"/>
      <c r="C57" s="527"/>
      <c r="D57" s="527"/>
      <c r="E57" s="527"/>
      <c r="F57" s="527"/>
      <c r="G57" s="527"/>
      <c r="H57" s="527"/>
      <c r="I57" s="527"/>
      <c r="J57" s="528"/>
      <c r="K57" s="12"/>
      <c r="L57" s="12"/>
      <c r="M57" s="12"/>
      <c r="N57" s="12"/>
      <c r="O57" s="12"/>
      <c r="P57" s="12"/>
      <c r="Q57" s="12"/>
      <c r="R57" s="12"/>
      <c r="S57" s="12"/>
      <c r="T57" s="12"/>
      <c r="U57" s="12"/>
      <c r="V57" s="12"/>
      <c r="W57" s="12"/>
      <c r="X57" s="12"/>
      <c r="Y57" s="12"/>
      <c r="Z57" s="12"/>
    </row>
    <row r="58" spans="1:26" ht="12.75" customHeight="1">
      <c r="A58" s="529"/>
      <c r="B58" s="527"/>
      <c r="C58" s="527"/>
      <c r="D58" s="527"/>
      <c r="E58" s="527"/>
      <c r="F58" s="527"/>
      <c r="G58" s="527"/>
      <c r="H58" s="527"/>
      <c r="I58" s="527"/>
      <c r="J58" s="528"/>
      <c r="K58" s="12"/>
      <c r="L58" s="12"/>
      <c r="M58" s="12"/>
      <c r="N58" s="12"/>
      <c r="O58" s="12"/>
      <c r="P58" s="12"/>
      <c r="Q58" s="12"/>
      <c r="R58" s="12"/>
      <c r="S58" s="12"/>
      <c r="T58" s="12"/>
      <c r="U58" s="12"/>
      <c r="V58" s="12"/>
      <c r="W58" s="12"/>
      <c r="X58" s="12"/>
      <c r="Y58" s="12"/>
      <c r="Z58" s="12"/>
    </row>
    <row r="59" spans="1:26" ht="13.5" customHeight="1" thickBot="1">
      <c r="A59" s="16"/>
      <c r="B59" s="17"/>
      <c r="C59" s="17"/>
      <c r="D59" s="17"/>
      <c r="E59" s="17"/>
      <c r="F59" s="17"/>
      <c r="G59" s="17"/>
      <c r="H59" s="17"/>
      <c r="I59" s="17"/>
      <c r="J59" s="18"/>
      <c r="K59" s="12"/>
      <c r="L59" s="12"/>
      <c r="M59" s="12"/>
      <c r="N59" s="12"/>
      <c r="O59" s="12"/>
      <c r="P59" s="12"/>
      <c r="Q59" s="12"/>
      <c r="R59" s="12"/>
      <c r="S59" s="12"/>
      <c r="T59" s="12"/>
      <c r="U59" s="12"/>
      <c r="V59" s="12"/>
      <c r="W59" s="12"/>
      <c r="X59" s="12"/>
      <c r="Y59" s="12"/>
      <c r="Z59" s="12"/>
    </row>
    <row r="60" spans="1:26" ht="12.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
    <mergeCell ref="A7:J7"/>
    <mergeCell ref="A26:J27"/>
    <mergeCell ref="A36:J37"/>
    <mergeCell ref="A57:J58"/>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sheetPr>
    <tabColor theme="2" tint="-0.249977111117893"/>
  </sheetPr>
  <dimension ref="B2:U184"/>
  <sheetViews>
    <sheetView zoomScale="60" zoomScaleNormal="60" workbookViewId="0">
      <selection activeCell="J14" sqref="J14"/>
    </sheetView>
  </sheetViews>
  <sheetFormatPr defaultRowHeight="18.75"/>
  <cols>
    <col min="1" max="1" width="9.140625" style="326"/>
    <col min="2" max="2" width="11.28515625" style="326" customWidth="1"/>
    <col min="3" max="3" width="13.5703125" style="326" customWidth="1"/>
    <col min="4" max="4" width="9.140625" style="326"/>
    <col min="5" max="5" width="74" style="326" customWidth="1"/>
    <col min="6" max="6" width="10.28515625" style="326" customWidth="1"/>
    <col min="7" max="7" width="14.28515625" style="328" customWidth="1"/>
    <col min="8" max="8" width="29.5703125" style="326" customWidth="1"/>
    <col min="9" max="9" width="22" style="326" hidden="1" customWidth="1"/>
    <col min="10" max="10" width="17.140625" style="326" bestFit="1" customWidth="1"/>
    <col min="11" max="11" width="18" style="326" customWidth="1"/>
    <col min="12" max="12" width="17.140625" style="326" bestFit="1" customWidth="1"/>
    <col min="13" max="13" width="21.140625" style="326" customWidth="1"/>
    <col min="14" max="14" width="20.140625" style="326" customWidth="1"/>
    <col min="15" max="15" width="17" style="326" customWidth="1"/>
    <col min="16" max="16" width="13.28515625" style="326" customWidth="1"/>
    <col min="17" max="17" width="21" style="326" customWidth="1"/>
    <col min="18" max="18" width="20.28515625" style="326" customWidth="1"/>
    <col min="19" max="19" width="30.7109375" style="326" bestFit="1" customWidth="1"/>
    <col min="20" max="20" width="15.42578125" style="328" customWidth="1"/>
    <col min="21" max="21" width="18.42578125" style="329" customWidth="1"/>
    <col min="22" max="16384" width="9.140625" style="326"/>
  </cols>
  <sheetData>
    <row r="2" spans="2:21" ht="23.25">
      <c r="E2" s="327" t="s">
        <v>24</v>
      </c>
    </row>
    <row r="3" spans="2:21" ht="23.25">
      <c r="E3" s="327" t="s">
        <v>25</v>
      </c>
    </row>
    <row r="4" spans="2:21" ht="23.25">
      <c r="E4" s="327" t="s">
        <v>657</v>
      </c>
    </row>
    <row r="5" spans="2:21" ht="23.25">
      <c r="E5" s="330"/>
    </row>
    <row r="6" spans="2:21" ht="23.25">
      <c r="E6" s="327" t="s">
        <v>658</v>
      </c>
    </row>
    <row r="8" spans="2:21" ht="63" customHeight="1">
      <c r="B8" s="619" t="s">
        <v>252</v>
      </c>
      <c r="C8" s="619"/>
      <c r="D8" s="619"/>
      <c r="E8" s="619"/>
      <c r="F8" s="619"/>
      <c r="G8" s="619"/>
      <c r="H8" s="619"/>
      <c r="I8" s="619"/>
      <c r="J8" s="619"/>
      <c r="K8" s="619"/>
      <c r="L8" s="619"/>
      <c r="M8" s="619"/>
      <c r="N8" s="619"/>
      <c r="O8" s="619"/>
      <c r="P8" s="619"/>
      <c r="Q8" s="619"/>
      <c r="R8" s="619"/>
      <c r="S8" s="619"/>
    </row>
    <row r="9" spans="2:21" ht="67.5" customHeight="1">
      <c r="B9" s="620" t="s">
        <v>40</v>
      </c>
      <c r="C9" s="622" t="s">
        <v>47</v>
      </c>
      <c r="D9" s="623" t="s">
        <v>41</v>
      </c>
      <c r="E9" s="624" t="s">
        <v>253</v>
      </c>
      <c r="F9" s="623" t="s">
        <v>254</v>
      </c>
      <c r="G9" s="624" t="s">
        <v>255</v>
      </c>
      <c r="H9" s="625" t="s">
        <v>256</v>
      </c>
      <c r="I9" s="625"/>
      <c r="J9" s="625"/>
      <c r="K9" s="626"/>
      <c r="L9" s="331" t="s">
        <v>257</v>
      </c>
      <c r="M9" s="624" t="s">
        <v>258</v>
      </c>
      <c r="N9" s="331" t="s">
        <v>259</v>
      </c>
      <c r="O9" s="331" t="s">
        <v>260</v>
      </c>
      <c r="P9" s="625" t="s">
        <v>261</v>
      </c>
      <c r="Q9" s="626"/>
      <c r="R9" s="627" t="s">
        <v>262</v>
      </c>
      <c r="S9" s="628"/>
    </row>
    <row r="10" spans="2:21" ht="57" customHeight="1">
      <c r="B10" s="621"/>
      <c r="C10" s="622"/>
      <c r="D10" s="623"/>
      <c r="E10" s="624"/>
      <c r="F10" s="623"/>
      <c r="G10" s="623"/>
      <c r="H10" s="332" t="s">
        <v>263</v>
      </c>
      <c r="I10" s="333" t="s">
        <v>264</v>
      </c>
      <c r="J10" s="332" t="s">
        <v>265</v>
      </c>
      <c r="K10" s="332" t="s">
        <v>266</v>
      </c>
      <c r="L10" s="333" t="s">
        <v>267</v>
      </c>
      <c r="M10" s="624"/>
      <c r="N10" s="333" t="s">
        <v>267</v>
      </c>
      <c r="O10" s="333" t="s">
        <v>267</v>
      </c>
      <c r="P10" s="333" t="s">
        <v>268</v>
      </c>
      <c r="Q10" s="333" t="s">
        <v>269</v>
      </c>
      <c r="R10" s="334" t="s">
        <v>270</v>
      </c>
      <c r="S10" s="335" t="s">
        <v>271</v>
      </c>
      <c r="T10" s="336" t="s">
        <v>48</v>
      </c>
      <c r="U10" s="336" t="s">
        <v>272</v>
      </c>
    </row>
    <row r="11" spans="2:21">
      <c r="B11" s="629" t="s">
        <v>273</v>
      </c>
      <c r="C11" s="631" t="s">
        <v>274</v>
      </c>
      <c r="D11" s="634">
        <v>1</v>
      </c>
      <c r="E11" s="635" t="s">
        <v>275</v>
      </c>
      <c r="F11" s="637" t="s">
        <v>254</v>
      </c>
      <c r="G11" s="638">
        <v>4</v>
      </c>
      <c r="H11" s="160" t="s">
        <v>276</v>
      </c>
      <c r="I11" s="161" t="s">
        <v>277</v>
      </c>
      <c r="J11" s="162">
        <v>49.99</v>
      </c>
      <c r="K11" s="337">
        <f>J11*$G$11</f>
        <v>199.96</v>
      </c>
      <c r="L11" s="639">
        <f>ROUNDUP(AVERAGE(J11:J13),2)</f>
        <v>56.57</v>
      </c>
      <c r="M11" s="338">
        <f>J11/$L$11-1</f>
        <v>-0.11631606858759058</v>
      </c>
      <c r="N11" s="639">
        <f>ROUNDUP(AVERAGEIFS(J11:J13,M11:M13,"&lt;0,30",M11:M13,"&gt;-0,30"),2)</f>
        <v>56.57</v>
      </c>
      <c r="O11" s="639">
        <f t="shared" ref="O11" si="0">ROUNDUP(MEDIAN(J11:J13),2)</f>
        <v>59.8</v>
      </c>
      <c r="P11" s="640">
        <f t="shared" ref="P11" si="1">STDEV(J11:J13)</f>
        <v>5.692893230452623</v>
      </c>
      <c r="Q11" s="640">
        <f t="shared" ref="Q11" si="2">P11/N11</f>
        <v>0.100634492318413</v>
      </c>
      <c r="R11" s="641">
        <f>IF(Q11&lt;=0.25, N11,O11)</f>
        <v>56.57</v>
      </c>
      <c r="S11" s="642">
        <f>R11*G11</f>
        <v>226.28</v>
      </c>
      <c r="T11" s="643">
        <f>SUM(S11:S28)/12</f>
        <v>71.69583333333334</v>
      </c>
      <c r="U11" s="613">
        <f>SUM(S11:S28)/12</f>
        <v>71.69583333333334</v>
      </c>
    </row>
    <row r="12" spans="2:21">
      <c r="B12" s="630"/>
      <c r="C12" s="632"/>
      <c r="D12" s="634"/>
      <c r="E12" s="636"/>
      <c r="F12" s="637"/>
      <c r="G12" s="638"/>
      <c r="H12" s="160" t="s">
        <v>484</v>
      </c>
      <c r="I12" s="161" t="s">
        <v>277</v>
      </c>
      <c r="J12" s="162">
        <v>59.9</v>
      </c>
      <c r="K12" s="337">
        <f>J12*$G$11</f>
        <v>239.6</v>
      </c>
      <c r="L12" s="639"/>
      <c r="M12" s="338">
        <f>J12/$L$11-1</f>
        <v>5.8865122856637697E-2</v>
      </c>
      <c r="N12" s="639"/>
      <c r="O12" s="639"/>
      <c r="P12" s="640"/>
      <c r="Q12" s="640"/>
      <c r="R12" s="641"/>
      <c r="S12" s="642"/>
      <c r="T12" s="644"/>
      <c r="U12" s="614"/>
    </row>
    <row r="13" spans="2:21">
      <c r="B13" s="630"/>
      <c r="C13" s="632"/>
      <c r="D13" s="634"/>
      <c r="E13" s="636"/>
      <c r="F13" s="637"/>
      <c r="G13" s="638"/>
      <c r="H13" s="160" t="s">
        <v>279</v>
      </c>
      <c r="I13" s="161" t="s">
        <v>277</v>
      </c>
      <c r="J13" s="162">
        <v>59.8</v>
      </c>
      <c r="K13" s="337">
        <f>J13*$G$11</f>
        <v>239.2</v>
      </c>
      <c r="L13" s="639"/>
      <c r="M13" s="338">
        <f>J13/$L$11-1</f>
        <v>5.7097401449531571E-2</v>
      </c>
      <c r="N13" s="639"/>
      <c r="O13" s="639"/>
      <c r="P13" s="640"/>
      <c r="Q13" s="640"/>
      <c r="R13" s="641"/>
      <c r="S13" s="642"/>
      <c r="T13" s="644"/>
      <c r="U13" s="614"/>
    </row>
    <row r="14" spans="2:21">
      <c r="B14" s="630"/>
      <c r="C14" s="632"/>
      <c r="D14" s="634">
        <v>2</v>
      </c>
      <c r="E14" s="635" t="s">
        <v>280</v>
      </c>
      <c r="F14" s="637" t="s">
        <v>254</v>
      </c>
      <c r="G14" s="645">
        <v>4</v>
      </c>
      <c r="H14" s="160" t="s">
        <v>485</v>
      </c>
      <c r="I14" s="161" t="s">
        <v>277</v>
      </c>
      <c r="J14" s="162">
        <v>69.900000000000006</v>
      </c>
      <c r="K14" s="337">
        <f>J14*$G$14</f>
        <v>279.60000000000002</v>
      </c>
      <c r="L14" s="639">
        <f t="shared" ref="L14" si="3">ROUNDUP(AVERAGE(J14:J16),2)</f>
        <v>77.81</v>
      </c>
      <c r="M14" s="338">
        <f>J14/$L$14-1</f>
        <v>-0.10165788459066949</v>
      </c>
      <c r="N14" s="639">
        <f t="shared" ref="N14" si="4">ROUNDUP(AVERAGEIFS(J14:J16,M14:M16,"&lt;0,30",M14:M16,"&gt;-0,30"),2)</f>
        <v>77.81</v>
      </c>
      <c r="O14" s="639">
        <f t="shared" ref="O14" si="5">ROUNDUP(MEDIAN(J14:J16),2)</f>
        <v>79.91</v>
      </c>
      <c r="P14" s="640">
        <f t="shared" ref="P14" si="6">STDEV(J14:J16)</f>
        <v>7.0887963247178467</v>
      </c>
      <c r="Q14" s="640">
        <f t="shared" ref="Q14" si="7">P14/N14</f>
        <v>9.1103923977867193E-2</v>
      </c>
      <c r="R14" s="641">
        <f t="shared" ref="R14" si="8">IF(Q14&lt;=0.25, N14,O14)</f>
        <v>77.81</v>
      </c>
      <c r="S14" s="642">
        <f>R14*G14</f>
        <v>311.24</v>
      </c>
      <c r="T14" s="644"/>
      <c r="U14" s="614"/>
    </row>
    <row r="15" spans="2:21">
      <c r="B15" s="630"/>
      <c r="C15" s="632"/>
      <c r="D15" s="634"/>
      <c r="E15" s="636"/>
      <c r="F15" s="637"/>
      <c r="G15" s="645"/>
      <c r="H15" s="160" t="s">
        <v>281</v>
      </c>
      <c r="I15" s="161" t="s">
        <v>277</v>
      </c>
      <c r="J15" s="162">
        <v>83.6</v>
      </c>
      <c r="K15" s="337">
        <f>J15*$G$14</f>
        <v>334.4</v>
      </c>
      <c r="L15" s="639"/>
      <c r="M15" s="338">
        <f>J15/$L$14-1</f>
        <v>7.4412029302146188E-2</v>
      </c>
      <c r="N15" s="639"/>
      <c r="O15" s="639"/>
      <c r="P15" s="640"/>
      <c r="Q15" s="640"/>
      <c r="R15" s="641"/>
      <c r="S15" s="642"/>
      <c r="T15" s="644"/>
      <c r="U15" s="614"/>
    </row>
    <row r="16" spans="2:21">
      <c r="B16" s="630"/>
      <c r="C16" s="632"/>
      <c r="D16" s="634"/>
      <c r="E16" s="636"/>
      <c r="F16" s="637"/>
      <c r="G16" s="645"/>
      <c r="H16" s="160" t="s">
        <v>282</v>
      </c>
      <c r="I16" s="161" t="s">
        <v>277</v>
      </c>
      <c r="J16" s="162">
        <f>65+14.91</f>
        <v>79.91</v>
      </c>
      <c r="K16" s="337">
        <f>J16*$G$14</f>
        <v>319.64</v>
      </c>
      <c r="L16" s="639"/>
      <c r="M16" s="338">
        <f>J16/$L$14-1</f>
        <v>2.6988818917876856E-2</v>
      </c>
      <c r="N16" s="639"/>
      <c r="O16" s="639"/>
      <c r="P16" s="640"/>
      <c r="Q16" s="640"/>
      <c r="R16" s="641"/>
      <c r="S16" s="642"/>
      <c r="T16" s="644"/>
      <c r="U16" s="614"/>
    </row>
    <row r="17" spans="2:21">
      <c r="B17" s="630"/>
      <c r="C17" s="632"/>
      <c r="D17" s="634">
        <v>3</v>
      </c>
      <c r="E17" s="636" t="s">
        <v>283</v>
      </c>
      <c r="F17" s="637" t="s">
        <v>254</v>
      </c>
      <c r="G17" s="645">
        <v>1</v>
      </c>
      <c r="H17" s="160" t="s">
        <v>284</v>
      </c>
      <c r="I17" s="161" t="s">
        <v>277</v>
      </c>
      <c r="J17" s="162">
        <v>69.900000000000006</v>
      </c>
      <c r="K17" s="337">
        <f>J17*$G$17</f>
        <v>69.900000000000006</v>
      </c>
      <c r="L17" s="639">
        <f t="shared" ref="L17" si="9">ROUNDUP(AVERAGE(J17:J19),2)</f>
        <v>68.61</v>
      </c>
      <c r="M17" s="338">
        <f>J17/$L$17-1</f>
        <v>1.8801923917796337E-2</v>
      </c>
      <c r="N17" s="639">
        <f t="shared" ref="N17" si="10">ROUNDUP(AVERAGEIFS(J17:J19,M17:M19,"&lt;0,30",M17:M19,"&gt;-0,30"),2)</f>
        <v>68.61</v>
      </c>
      <c r="O17" s="639">
        <f t="shared" ref="O17" si="11">ROUNDUP(MEDIAN(J17:J19),2)</f>
        <v>69.5</v>
      </c>
      <c r="P17" s="640">
        <f t="shared" ref="P17" si="12">STDEV(J17:J19)</f>
        <v>1.9099825479132915</v>
      </c>
      <c r="Q17" s="640">
        <f t="shared" ref="Q17" si="13">P17/N17</f>
        <v>2.7838253139677766E-2</v>
      </c>
      <c r="R17" s="641">
        <f t="shared" ref="R17" si="14">IF(Q17&lt;=0.25, N17,O17)</f>
        <v>68.61</v>
      </c>
      <c r="S17" s="642">
        <f>R17*G17</f>
        <v>68.61</v>
      </c>
      <c r="T17" s="644"/>
      <c r="U17" s="614"/>
    </row>
    <row r="18" spans="2:21">
      <c r="B18" s="630"/>
      <c r="C18" s="632"/>
      <c r="D18" s="634"/>
      <c r="E18" s="636"/>
      <c r="F18" s="637"/>
      <c r="G18" s="645"/>
      <c r="H18" s="160" t="s">
        <v>285</v>
      </c>
      <c r="I18" s="163" t="s">
        <v>277</v>
      </c>
      <c r="J18" s="162">
        <v>69.5</v>
      </c>
      <c r="K18" s="337">
        <f>J18*$G$17</f>
        <v>69.5</v>
      </c>
      <c r="L18" s="639"/>
      <c r="M18" s="338">
        <f t="shared" ref="M18:M19" si="15">J18/$L$17-1</f>
        <v>1.297186998979738E-2</v>
      </c>
      <c r="N18" s="639"/>
      <c r="O18" s="639"/>
      <c r="P18" s="640"/>
      <c r="Q18" s="640"/>
      <c r="R18" s="641"/>
      <c r="S18" s="642"/>
      <c r="T18" s="644"/>
      <c r="U18" s="614"/>
    </row>
    <row r="19" spans="2:21">
      <c r="B19" s="630"/>
      <c r="C19" s="632"/>
      <c r="D19" s="634"/>
      <c r="E19" s="636"/>
      <c r="F19" s="637"/>
      <c r="G19" s="645"/>
      <c r="H19" s="160" t="s">
        <v>286</v>
      </c>
      <c r="I19" s="163" t="s">
        <v>277</v>
      </c>
      <c r="J19" s="162">
        <v>66.41</v>
      </c>
      <c r="K19" s="337">
        <f>J19*$G$17</f>
        <v>66.41</v>
      </c>
      <c r="L19" s="639"/>
      <c r="M19" s="338">
        <f t="shared" si="15"/>
        <v>-3.2065296603993598E-2</v>
      </c>
      <c r="N19" s="639"/>
      <c r="O19" s="639"/>
      <c r="P19" s="640"/>
      <c r="Q19" s="640"/>
      <c r="R19" s="641"/>
      <c r="S19" s="642"/>
      <c r="T19" s="644"/>
      <c r="U19" s="614"/>
    </row>
    <row r="20" spans="2:21">
      <c r="B20" s="630"/>
      <c r="C20" s="632"/>
      <c r="D20" s="634">
        <v>4</v>
      </c>
      <c r="E20" s="635" t="s">
        <v>287</v>
      </c>
      <c r="F20" s="637" t="s">
        <v>288</v>
      </c>
      <c r="G20" s="645">
        <v>2</v>
      </c>
      <c r="H20" s="164" t="s">
        <v>289</v>
      </c>
      <c r="I20" s="161" t="s">
        <v>277</v>
      </c>
      <c r="J20" s="165">
        <v>78.900000000000006</v>
      </c>
      <c r="K20" s="339">
        <f>J20*$G$20</f>
        <v>157.80000000000001</v>
      </c>
      <c r="L20" s="639">
        <f t="shared" ref="L20" si="16">ROUNDUP(AVERAGE(J20:J22),2)</f>
        <v>98.18</v>
      </c>
      <c r="M20" s="338">
        <f>J20/$L$20-1</f>
        <v>-0.19637400692605422</v>
      </c>
      <c r="N20" s="639">
        <f t="shared" ref="N20" si="17">ROUNDUP(AVERAGEIFS(J20:J22,M20:M22,"&lt;0,30",M20:M22,"&gt;-0,30"),2)</f>
        <v>98.18</v>
      </c>
      <c r="O20" s="639">
        <f t="shared" ref="O20" si="18">ROUNDUP(MEDIAN(J20:J22),2)</f>
        <v>95.76</v>
      </c>
      <c r="P20" s="640">
        <f t="shared" ref="P20" si="19">STDEV(J20:J22)</f>
        <v>20.596902679772001</v>
      </c>
      <c r="Q20" s="640">
        <f t="shared" ref="Q20" si="20">P20/N20</f>
        <v>0.20978715298199224</v>
      </c>
      <c r="R20" s="641">
        <f t="shared" ref="R20" si="21">IF(Q20&lt;=0.25, N20,O20)</f>
        <v>98.18</v>
      </c>
      <c r="S20" s="642">
        <f>R20*G20</f>
        <v>196.36</v>
      </c>
      <c r="T20" s="644"/>
      <c r="U20" s="614"/>
    </row>
    <row r="21" spans="2:21">
      <c r="B21" s="630"/>
      <c r="C21" s="632"/>
      <c r="D21" s="634"/>
      <c r="E21" s="635"/>
      <c r="F21" s="637"/>
      <c r="G21" s="645"/>
      <c r="H21" s="164" t="s">
        <v>483</v>
      </c>
      <c r="I21" s="161" t="s">
        <v>277</v>
      </c>
      <c r="J21" s="165">
        <v>95.76</v>
      </c>
      <c r="K21" s="339">
        <f>J21*$G$20</f>
        <v>191.52</v>
      </c>
      <c r="L21" s="639"/>
      <c r="M21" s="338">
        <f t="shared" ref="M21:M22" si="22">J21/$L$20-1</f>
        <v>-2.4648604603788926E-2</v>
      </c>
      <c r="N21" s="639"/>
      <c r="O21" s="639"/>
      <c r="P21" s="640"/>
      <c r="Q21" s="640"/>
      <c r="R21" s="641"/>
      <c r="S21" s="642"/>
      <c r="T21" s="644"/>
      <c r="U21" s="614"/>
    </row>
    <row r="22" spans="2:21" ht="22.5" customHeight="1">
      <c r="B22" s="630"/>
      <c r="C22" s="632"/>
      <c r="D22" s="634"/>
      <c r="E22" s="635"/>
      <c r="F22" s="637"/>
      <c r="G22" s="645"/>
      <c r="H22" s="164" t="s">
        <v>290</v>
      </c>
      <c r="I22" s="161" t="s">
        <v>277</v>
      </c>
      <c r="J22" s="165">
        <v>119.88</v>
      </c>
      <c r="K22" s="339">
        <f>J22*$G$20</f>
        <v>239.76</v>
      </c>
      <c r="L22" s="639"/>
      <c r="M22" s="338">
        <f t="shared" si="22"/>
        <v>0.22102261152984304</v>
      </c>
      <c r="N22" s="639"/>
      <c r="O22" s="639"/>
      <c r="P22" s="640"/>
      <c r="Q22" s="640"/>
      <c r="R22" s="641"/>
      <c r="S22" s="642"/>
      <c r="T22" s="644"/>
      <c r="U22" s="614"/>
    </row>
    <row r="23" spans="2:21">
      <c r="B23" s="630"/>
      <c r="C23" s="632"/>
      <c r="D23" s="634">
        <v>5</v>
      </c>
      <c r="E23" s="635" t="s">
        <v>291</v>
      </c>
      <c r="F23" s="637" t="s">
        <v>288</v>
      </c>
      <c r="G23" s="645">
        <v>4</v>
      </c>
      <c r="H23" s="160" t="s">
        <v>292</v>
      </c>
      <c r="I23" s="161"/>
      <c r="J23" s="162">
        <v>9.99</v>
      </c>
      <c r="K23" s="337">
        <f>J23*$G$23</f>
        <v>39.96</v>
      </c>
      <c r="L23" s="639">
        <f t="shared" ref="L23" si="23">ROUNDUP(AVERAGE(J23:J25),2)</f>
        <v>13.299999999999999</v>
      </c>
      <c r="M23" s="338">
        <f>J23/$L$23-1</f>
        <v>-0.24887218045112769</v>
      </c>
      <c r="N23" s="639">
        <f t="shared" ref="N23" si="24">ROUNDUP(AVERAGEIFS(J23:J25,M23:M25,"&lt;0,30",M23:M25,"&gt;-0,30"),2)</f>
        <v>9.99</v>
      </c>
      <c r="O23" s="639">
        <f t="shared" ref="O23" si="25">ROUNDUP(MEDIAN(J23:J25),2)</f>
        <v>9.99</v>
      </c>
      <c r="P23" s="640">
        <f t="shared" ref="P23" si="26">STDEV(J23:J25)</f>
        <v>5.7273146703610847</v>
      </c>
      <c r="Q23" s="640">
        <f t="shared" ref="Q23" si="27">P23/N23</f>
        <v>0.57330477180791639</v>
      </c>
      <c r="R23" s="641">
        <f t="shared" ref="R23" si="28">IF(Q23&lt;=0.25, N23,O23)</f>
        <v>9.99</v>
      </c>
      <c r="S23" s="642">
        <f>R23*G23</f>
        <v>39.96</v>
      </c>
      <c r="T23" s="644"/>
      <c r="U23" s="614"/>
    </row>
    <row r="24" spans="2:21">
      <c r="B24" s="630"/>
      <c r="C24" s="632"/>
      <c r="D24" s="634"/>
      <c r="E24" s="636"/>
      <c r="F24" s="637"/>
      <c r="G24" s="645"/>
      <c r="H24" s="160" t="s">
        <v>293</v>
      </c>
      <c r="I24" s="161"/>
      <c r="J24" s="162">
        <v>9.99</v>
      </c>
      <c r="K24" s="337">
        <f>J24*$G$23</f>
        <v>39.96</v>
      </c>
      <c r="L24" s="639"/>
      <c r="M24" s="338">
        <f t="shared" ref="M24:M25" si="29">J24/$L$23-1</f>
        <v>-0.24887218045112769</v>
      </c>
      <c r="N24" s="639"/>
      <c r="O24" s="639"/>
      <c r="P24" s="640"/>
      <c r="Q24" s="640"/>
      <c r="R24" s="641"/>
      <c r="S24" s="642"/>
      <c r="T24" s="644"/>
      <c r="U24" s="614"/>
    </row>
    <row r="25" spans="2:21">
      <c r="B25" s="630"/>
      <c r="C25" s="632"/>
      <c r="D25" s="634"/>
      <c r="E25" s="636"/>
      <c r="F25" s="637"/>
      <c r="G25" s="645"/>
      <c r="H25" s="160" t="s">
        <v>294</v>
      </c>
      <c r="I25" s="161"/>
      <c r="J25" s="162">
        <v>19.91</v>
      </c>
      <c r="K25" s="337">
        <f>J25*$G$23</f>
        <v>79.64</v>
      </c>
      <c r="L25" s="639"/>
      <c r="M25" s="338">
        <f t="shared" si="29"/>
        <v>0.49699248120300754</v>
      </c>
      <c r="N25" s="639"/>
      <c r="O25" s="639"/>
      <c r="P25" s="640"/>
      <c r="Q25" s="640"/>
      <c r="R25" s="641"/>
      <c r="S25" s="642"/>
      <c r="T25" s="644"/>
      <c r="U25" s="614"/>
    </row>
    <row r="26" spans="2:21">
      <c r="B26" s="630"/>
      <c r="C26" s="632"/>
      <c r="D26" s="634">
        <v>6</v>
      </c>
      <c r="E26" s="635" t="s">
        <v>451</v>
      </c>
      <c r="F26" s="637" t="s">
        <v>254</v>
      </c>
      <c r="G26" s="645">
        <v>1</v>
      </c>
      <c r="H26" s="160" t="s">
        <v>482</v>
      </c>
      <c r="I26" s="161" t="s">
        <v>277</v>
      </c>
      <c r="J26" s="162">
        <v>29</v>
      </c>
      <c r="K26" s="337">
        <f>J26*$G$26</f>
        <v>29</v>
      </c>
      <c r="L26" s="639">
        <f t="shared" ref="L26" si="30">ROUNDUP(AVERAGE(J26:J28),2)</f>
        <v>20.3</v>
      </c>
      <c r="M26" s="338">
        <f>J26/$L$26-1</f>
        <v>0.4285714285714286</v>
      </c>
      <c r="N26" s="639">
        <f t="shared" ref="N26" si="31">ROUNDUP(AVERAGEIFS(J26:J28,M26:M28,"&lt;0,30",M26:M28,"&gt;-0,30"),2)</f>
        <v>17.899999999999999</v>
      </c>
      <c r="O26" s="639">
        <f t="shared" ref="O26" si="32">ROUNDUP(MEDIAN(J26:J28),2)</f>
        <v>17.899999999999999</v>
      </c>
      <c r="P26" s="640">
        <f t="shared" ref="P26" si="33">STDEV(J26:J28)</f>
        <v>7.790772319438771</v>
      </c>
      <c r="Q26" s="640">
        <f t="shared" ref="Q26" si="34">P26/N26</f>
        <v>0.43523867706361852</v>
      </c>
      <c r="R26" s="641">
        <f t="shared" ref="R26" si="35">IF(Q26&lt;=0.25, N26,O26)</f>
        <v>17.899999999999999</v>
      </c>
      <c r="S26" s="642">
        <f>R26*G26</f>
        <v>17.899999999999999</v>
      </c>
      <c r="T26" s="644"/>
      <c r="U26" s="614"/>
    </row>
    <row r="27" spans="2:21">
      <c r="B27" s="630"/>
      <c r="C27" s="632"/>
      <c r="D27" s="634"/>
      <c r="E27" s="636"/>
      <c r="F27" s="637"/>
      <c r="G27" s="645"/>
      <c r="H27" s="160" t="s">
        <v>297</v>
      </c>
      <c r="I27" s="161" t="s">
        <v>277</v>
      </c>
      <c r="J27" s="162">
        <v>17.899999999999999</v>
      </c>
      <c r="K27" s="337">
        <f>J27*$G$26</f>
        <v>17.899999999999999</v>
      </c>
      <c r="L27" s="639"/>
      <c r="M27" s="338">
        <f t="shared" ref="M27:M28" si="36">J27/$L$26-1</f>
        <v>-0.11822660098522175</v>
      </c>
      <c r="N27" s="639"/>
      <c r="O27" s="639"/>
      <c r="P27" s="640"/>
      <c r="Q27" s="640"/>
      <c r="R27" s="641"/>
      <c r="S27" s="642"/>
      <c r="T27" s="644"/>
      <c r="U27" s="614"/>
    </row>
    <row r="28" spans="2:21">
      <c r="B28" s="630"/>
      <c r="C28" s="633"/>
      <c r="D28" s="634"/>
      <c r="E28" s="636"/>
      <c r="F28" s="637"/>
      <c r="G28" s="645"/>
      <c r="H28" s="160" t="s">
        <v>298</v>
      </c>
      <c r="I28" s="161" t="s">
        <v>277</v>
      </c>
      <c r="J28" s="162">
        <v>13.98</v>
      </c>
      <c r="K28" s="337">
        <f>J28*$G$26</f>
        <v>13.98</v>
      </c>
      <c r="L28" s="639"/>
      <c r="M28" s="338">
        <f t="shared" si="36"/>
        <v>-0.31133004926108376</v>
      </c>
      <c r="N28" s="639"/>
      <c r="O28" s="639"/>
      <c r="P28" s="640"/>
      <c r="Q28" s="640"/>
      <c r="R28" s="641"/>
      <c r="S28" s="642"/>
      <c r="T28" s="644"/>
      <c r="U28" s="614"/>
    </row>
    <row r="29" spans="2:21">
      <c r="B29" s="648" t="s">
        <v>299</v>
      </c>
      <c r="C29" s="650" t="s">
        <v>300</v>
      </c>
      <c r="D29" s="634">
        <v>7</v>
      </c>
      <c r="E29" s="653" t="s">
        <v>452</v>
      </c>
      <c r="F29" s="660" t="s">
        <v>254</v>
      </c>
      <c r="G29" s="646">
        <v>4</v>
      </c>
      <c r="H29" s="160" t="s">
        <v>276</v>
      </c>
      <c r="I29" s="161" t="s">
        <v>277</v>
      </c>
      <c r="J29" s="162">
        <v>49.99</v>
      </c>
      <c r="K29" s="340">
        <f>J29*$G$29</f>
        <v>199.96</v>
      </c>
      <c r="L29" s="647">
        <f>ROUNDUP(AVERAGE(J29:J31),2)</f>
        <v>56.57</v>
      </c>
      <c r="M29" s="341">
        <f>J29/$L$29-1</f>
        <v>-0.11631606858759058</v>
      </c>
      <c r="N29" s="647">
        <f>ROUNDUP(AVERAGEIFS(J29:J31,M29:M31,"&lt;0,30",M29:M31,"&gt;-0,30"),2)</f>
        <v>56.57</v>
      </c>
      <c r="O29" s="647">
        <f>ROUNDUP(MEDIAN(J29:J31),2)</f>
        <v>59.8</v>
      </c>
      <c r="P29" s="658">
        <f>STDEV(J29:J31)</f>
        <v>5.692893230452623</v>
      </c>
      <c r="Q29" s="658">
        <f>P29/N29</f>
        <v>0.100634492318413</v>
      </c>
      <c r="R29" s="659">
        <f>IF(Q29&lt;=0.25, N29,O29)</f>
        <v>56.57</v>
      </c>
      <c r="S29" s="663">
        <f>R29*G29</f>
        <v>226.28</v>
      </c>
      <c r="T29" s="664">
        <f>SUM(S29:S52)/12</f>
        <v>80.6875</v>
      </c>
      <c r="U29" s="613">
        <f>SUM(S29:S52)/12</f>
        <v>80.6875</v>
      </c>
    </row>
    <row r="30" spans="2:21" ht="18" customHeight="1">
      <c r="B30" s="648"/>
      <c r="C30" s="651"/>
      <c r="D30" s="634"/>
      <c r="E30" s="654"/>
      <c r="F30" s="661"/>
      <c r="G30" s="646"/>
      <c r="H30" s="160" t="s">
        <v>278</v>
      </c>
      <c r="I30" s="161" t="s">
        <v>277</v>
      </c>
      <c r="J30" s="162">
        <v>59.9</v>
      </c>
      <c r="K30" s="340">
        <f>J30*$G$29</f>
        <v>239.6</v>
      </c>
      <c r="L30" s="647"/>
      <c r="M30" s="341">
        <f t="shared" ref="M30:M31" si="37">J30/$L$29-1</f>
        <v>5.8865122856637697E-2</v>
      </c>
      <c r="N30" s="647"/>
      <c r="O30" s="647"/>
      <c r="P30" s="658"/>
      <c r="Q30" s="658"/>
      <c r="R30" s="659"/>
      <c r="S30" s="663"/>
      <c r="T30" s="665"/>
      <c r="U30" s="614"/>
    </row>
    <row r="31" spans="2:21">
      <c r="B31" s="648"/>
      <c r="C31" s="651"/>
      <c r="D31" s="634"/>
      <c r="E31" s="655"/>
      <c r="F31" s="662"/>
      <c r="G31" s="646"/>
      <c r="H31" s="160" t="s">
        <v>279</v>
      </c>
      <c r="I31" s="161" t="s">
        <v>277</v>
      </c>
      <c r="J31" s="162">
        <v>59.8</v>
      </c>
      <c r="K31" s="340">
        <f>J31*$G$29</f>
        <v>239.2</v>
      </c>
      <c r="L31" s="647"/>
      <c r="M31" s="341">
        <f t="shared" si="37"/>
        <v>5.7097401449531571E-2</v>
      </c>
      <c r="N31" s="647"/>
      <c r="O31" s="647"/>
      <c r="P31" s="658"/>
      <c r="Q31" s="658"/>
      <c r="R31" s="659"/>
      <c r="S31" s="663"/>
      <c r="T31" s="665"/>
      <c r="U31" s="614"/>
    </row>
    <row r="32" spans="2:21">
      <c r="B32" s="648"/>
      <c r="C32" s="651"/>
      <c r="D32" s="634">
        <v>8</v>
      </c>
      <c r="E32" s="653" t="s">
        <v>301</v>
      </c>
      <c r="F32" s="666" t="s">
        <v>254</v>
      </c>
      <c r="G32" s="646">
        <v>4</v>
      </c>
      <c r="H32" s="160" t="s">
        <v>429</v>
      </c>
      <c r="I32" s="161" t="s">
        <v>277</v>
      </c>
      <c r="J32" s="162">
        <v>69.900000000000006</v>
      </c>
      <c r="K32" s="342">
        <f>J32*$G$32</f>
        <v>279.60000000000002</v>
      </c>
      <c r="L32" s="647">
        <f t="shared" ref="L32" si="38">ROUNDUP(AVERAGE(J32:J34),2)</f>
        <v>77.81</v>
      </c>
      <c r="M32" s="341">
        <f>J32/$L$32-1</f>
        <v>-0.10165788459066949</v>
      </c>
      <c r="N32" s="647">
        <f t="shared" ref="N32" si="39">ROUNDUP(AVERAGEIFS(J32:J34,M32:M34,"&lt;0,30",M32:M34,"&gt;-0,30"),2)</f>
        <v>77.81</v>
      </c>
      <c r="O32" s="647">
        <f t="shared" ref="O32" si="40">ROUNDUP(MEDIAN(J32:J34),2)</f>
        <v>79.91</v>
      </c>
      <c r="P32" s="658">
        <f t="shared" ref="P32" si="41">STDEV(J32:J34)</f>
        <v>7.0887963247178467</v>
      </c>
      <c r="Q32" s="658">
        <f t="shared" ref="Q32" si="42">P32/N32</f>
        <v>9.1103923977867193E-2</v>
      </c>
      <c r="R32" s="659">
        <f t="shared" ref="R32" si="43">IF(Q32&lt;=0.25, N32,O32)</f>
        <v>77.81</v>
      </c>
      <c r="S32" s="663">
        <f>R32*G32</f>
        <v>311.24</v>
      </c>
      <c r="T32" s="665"/>
      <c r="U32" s="614"/>
    </row>
    <row r="33" spans="2:21">
      <c r="B33" s="648"/>
      <c r="C33" s="651"/>
      <c r="D33" s="634"/>
      <c r="E33" s="654"/>
      <c r="F33" s="666"/>
      <c r="G33" s="646"/>
      <c r="H33" s="160" t="s">
        <v>281</v>
      </c>
      <c r="I33" s="161" t="s">
        <v>277</v>
      </c>
      <c r="J33" s="162">
        <v>83.6</v>
      </c>
      <c r="K33" s="342">
        <f>J33*$G$32</f>
        <v>334.4</v>
      </c>
      <c r="L33" s="647"/>
      <c r="M33" s="341">
        <f t="shared" ref="M33:M34" si="44">J33/$L$32-1</f>
        <v>7.4412029302146188E-2</v>
      </c>
      <c r="N33" s="647"/>
      <c r="O33" s="647"/>
      <c r="P33" s="658"/>
      <c r="Q33" s="658"/>
      <c r="R33" s="659"/>
      <c r="S33" s="663"/>
      <c r="T33" s="665"/>
      <c r="U33" s="614"/>
    </row>
    <row r="34" spans="2:21">
      <c r="B34" s="648"/>
      <c r="C34" s="651"/>
      <c r="D34" s="634"/>
      <c r="E34" s="654"/>
      <c r="F34" s="667"/>
      <c r="G34" s="668"/>
      <c r="H34" s="160" t="s">
        <v>282</v>
      </c>
      <c r="I34" s="161" t="s">
        <v>277</v>
      </c>
      <c r="J34" s="162">
        <f>65+14.91</f>
        <v>79.91</v>
      </c>
      <c r="K34" s="342">
        <f>J34*$G$32</f>
        <v>319.64</v>
      </c>
      <c r="L34" s="647"/>
      <c r="M34" s="341">
        <f t="shared" si="44"/>
        <v>2.6988818917876856E-2</v>
      </c>
      <c r="N34" s="647"/>
      <c r="O34" s="647"/>
      <c r="P34" s="658"/>
      <c r="Q34" s="658"/>
      <c r="R34" s="659"/>
      <c r="S34" s="663"/>
      <c r="T34" s="665"/>
      <c r="U34" s="614"/>
    </row>
    <row r="35" spans="2:21" ht="24.75" customHeight="1">
      <c r="B35" s="648"/>
      <c r="C35" s="651"/>
      <c r="D35" s="634">
        <v>9</v>
      </c>
      <c r="E35" s="669" t="s">
        <v>302</v>
      </c>
      <c r="F35" s="666" t="s">
        <v>254</v>
      </c>
      <c r="G35" s="646">
        <v>2</v>
      </c>
      <c r="H35" s="164" t="s">
        <v>303</v>
      </c>
      <c r="I35" s="161" t="s">
        <v>277</v>
      </c>
      <c r="J35" s="165">
        <v>50.84</v>
      </c>
      <c r="K35" s="343">
        <f>J35*$G$35</f>
        <v>101.68</v>
      </c>
      <c r="L35" s="647">
        <f>ROUNDUP(AVERAGE(J35:J37),2)</f>
        <v>63.39</v>
      </c>
      <c r="M35" s="341">
        <f>J35/$L$35-1</f>
        <v>-0.19798075406215487</v>
      </c>
      <c r="N35" s="647">
        <f t="shared" ref="N35" si="45">ROUNDUP(AVERAGEIFS(J35:J37,M35:M37,"&lt;0,30",M35:M37,"&gt;-0,30"),2)</f>
        <v>63.39</v>
      </c>
      <c r="O35" s="647">
        <f t="shared" ref="O35" si="46">ROUNDUP(MEDIAN(J35:J37),2)</f>
        <v>69.5</v>
      </c>
      <c r="P35" s="658">
        <f t="shared" ref="P35" si="47">STDEV(J35:J37)</f>
        <v>10.8669100177251</v>
      </c>
      <c r="Q35" s="658">
        <f t="shared" ref="Q35" si="48">P35/N35</f>
        <v>0.17142940554858968</v>
      </c>
      <c r="R35" s="659">
        <f t="shared" ref="R35" si="49">IF(Q35&lt;=0.25, N35,O35)</f>
        <v>63.39</v>
      </c>
      <c r="S35" s="663">
        <f>R35*G35</f>
        <v>126.78</v>
      </c>
      <c r="T35" s="665"/>
      <c r="U35" s="614"/>
    </row>
    <row r="36" spans="2:21" ht="24.75" customHeight="1">
      <c r="B36" s="648"/>
      <c r="C36" s="651"/>
      <c r="D36" s="634"/>
      <c r="E36" s="669"/>
      <c r="F36" s="666"/>
      <c r="G36" s="646"/>
      <c r="H36" s="164" t="s">
        <v>304</v>
      </c>
      <c r="I36" s="161" t="s">
        <v>277</v>
      </c>
      <c r="J36" s="165">
        <v>69.819999999999993</v>
      </c>
      <c r="K36" s="343">
        <f>J36*$G$35</f>
        <v>139.63999999999999</v>
      </c>
      <c r="L36" s="647"/>
      <c r="M36" s="341">
        <f>J36/$L$35-1</f>
        <v>0.10143555765893653</v>
      </c>
      <c r="N36" s="647"/>
      <c r="O36" s="647"/>
      <c r="P36" s="658"/>
      <c r="Q36" s="658"/>
      <c r="R36" s="659"/>
      <c r="S36" s="663"/>
      <c r="T36" s="665"/>
      <c r="U36" s="614"/>
    </row>
    <row r="37" spans="2:21" ht="24.75" customHeight="1">
      <c r="B37" s="648"/>
      <c r="C37" s="651"/>
      <c r="D37" s="634"/>
      <c r="E37" s="669"/>
      <c r="F37" s="666"/>
      <c r="G37" s="646"/>
      <c r="H37" s="164" t="s">
        <v>305</v>
      </c>
      <c r="I37" s="161" t="s">
        <v>277</v>
      </c>
      <c r="J37" s="165">
        <v>69.5</v>
      </c>
      <c r="K37" s="343">
        <f>J37*$G$35</f>
        <v>139</v>
      </c>
      <c r="L37" s="647"/>
      <c r="M37" s="341">
        <f>J37/$L$35-1</f>
        <v>9.6387442814324098E-2</v>
      </c>
      <c r="N37" s="647"/>
      <c r="O37" s="647"/>
      <c r="P37" s="658"/>
      <c r="Q37" s="658"/>
      <c r="R37" s="659"/>
      <c r="S37" s="663"/>
      <c r="T37" s="665"/>
      <c r="U37" s="614"/>
    </row>
    <row r="38" spans="2:21">
      <c r="B38" s="648"/>
      <c r="C38" s="651"/>
      <c r="D38" s="634">
        <v>10</v>
      </c>
      <c r="E38" s="669" t="s">
        <v>306</v>
      </c>
      <c r="F38" s="666" t="s">
        <v>288</v>
      </c>
      <c r="G38" s="646">
        <v>2</v>
      </c>
      <c r="H38" s="164" t="s">
        <v>289</v>
      </c>
      <c r="I38" s="161" t="s">
        <v>277</v>
      </c>
      <c r="J38" s="162">
        <v>78.900000000000006</v>
      </c>
      <c r="K38" s="344">
        <f>J38*$G$38</f>
        <v>157.80000000000001</v>
      </c>
      <c r="L38" s="647">
        <f t="shared" ref="L38" si="50">ROUNDUP(AVERAGE(J38:J40),2)</f>
        <v>98.18</v>
      </c>
      <c r="M38" s="341">
        <f>J38/$L$38-1</f>
        <v>-0.19637400692605422</v>
      </c>
      <c r="N38" s="647">
        <f t="shared" ref="N38" si="51">ROUNDUP(AVERAGEIFS(J38:J40,M38:M40,"&lt;0,30",M38:M40,"&gt;-0,30"),2)</f>
        <v>98.18</v>
      </c>
      <c r="O38" s="647">
        <f t="shared" ref="O38" si="52">ROUNDUP(MEDIAN(J38:J40),2)</f>
        <v>95.76</v>
      </c>
      <c r="P38" s="658">
        <f t="shared" ref="P38" si="53">STDEV(J38:J40)</f>
        <v>20.596902679772001</v>
      </c>
      <c r="Q38" s="658">
        <f t="shared" ref="Q38" si="54">P38/N38</f>
        <v>0.20978715298199224</v>
      </c>
      <c r="R38" s="659">
        <f t="shared" ref="R38" si="55">IF(Q38&lt;=0.25, N38,O38)</f>
        <v>98.18</v>
      </c>
      <c r="S38" s="663">
        <f>R38*G38</f>
        <v>196.36</v>
      </c>
      <c r="T38" s="665"/>
      <c r="U38" s="614"/>
    </row>
    <row r="39" spans="2:21" ht="20.25" customHeight="1">
      <c r="B39" s="648"/>
      <c r="C39" s="651"/>
      <c r="D39" s="634"/>
      <c r="E39" s="669"/>
      <c r="F39" s="666"/>
      <c r="G39" s="646"/>
      <c r="H39" s="164" t="s">
        <v>483</v>
      </c>
      <c r="I39" s="161" t="s">
        <v>277</v>
      </c>
      <c r="J39" s="162">
        <v>95.76</v>
      </c>
      <c r="K39" s="344">
        <f>J39*$G$38</f>
        <v>191.52</v>
      </c>
      <c r="L39" s="647"/>
      <c r="M39" s="341">
        <f>J39/$L$38-1</f>
        <v>-2.4648604603788926E-2</v>
      </c>
      <c r="N39" s="647"/>
      <c r="O39" s="647"/>
      <c r="P39" s="658"/>
      <c r="Q39" s="658"/>
      <c r="R39" s="659"/>
      <c r="S39" s="663"/>
      <c r="T39" s="665"/>
      <c r="U39" s="614"/>
    </row>
    <row r="40" spans="2:21" ht="18.75" customHeight="1">
      <c r="B40" s="648"/>
      <c r="C40" s="651"/>
      <c r="D40" s="634"/>
      <c r="E40" s="669"/>
      <c r="F40" s="666"/>
      <c r="G40" s="646"/>
      <c r="H40" s="164" t="s">
        <v>290</v>
      </c>
      <c r="I40" s="161" t="s">
        <v>277</v>
      </c>
      <c r="J40" s="162">
        <v>119.88</v>
      </c>
      <c r="K40" s="344">
        <f>J40*$G$38</f>
        <v>239.76</v>
      </c>
      <c r="L40" s="647"/>
      <c r="M40" s="341">
        <f>J40/$L$38-1</f>
        <v>0.22102261152984304</v>
      </c>
      <c r="N40" s="647"/>
      <c r="O40" s="647"/>
      <c r="P40" s="658"/>
      <c r="Q40" s="658"/>
      <c r="R40" s="659"/>
      <c r="S40" s="663"/>
      <c r="T40" s="665"/>
      <c r="U40" s="614"/>
    </row>
    <row r="41" spans="2:21">
      <c r="B41" s="648"/>
      <c r="C41" s="651"/>
      <c r="D41" s="634">
        <v>11</v>
      </c>
      <c r="E41" s="670" t="s">
        <v>291</v>
      </c>
      <c r="F41" s="666" t="s">
        <v>288</v>
      </c>
      <c r="G41" s="646">
        <v>4</v>
      </c>
      <c r="H41" s="160" t="s">
        <v>292</v>
      </c>
      <c r="I41" s="161"/>
      <c r="J41" s="162">
        <v>9.99</v>
      </c>
      <c r="K41" s="344">
        <f>J41*$G$41</f>
        <v>39.96</v>
      </c>
      <c r="L41" s="647">
        <f t="shared" ref="L41" si="56">ROUNDUP(AVERAGE(J41:J43),2)</f>
        <v>13.299999999999999</v>
      </c>
      <c r="M41" s="341">
        <f>J41/$L$41-1</f>
        <v>-0.24887218045112769</v>
      </c>
      <c r="N41" s="647">
        <f t="shared" ref="N41" si="57">ROUNDUP(AVERAGEIFS(J41:J43,M41:M43,"&lt;0,30",M41:M43,"&gt;-0,30"),2)</f>
        <v>9.99</v>
      </c>
      <c r="O41" s="647">
        <f t="shared" ref="O41" si="58">ROUNDUP(MEDIAN(J41:J43),2)</f>
        <v>9.99</v>
      </c>
      <c r="P41" s="658">
        <f t="shared" ref="P41" si="59">STDEV(J41:J43)</f>
        <v>5.7273146703610847</v>
      </c>
      <c r="Q41" s="658">
        <f t="shared" ref="Q41" si="60">P41/N41</f>
        <v>0.57330477180791639</v>
      </c>
      <c r="R41" s="659">
        <f t="shared" ref="R41" si="61">IF(Q41&lt;=0.25, N41,O41)</f>
        <v>9.99</v>
      </c>
      <c r="S41" s="663">
        <f>R41*G41</f>
        <v>39.96</v>
      </c>
      <c r="T41" s="665"/>
      <c r="U41" s="614"/>
    </row>
    <row r="42" spans="2:21">
      <c r="B42" s="648"/>
      <c r="C42" s="651"/>
      <c r="D42" s="634"/>
      <c r="E42" s="670"/>
      <c r="F42" s="666"/>
      <c r="G42" s="646"/>
      <c r="H42" s="160" t="s">
        <v>293</v>
      </c>
      <c r="I42" s="161"/>
      <c r="J42" s="162">
        <v>9.99</v>
      </c>
      <c r="K42" s="344">
        <f>J42*$G$41</f>
        <v>39.96</v>
      </c>
      <c r="L42" s="647"/>
      <c r="M42" s="341">
        <f>J42/$L$41-1</f>
        <v>-0.24887218045112769</v>
      </c>
      <c r="N42" s="647"/>
      <c r="O42" s="647"/>
      <c r="P42" s="658"/>
      <c r="Q42" s="658"/>
      <c r="R42" s="659"/>
      <c r="S42" s="663"/>
      <c r="T42" s="665"/>
      <c r="U42" s="614"/>
    </row>
    <row r="43" spans="2:21">
      <c r="B43" s="648"/>
      <c r="C43" s="651"/>
      <c r="D43" s="634"/>
      <c r="E43" s="670"/>
      <c r="F43" s="666"/>
      <c r="G43" s="646"/>
      <c r="H43" s="160" t="s">
        <v>294</v>
      </c>
      <c r="I43" s="161"/>
      <c r="J43" s="162">
        <v>19.91</v>
      </c>
      <c r="K43" s="344">
        <f>J43*$G$41</f>
        <v>79.64</v>
      </c>
      <c r="L43" s="647"/>
      <c r="M43" s="341">
        <f>J43/$L$41-1</f>
        <v>0.49699248120300754</v>
      </c>
      <c r="N43" s="647"/>
      <c r="O43" s="647"/>
      <c r="P43" s="658"/>
      <c r="Q43" s="658"/>
      <c r="R43" s="659"/>
      <c r="S43" s="663"/>
      <c r="T43" s="665"/>
      <c r="U43" s="614"/>
    </row>
    <row r="44" spans="2:21">
      <c r="B44" s="648"/>
      <c r="C44" s="651"/>
      <c r="D44" s="634">
        <v>12</v>
      </c>
      <c r="E44" s="656" t="s">
        <v>307</v>
      </c>
      <c r="F44" s="666" t="s">
        <v>254</v>
      </c>
      <c r="G44" s="646">
        <v>2</v>
      </c>
      <c r="H44" s="160" t="s">
        <v>308</v>
      </c>
      <c r="I44" s="161" t="s">
        <v>277</v>
      </c>
      <c r="J44" s="162">
        <v>26</v>
      </c>
      <c r="K44" s="344">
        <f>J44*$G$44</f>
        <v>52</v>
      </c>
      <c r="L44" s="647">
        <f t="shared" ref="L44" si="62">ROUNDUP(AVERAGE(J44:J46),2)</f>
        <v>18.39</v>
      </c>
      <c r="M44" s="341">
        <f>J44/$L$44-1</f>
        <v>0.41381185426862421</v>
      </c>
      <c r="N44" s="647">
        <f t="shared" ref="N44" si="63">ROUNDUP(AVERAGEIFS(J44:J46,M44:M46,"&lt;0,30",M44:M46,"&gt;-0,30"),2)</f>
        <v>17.170000000000002</v>
      </c>
      <c r="O44" s="647">
        <f t="shared" ref="O44" si="64">ROUNDUP(MEDIAN(J44:J46),2)</f>
        <v>17.170000000000002</v>
      </c>
      <c r="P44" s="658">
        <f t="shared" ref="P44" si="65">STDEV(J44:J46)</f>
        <v>7.0792866872305691</v>
      </c>
      <c r="Q44" s="658">
        <f t="shared" ref="Q44" si="66">P44/N44</f>
        <v>0.41230557293130859</v>
      </c>
      <c r="R44" s="659">
        <f t="shared" ref="R44" si="67">IF(Q44&lt;=0.25, N44,O44)</f>
        <v>17.170000000000002</v>
      </c>
      <c r="S44" s="663">
        <f>R44*G44</f>
        <v>34.340000000000003</v>
      </c>
      <c r="T44" s="665"/>
      <c r="U44" s="614"/>
    </row>
    <row r="45" spans="2:21">
      <c r="B45" s="648"/>
      <c r="C45" s="651"/>
      <c r="D45" s="634"/>
      <c r="E45" s="657"/>
      <c r="F45" s="666"/>
      <c r="G45" s="646"/>
      <c r="H45" s="160" t="s">
        <v>309</v>
      </c>
      <c r="I45" s="161" t="s">
        <v>277</v>
      </c>
      <c r="J45" s="162">
        <v>12</v>
      </c>
      <c r="K45" s="344">
        <f>J45*$G$44</f>
        <v>24</v>
      </c>
      <c r="L45" s="647"/>
      <c r="M45" s="341">
        <f t="shared" ref="M45:M46" si="68">J45/$L$44-1</f>
        <v>-0.34747145187601958</v>
      </c>
      <c r="N45" s="647"/>
      <c r="O45" s="647"/>
      <c r="P45" s="658"/>
      <c r="Q45" s="658"/>
      <c r="R45" s="659"/>
      <c r="S45" s="663"/>
      <c r="T45" s="665"/>
      <c r="U45" s="614"/>
    </row>
    <row r="46" spans="2:21">
      <c r="B46" s="648"/>
      <c r="C46" s="651"/>
      <c r="D46" s="634"/>
      <c r="E46" s="657"/>
      <c r="F46" s="666"/>
      <c r="G46" s="646"/>
      <c r="H46" s="160" t="s">
        <v>310</v>
      </c>
      <c r="I46" s="163" t="s">
        <v>277</v>
      </c>
      <c r="J46" s="162">
        <v>17.170000000000002</v>
      </c>
      <c r="K46" s="344">
        <f>J46*$G$44</f>
        <v>34.340000000000003</v>
      </c>
      <c r="L46" s="647"/>
      <c r="M46" s="341">
        <f t="shared" si="68"/>
        <v>-6.6340402392604636E-2</v>
      </c>
      <c r="N46" s="647"/>
      <c r="O46" s="647"/>
      <c r="P46" s="658"/>
      <c r="Q46" s="658"/>
      <c r="R46" s="659"/>
      <c r="S46" s="663"/>
      <c r="T46" s="665"/>
      <c r="U46" s="614"/>
    </row>
    <row r="47" spans="2:21">
      <c r="B47" s="648"/>
      <c r="C47" s="651"/>
      <c r="D47" s="634">
        <v>13</v>
      </c>
      <c r="E47" s="676" t="s">
        <v>489</v>
      </c>
      <c r="F47" s="674" t="s">
        <v>254</v>
      </c>
      <c r="G47" s="675">
        <v>1</v>
      </c>
      <c r="H47" s="160" t="s">
        <v>490</v>
      </c>
      <c r="I47" s="163"/>
      <c r="J47" s="162">
        <v>13.52</v>
      </c>
      <c r="K47" s="344">
        <f>J47*$G$47</f>
        <v>13.52</v>
      </c>
      <c r="L47" s="647">
        <f t="shared" ref="L47" si="69">ROUNDUP(AVERAGE(J47:J49),2)</f>
        <v>15.39</v>
      </c>
      <c r="M47" s="341">
        <f>J47/$L$47-1</f>
        <v>-0.12150747238466542</v>
      </c>
      <c r="N47" s="647">
        <f t="shared" ref="N47" si="70">ROUNDUP(AVERAGEIFS(J47:J49,M47:M49,"&lt;0,30",M47:M49,"&gt;-0,30"),2)</f>
        <v>15.39</v>
      </c>
      <c r="O47" s="647">
        <f t="shared" ref="O47" si="71">ROUNDUP(MEDIAN(J47:J49),2)</f>
        <v>15.99</v>
      </c>
      <c r="P47" s="658">
        <f t="shared" ref="P47" si="72">STDEV(J47:J49)</f>
        <v>1.653753306875001</v>
      </c>
      <c r="Q47" s="658">
        <f t="shared" ref="Q47" si="73">P47/N47</f>
        <v>0.10745635522254716</v>
      </c>
      <c r="R47" s="659">
        <f t="shared" ref="R47" si="74">IF(Q47&lt;=0.25, N47,O47)</f>
        <v>15.39</v>
      </c>
      <c r="S47" s="663">
        <f>R47*G47</f>
        <v>15.39</v>
      </c>
      <c r="T47" s="665"/>
      <c r="U47" s="614"/>
    </row>
    <row r="48" spans="2:21">
      <c r="B48" s="648"/>
      <c r="C48" s="651"/>
      <c r="D48" s="634"/>
      <c r="E48" s="672"/>
      <c r="F48" s="666"/>
      <c r="G48" s="646"/>
      <c r="H48" s="160" t="s">
        <v>491</v>
      </c>
      <c r="I48" s="163"/>
      <c r="J48" s="162">
        <v>15.99</v>
      </c>
      <c r="K48" s="344">
        <f>J48*$G$47</f>
        <v>15.99</v>
      </c>
      <c r="L48" s="647"/>
      <c r="M48" s="341">
        <f t="shared" ref="M48:M49" si="75">J48/$L$47-1</f>
        <v>3.8986354775828458E-2</v>
      </c>
      <c r="N48" s="647"/>
      <c r="O48" s="647"/>
      <c r="P48" s="658"/>
      <c r="Q48" s="658"/>
      <c r="R48" s="659"/>
      <c r="S48" s="663"/>
      <c r="T48" s="665"/>
      <c r="U48" s="614"/>
    </row>
    <row r="49" spans="2:21">
      <c r="B49" s="648"/>
      <c r="C49" s="651"/>
      <c r="D49" s="634"/>
      <c r="E49" s="677"/>
      <c r="F49" s="666"/>
      <c r="G49" s="646"/>
      <c r="H49" s="160" t="s">
        <v>492</v>
      </c>
      <c r="I49" s="163"/>
      <c r="J49" s="162">
        <v>16.66</v>
      </c>
      <c r="K49" s="344">
        <f>J49*$G$47</f>
        <v>16.66</v>
      </c>
      <c r="L49" s="647"/>
      <c r="M49" s="341">
        <f t="shared" si="75"/>
        <v>8.2521117608836958E-2</v>
      </c>
      <c r="N49" s="647"/>
      <c r="O49" s="647"/>
      <c r="P49" s="658"/>
      <c r="Q49" s="658"/>
      <c r="R49" s="659"/>
      <c r="S49" s="663"/>
      <c r="T49" s="665"/>
      <c r="U49" s="614"/>
    </row>
    <row r="50" spans="2:21">
      <c r="B50" s="648"/>
      <c r="C50" s="651"/>
      <c r="D50" s="634">
        <v>14</v>
      </c>
      <c r="E50" s="671" t="s">
        <v>451</v>
      </c>
      <c r="F50" s="674" t="s">
        <v>254</v>
      </c>
      <c r="G50" s="675">
        <v>1</v>
      </c>
      <c r="H50" s="160" t="s">
        <v>482</v>
      </c>
      <c r="I50" s="161" t="s">
        <v>277</v>
      </c>
      <c r="J50" s="162">
        <v>29</v>
      </c>
      <c r="K50" s="342">
        <f>J50*$G$50</f>
        <v>29</v>
      </c>
      <c r="L50" s="647">
        <f t="shared" ref="L50" si="76">ROUNDUP(AVERAGE(J50:J52),2)</f>
        <v>20.3</v>
      </c>
      <c r="M50" s="341">
        <f>J50/$L$50-1</f>
        <v>0.4285714285714286</v>
      </c>
      <c r="N50" s="647">
        <f t="shared" ref="N50" si="77">ROUNDUP(AVERAGEIFS(J50:J52,M50:M52,"&lt;0,30",M50:M52,"&gt;-0,30"),2)</f>
        <v>17.899999999999999</v>
      </c>
      <c r="O50" s="647">
        <f t="shared" ref="O50" si="78">ROUNDUP(MEDIAN(J50:J52),2)</f>
        <v>17.899999999999999</v>
      </c>
      <c r="P50" s="658">
        <f t="shared" ref="P50" si="79">STDEV(J50:J52)</f>
        <v>7.790772319438771</v>
      </c>
      <c r="Q50" s="658">
        <f t="shared" ref="Q50" si="80">P50/N50</f>
        <v>0.43523867706361852</v>
      </c>
      <c r="R50" s="659">
        <f t="shared" ref="R50" si="81">IF(Q50&lt;=0.25, N50,O50)</f>
        <v>17.899999999999999</v>
      </c>
      <c r="S50" s="663">
        <f>R50*G50</f>
        <v>17.899999999999999</v>
      </c>
      <c r="T50" s="665"/>
      <c r="U50" s="614"/>
    </row>
    <row r="51" spans="2:21">
      <c r="B51" s="648"/>
      <c r="C51" s="651"/>
      <c r="D51" s="634"/>
      <c r="E51" s="672"/>
      <c r="F51" s="666"/>
      <c r="G51" s="646"/>
      <c r="H51" s="160" t="s">
        <v>297</v>
      </c>
      <c r="I51" s="161" t="s">
        <v>277</v>
      </c>
      <c r="J51" s="162">
        <v>17.899999999999999</v>
      </c>
      <c r="K51" s="342">
        <f>J51*$G$50</f>
        <v>17.899999999999999</v>
      </c>
      <c r="L51" s="647"/>
      <c r="M51" s="341">
        <f t="shared" ref="M51:M52" si="82">J51/$L$50-1</f>
        <v>-0.11822660098522175</v>
      </c>
      <c r="N51" s="647"/>
      <c r="O51" s="647"/>
      <c r="P51" s="658"/>
      <c r="Q51" s="658"/>
      <c r="R51" s="659"/>
      <c r="S51" s="663"/>
      <c r="T51" s="665"/>
      <c r="U51" s="614"/>
    </row>
    <row r="52" spans="2:21">
      <c r="B52" s="649"/>
      <c r="C52" s="652"/>
      <c r="D52" s="634"/>
      <c r="E52" s="673"/>
      <c r="F52" s="666"/>
      <c r="G52" s="646"/>
      <c r="H52" s="160" t="s">
        <v>298</v>
      </c>
      <c r="I52" s="161" t="s">
        <v>277</v>
      </c>
      <c r="J52" s="162">
        <v>13.98</v>
      </c>
      <c r="K52" s="342">
        <f>J52*$G$50</f>
        <v>13.98</v>
      </c>
      <c r="L52" s="647"/>
      <c r="M52" s="341">
        <f t="shared" si="82"/>
        <v>-0.31133004926108376</v>
      </c>
      <c r="N52" s="647"/>
      <c r="O52" s="647"/>
      <c r="P52" s="658"/>
      <c r="Q52" s="658"/>
      <c r="R52" s="659"/>
      <c r="S52" s="663"/>
      <c r="T52" s="665"/>
      <c r="U52" s="614"/>
    </row>
    <row r="53" spans="2:21" ht="18.75" customHeight="1">
      <c r="B53" s="724" t="s">
        <v>311</v>
      </c>
      <c r="C53" s="727" t="s">
        <v>312</v>
      </c>
      <c r="D53" s="634">
        <v>15</v>
      </c>
      <c r="E53" s="693" t="s">
        <v>313</v>
      </c>
      <c r="F53" s="680" t="s">
        <v>254</v>
      </c>
      <c r="G53" s="681">
        <v>2</v>
      </c>
      <c r="H53" s="160" t="s">
        <v>314</v>
      </c>
      <c r="I53" s="161" t="s">
        <v>277</v>
      </c>
      <c r="J53" s="162">
        <v>58.53</v>
      </c>
      <c r="K53" s="345">
        <f>J53*$G$53</f>
        <v>117.06</v>
      </c>
      <c r="L53" s="682">
        <f t="shared" ref="L53" si="83">ROUNDUP(AVERAGE(J53:J55),2)</f>
        <v>54.809999999999995</v>
      </c>
      <c r="M53" s="346">
        <f>J53/$L$53-1</f>
        <v>6.7870826491516212E-2</v>
      </c>
      <c r="N53" s="682">
        <f t="shared" ref="N53" si="84">ROUNDUP(AVERAGEIFS(J53:J55,M53:M55,"&lt;0,30",M53:M55,"&gt;-0,30"),2)</f>
        <v>54.809999999999995</v>
      </c>
      <c r="O53" s="682">
        <f t="shared" ref="O53" si="85">ROUNDUP(MEDIAN(J53:J55),2)</f>
        <v>58.53</v>
      </c>
      <c r="P53" s="692">
        <f t="shared" ref="P53" si="86">STDEV(J53:J55)</f>
        <v>7.6628019244485133</v>
      </c>
      <c r="Q53" s="692">
        <f t="shared" ref="Q53" si="87">P53/N53</f>
        <v>0.13980663974545729</v>
      </c>
      <c r="R53" s="683">
        <f t="shared" ref="R53" si="88">IF(Q53&lt;=0.25, N53,O53)</f>
        <v>54.809999999999995</v>
      </c>
      <c r="S53" s="684">
        <f>R53*G53</f>
        <v>109.61999999999999</v>
      </c>
      <c r="T53" s="685">
        <f>SUM(S53:S91)/12</f>
        <v>129.16716666666665</v>
      </c>
      <c r="U53" s="688">
        <f>SUM(T53:T130)/2</f>
        <v>129.13216666666665</v>
      </c>
    </row>
    <row r="54" spans="2:21" ht="18.75" customHeight="1">
      <c r="B54" s="725"/>
      <c r="C54" s="728"/>
      <c r="D54" s="634"/>
      <c r="E54" s="693"/>
      <c r="F54" s="680"/>
      <c r="G54" s="681"/>
      <c r="H54" s="160" t="s">
        <v>315</v>
      </c>
      <c r="I54" s="161" t="s">
        <v>277</v>
      </c>
      <c r="J54" s="162">
        <v>45.99</v>
      </c>
      <c r="K54" s="345">
        <f>J54*$G$53</f>
        <v>91.98</v>
      </c>
      <c r="L54" s="682"/>
      <c r="M54" s="346">
        <f>J54/$L$53-1</f>
        <v>-0.16091954022988497</v>
      </c>
      <c r="N54" s="682"/>
      <c r="O54" s="682"/>
      <c r="P54" s="692"/>
      <c r="Q54" s="692"/>
      <c r="R54" s="683"/>
      <c r="S54" s="684"/>
      <c r="T54" s="686"/>
      <c r="U54" s="614"/>
    </row>
    <row r="55" spans="2:21" ht="18.75" customHeight="1">
      <c r="B55" s="725"/>
      <c r="C55" s="728"/>
      <c r="D55" s="634"/>
      <c r="E55" s="693"/>
      <c r="F55" s="694"/>
      <c r="G55" s="681"/>
      <c r="H55" s="160" t="s">
        <v>316</v>
      </c>
      <c r="I55" s="161" t="s">
        <v>277</v>
      </c>
      <c r="J55" s="162">
        <f>49.9+9.99</f>
        <v>59.89</v>
      </c>
      <c r="K55" s="345">
        <f>J55*$G$53</f>
        <v>119.78</v>
      </c>
      <c r="L55" s="682"/>
      <c r="M55" s="346">
        <f>J55/$L$53-1</f>
        <v>9.2683816821747866E-2</v>
      </c>
      <c r="N55" s="682"/>
      <c r="O55" s="682"/>
      <c r="P55" s="692"/>
      <c r="Q55" s="692"/>
      <c r="R55" s="683"/>
      <c r="S55" s="684"/>
      <c r="T55" s="686"/>
      <c r="U55" s="614"/>
    </row>
    <row r="56" spans="2:21" ht="18.75" customHeight="1">
      <c r="B56" s="725"/>
      <c r="C56" s="728"/>
      <c r="D56" s="634">
        <v>16</v>
      </c>
      <c r="E56" s="678" t="s">
        <v>466</v>
      </c>
      <c r="F56" s="680" t="s">
        <v>254</v>
      </c>
      <c r="G56" s="689">
        <v>4</v>
      </c>
      <c r="H56" s="160" t="s">
        <v>317</v>
      </c>
      <c r="I56" s="161" t="s">
        <v>277</v>
      </c>
      <c r="J56" s="162">
        <v>120</v>
      </c>
      <c r="K56" s="345">
        <f>J56*$G$56</f>
        <v>480</v>
      </c>
      <c r="L56" s="682">
        <f t="shared" ref="L56" si="89">ROUNDUP(AVERAGE(J56:J58),2)</f>
        <v>104.6</v>
      </c>
      <c r="M56" s="346">
        <f>J56/$L$56-1</f>
        <v>0.14722753346080308</v>
      </c>
      <c r="N56" s="682">
        <f t="shared" ref="N56" si="90">ROUNDUP(AVERAGEIFS(J56:J58,M56:M58,"&lt;0,30",M56:M58,"&gt;-0,30"),2)</f>
        <v>104.6</v>
      </c>
      <c r="O56" s="682">
        <f t="shared" ref="O56" si="91">ROUNDUP(MEDIAN(J56:J58),2)</f>
        <v>114.9</v>
      </c>
      <c r="P56" s="692">
        <f t="shared" ref="P56" si="92">STDEV(J56:J58)</f>
        <v>22.402455222586632</v>
      </c>
      <c r="Q56" s="692">
        <f t="shared" ref="Q56" si="93">P56/N56</f>
        <v>0.21417261207061791</v>
      </c>
      <c r="R56" s="683">
        <f t="shared" ref="R56" si="94">IF(Q56&lt;=0.25, N56,O56)</f>
        <v>104.6</v>
      </c>
      <c r="S56" s="684">
        <f>R56*G56</f>
        <v>418.4</v>
      </c>
      <c r="T56" s="686"/>
      <c r="U56" s="614"/>
    </row>
    <row r="57" spans="2:21" ht="24.6" customHeight="1">
      <c r="B57" s="725"/>
      <c r="C57" s="728"/>
      <c r="D57" s="634"/>
      <c r="E57" s="678"/>
      <c r="F57" s="680"/>
      <c r="G57" s="689"/>
      <c r="H57" s="160" t="s">
        <v>318</v>
      </c>
      <c r="I57" s="161" t="s">
        <v>277</v>
      </c>
      <c r="J57" s="162">
        <v>78.900000000000006</v>
      </c>
      <c r="K57" s="345">
        <f>J57*$G$56</f>
        <v>315.60000000000002</v>
      </c>
      <c r="L57" s="682"/>
      <c r="M57" s="346">
        <f>J57/$L$56-1</f>
        <v>-0.24569789674952192</v>
      </c>
      <c r="N57" s="682"/>
      <c r="O57" s="682"/>
      <c r="P57" s="692"/>
      <c r="Q57" s="692"/>
      <c r="R57" s="683"/>
      <c r="S57" s="684"/>
      <c r="T57" s="686"/>
      <c r="U57" s="614"/>
    </row>
    <row r="58" spans="2:21" ht="24.6" customHeight="1">
      <c r="B58" s="725"/>
      <c r="C58" s="728"/>
      <c r="D58" s="634"/>
      <c r="E58" s="678"/>
      <c r="F58" s="680"/>
      <c r="G58" s="690"/>
      <c r="H58" s="160" t="s">
        <v>319</v>
      </c>
      <c r="I58" s="161" t="s">
        <v>277</v>
      </c>
      <c r="J58" s="162">
        <v>114.9</v>
      </c>
      <c r="K58" s="345">
        <f>J58*$G$56</f>
        <v>459.6</v>
      </c>
      <c r="L58" s="691"/>
      <c r="M58" s="346">
        <f>J58/$L$56-1</f>
        <v>9.8470363288718943E-2</v>
      </c>
      <c r="N58" s="691"/>
      <c r="O58" s="691"/>
      <c r="P58" s="695"/>
      <c r="Q58" s="695"/>
      <c r="R58" s="696"/>
      <c r="S58" s="697"/>
      <c r="T58" s="686"/>
      <c r="U58" s="614"/>
    </row>
    <row r="59" spans="2:21" ht="28.5" customHeight="1">
      <c r="B59" s="725"/>
      <c r="C59" s="728"/>
      <c r="D59" s="634">
        <v>17</v>
      </c>
      <c r="E59" s="678" t="s">
        <v>320</v>
      </c>
      <c r="F59" s="679" t="s">
        <v>288</v>
      </c>
      <c r="G59" s="681">
        <v>2</v>
      </c>
      <c r="H59" s="166" t="s">
        <v>321</v>
      </c>
      <c r="I59" s="161" t="s">
        <v>277</v>
      </c>
      <c r="J59" s="167">
        <v>69.430000000000007</v>
      </c>
      <c r="K59" s="347">
        <f>J59*$G$59</f>
        <v>138.86000000000001</v>
      </c>
      <c r="L59" s="682">
        <f t="shared" ref="L59" si="95">ROUNDUP(AVERAGE(J59:J61),2)</f>
        <v>82.71</v>
      </c>
      <c r="M59" s="348">
        <f>J59/$L$59-1</f>
        <v>-0.16056099625196452</v>
      </c>
      <c r="N59" s="682">
        <f t="shared" ref="N59" si="96">ROUNDUP(AVERAGEIFS(J59:J61,M59:M61,"&lt;0,30",M59:M61,"&gt;-0,30"),2)</f>
        <v>82.71</v>
      </c>
      <c r="O59" s="682">
        <f t="shared" ref="O59" si="97">ROUNDUP(MEDIAN(J59:J61),2)</f>
        <v>78.8</v>
      </c>
      <c r="P59" s="692">
        <f t="shared" ref="P59" si="98">STDEV(J59:J61)</f>
        <v>15.606770966474706</v>
      </c>
      <c r="Q59" s="692">
        <f t="shared" ref="Q59" si="99">P59/N59</f>
        <v>0.18869267279016694</v>
      </c>
      <c r="R59" s="683">
        <f t="shared" ref="R59" si="100">IF(Q59&lt;=0.25, N59,O59)</f>
        <v>82.71</v>
      </c>
      <c r="S59" s="683">
        <f>R59*G59</f>
        <v>165.42</v>
      </c>
      <c r="T59" s="687"/>
      <c r="U59" s="614"/>
    </row>
    <row r="60" spans="2:21" ht="28.5" customHeight="1">
      <c r="B60" s="725"/>
      <c r="C60" s="728"/>
      <c r="D60" s="634"/>
      <c r="E60" s="678"/>
      <c r="F60" s="680"/>
      <c r="G60" s="681"/>
      <c r="H60" s="166" t="s">
        <v>479</v>
      </c>
      <c r="I60" s="161" t="s">
        <v>277</v>
      </c>
      <c r="J60" s="165">
        <v>78.8</v>
      </c>
      <c r="K60" s="347">
        <f>J60*$G$59</f>
        <v>157.6</v>
      </c>
      <c r="L60" s="682"/>
      <c r="M60" s="348">
        <f>J60/$L$59-1</f>
        <v>-4.7273606577197369E-2</v>
      </c>
      <c r="N60" s="682"/>
      <c r="O60" s="682"/>
      <c r="P60" s="692"/>
      <c r="Q60" s="692"/>
      <c r="R60" s="683"/>
      <c r="S60" s="683"/>
      <c r="T60" s="687"/>
      <c r="U60" s="614"/>
    </row>
    <row r="61" spans="2:21" ht="32.1" customHeight="1">
      <c r="B61" s="725"/>
      <c r="C61" s="728"/>
      <c r="D61" s="634"/>
      <c r="E61" s="678"/>
      <c r="F61" s="680"/>
      <c r="G61" s="681"/>
      <c r="H61" s="166" t="s">
        <v>322</v>
      </c>
      <c r="I61" s="161" t="s">
        <v>277</v>
      </c>
      <c r="J61" s="165">
        <v>99.9</v>
      </c>
      <c r="K61" s="347">
        <f t="shared" ref="K61" si="101">J61*$G$59</f>
        <v>199.8</v>
      </c>
      <c r="L61" s="682"/>
      <c r="M61" s="348">
        <f>J61/$L$59-1</f>
        <v>0.20783460282916222</v>
      </c>
      <c r="N61" s="682"/>
      <c r="O61" s="682"/>
      <c r="P61" s="692"/>
      <c r="Q61" s="692"/>
      <c r="R61" s="683"/>
      <c r="S61" s="683"/>
      <c r="T61" s="687"/>
      <c r="U61" s="614"/>
    </row>
    <row r="62" spans="2:21" ht="18.75" customHeight="1">
      <c r="B62" s="725"/>
      <c r="C62" s="728"/>
      <c r="D62" s="634">
        <v>18</v>
      </c>
      <c r="E62" s="678" t="s">
        <v>323</v>
      </c>
      <c r="F62" s="679" t="s">
        <v>288</v>
      </c>
      <c r="G62" s="698">
        <v>2</v>
      </c>
      <c r="H62" s="160" t="s">
        <v>324</v>
      </c>
      <c r="I62" s="161" t="s">
        <v>277</v>
      </c>
      <c r="J62" s="162">
        <v>14.8</v>
      </c>
      <c r="K62" s="345">
        <f>J62*$G$62</f>
        <v>29.6</v>
      </c>
      <c r="L62" s="700">
        <f t="shared" ref="L62" si="102">ROUNDUP(AVERAGE(J62:J64),2)</f>
        <v>21.540000000000003</v>
      </c>
      <c r="M62" s="346">
        <f>J62/$L$62-1</f>
        <v>-0.3129062209842155</v>
      </c>
      <c r="N62" s="700">
        <f t="shared" ref="N62" si="103">ROUNDUP(AVERAGEIFS(J62:J64,M62:M64,"&lt;0,30",M62:M64,"&gt;-0,30"),2)</f>
        <v>24.9</v>
      </c>
      <c r="O62" s="700">
        <f t="shared" ref="O62" si="104">ROUNDUP(MEDIAN(J62:J64),2)</f>
        <v>24.9</v>
      </c>
      <c r="P62" s="701">
        <f t="shared" ref="P62" si="105">STDEV(J62:J64)</f>
        <v>5.8312377188152293</v>
      </c>
      <c r="Q62" s="701">
        <f t="shared" ref="Q62" si="106">P62/N62</f>
        <v>0.2341862537676799</v>
      </c>
      <c r="R62" s="702">
        <f t="shared" ref="R62" si="107">IF(Q62&lt;=0.25, N62,O62)</f>
        <v>24.9</v>
      </c>
      <c r="S62" s="703">
        <f>R62*G62</f>
        <v>49.8</v>
      </c>
      <c r="T62" s="686"/>
      <c r="U62" s="614"/>
    </row>
    <row r="63" spans="2:21" ht="18.75" customHeight="1">
      <c r="B63" s="725"/>
      <c r="C63" s="728"/>
      <c r="D63" s="634"/>
      <c r="E63" s="678"/>
      <c r="F63" s="680"/>
      <c r="G63" s="681"/>
      <c r="H63" s="160" t="s">
        <v>325</v>
      </c>
      <c r="I63" s="161" t="s">
        <v>277</v>
      </c>
      <c r="J63" s="162">
        <v>24.9</v>
      </c>
      <c r="K63" s="345">
        <f t="shared" ref="K63:K64" si="108">J63*$G$62</f>
        <v>49.8</v>
      </c>
      <c r="L63" s="682"/>
      <c r="M63" s="346">
        <f>J63/$L$62-1</f>
        <v>0.15598885793871853</v>
      </c>
      <c r="N63" s="682"/>
      <c r="O63" s="682"/>
      <c r="P63" s="692"/>
      <c r="Q63" s="692"/>
      <c r="R63" s="683"/>
      <c r="S63" s="684"/>
      <c r="T63" s="686"/>
      <c r="U63" s="614"/>
    </row>
    <row r="64" spans="2:21" ht="18.75" customHeight="1">
      <c r="B64" s="725"/>
      <c r="C64" s="728"/>
      <c r="D64" s="634"/>
      <c r="E64" s="699"/>
      <c r="F64" s="680"/>
      <c r="G64" s="681"/>
      <c r="H64" s="160" t="s">
        <v>326</v>
      </c>
      <c r="I64" s="161" t="s">
        <v>277</v>
      </c>
      <c r="J64" s="162">
        <v>24.9</v>
      </c>
      <c r="K64" s="345">
        <f t="shared" si="108"/>
        <v>49.8</v>
      </c>
      <c r="L64" s="682"/>
      <c r="M64" s="346">
        <f>J64/$L$62-1</f>
        <v>0.15598885793871853</v>
      </c>
      <c r="N64" s="682"/>
      <c r="O64" s="682"/>
      <c r="P64" s="692"/>
      <c r="Q64" s="692"/>
      <c r="R64" s="683"/>
      <c r="S64" s="684"/>
      <c r="T64" s="686"/>
      <c r="U64" s="614"/>
    </row>
    <row r="65" spans="2:21" ht="18.75" customHeight="1">
      <c r="B65" s="725"/>
      <c r="C65" s="728"/>
      <c r="D65" s="634">
        <v>19</v>
      </c>
      <c r="E65" s="678" t="s">
        <v>451</v>
      </c>
      <c r="F65" s="679" t="s">
        <v>254</v>
      </c>
      <c r="G65" s="698">
        <v>2</v>
      </c>
      <c r="H65" s="160" t="s">
        <v>296</v>
      </c>
      <c r="I65" s="161" t="s">
        <v>277</v>
      </c>
      <c r="J65" s="162">
        <v>29</v>
      </c>
      <c r="K65" s="345">
        <f>J65*$G$65</f>
        <v>58</v>
      </c>
      <c r="L65" s="682">
        <f t="shared" ref="L65" si="109">ROUNDUP(AVERAGE(J65:J67),2)</f>
        <v>20.3</v>
      </c>
      <c r="M65" s="346">
        <f>J65/$L$65-1</f>
        <v>0.4285714285714286</v>
      </c>
      <c r="N65" s="682">
        <f t="shared" ref="N65" si="110">ROUNDUP(AVERAGEIFS(J65:J67,M65:M67,"&lt;0,30",M65:M67,"&gt;-0,30"),2)</f>
        <v>17.899999999999999</v>
      </c>
      <c r="O65" s="682">
        <f t="shared" ref="O65" si="111">ROUNDUP(MEDIAN(J65:J67),2)</f>
        <v>17.899999999999999</v>
      </c>
      <c r="P65" s="692">
        <f t="shared" ref="P65" si="112">STDEV(J65:J67)</f>
        <v>7.790772319438771</v>
      </c>
      <c r="Q65" s="692">
        <f t="shared" ref="Q65" si="113">P65/N65</f>
        <v>0.43523867706361852</v>
      </c>
      <c r="R65" s="683">
        <f t="shared" ref="R65" si="114">IF(Q65&lt;=0.25, N65,O65)</f>
        <v>17.899999999999999</v>
      </c>
      <c r="S65" s="684">
        <f>R65*G65</f>
        <v>35.799999999999997</v>
      </c>
      <c r="T65" s="686"/>
      <c r="U65" s="614"/>
    </row>
    <row r="66" spans="2:21" ht="18.75" customHeight="1">
      <c r="B66" s="725"/>
      <c r="C66" s="728"/>
      <c r="D66" s="634"/>
      <c r="E66" s="678"/>
      <c r="F66" s="680"/>
      <c r="G66" s="681"/>
      <c r="H66" s="160" t="s">
        <v>297</v>
      </c>
      <c r="I66" s="161" t="s">
        <v>277</v>
      </c>
      <c r="J66" s="162">
        <v>17.899999999999999</v>
      </c>
      <c r="K66" s="345">
        <f t="shared" ref="K66:K67" si="115">J66*$G$65</f>
        <v>35.799999999999997</v>
      </c>
      <c r="L66" s="682"/>
      <c r="M66" s="346">
        <f>J66/$L$65-1</f>
        <v>-0.11822660098522175</v>
      </c>
      <c r="N66" s="682"/>
      <c r="O66" s="682"/>
      <c r="P66" s="692"/>
      <c r="Q66" s="692"/>
      <c r="R66" s="683"/>
      <c r="S66" s="684"/>
      <c r="T66" s="686"/>
      <c r="U66" s="614"/>
    </row>
    <row r="67" spans="2:21" ht="18.75" customHeight="1">
      <c r="B67" s="725"/>
      <c r="C67" s="728"/>
      <c r="D67" s="634"/>
      <c r="E67" s="678"/>
      <c r="F67" s="680"/>
      <c r="G67" s="681"/>
      <c r="H67" s="160" t="s">
        <v>298</v>
      </c>
      <c r="I67" s="161" t="s">
        <v>277</v>
      </c>
      <c r="J67" s="162">
        <v>13.98</v>
      </c>
      <c r="K67" s="345">
        <f t="shared" si="115"/>
        <v>27.96</v>
      </c>
      <c r="L67" s="682"/>
      <c r="M67" s="346">
        <f>J67/$L$65-1</f>
        <v>-0.31133004926108376</v>
      </c>
      <c r="N67" s="682"/>
      <c r="O67" s="682"/>
      <c r="P67" s="692"/>
      <c r="Q67" s="692"/>
      <c r="R67" s="683"/>
      <c r="S67" s="684"/>
      <c r="T67" s="686"/>
      <c r="U67" s="614"/>
    </row>
    <row r="68" spans="2:21" ht="18.75" customHeight="1">
      <c r="B68" s="725"/>
      <c r="C68" s="729"/>
      <c r="D68" s="634">
        <v>20</v>
      </c>
      <c r="E68" s="705" t="s">
        <v>426</v>
      </c>
      <c r="F68" s="679" t="s">
        <v>254</v>
      </c>
      <c r="G68" s="698">
        <f>(60*8/30)/2</f>
        <v>8</v>
      </c>
      <c r="H68" s="160" t="s">
        <v>423</v>
      </c>
      <c r="I68" s="161" t="s">
        <v>277</v>
      </c>
      <c r="J68" s="162">
        <v>0.76900000000000002</v>
      </c>
      <c r="K68" s="345">
        <f>J68*$G$68</f>
        <v>6.1520000000000001</v>
      </c>
      <c r="L68" s="682">
        <f t="shared" ref="L68" si="116">ROUNDUP(AVERAGE(J68:J70),2)</f>
        <v>0.92</v>
      </c>
      <c r="M68" s="346">
        <f>J68/$L$68-1</f>
        <v>-0.16413043478260869</v>
      </c>
      <c r="N68" s="682">
        <f t="shared" ref="N68" si="117">ROUNDUP(AVERAGEIFS(J68:J70,M68:M70,"&lt;0,30",M68:M70,"&gt;-0,30"),2)</f>
        <v>0.92</v>
      </c>
      <c r="O68" s="682">
        <f t="shared" ref="O68" si="118">ROUNDUP(MEDIAN(J68:J70),2)</f>
        <v>0.79</v>
      </c>
      <c r="P68" s="692">
        <f t="shared" ref="P68" si="119">STDEV(J68:J70)</f>
        <v>0.23723476417534908</v>
      </c>
      <c r="Q68" s="692">
        <f t="shared" ref="Q68" si="120">P68/N68</f>
        <v>0.25786387410364031</v>
      </c>
      <c r="R68" s="683">
        <f t="shared" ref="R68" si="121">IF(Q68&lt;=0.25, N68,O68)</f>
        <v>0.79</v>
      </c>
      <c r="S68" s="684">
        <f>R68*G68</f>
        <v>6.32</v>
      </c>
      <c r="T68" s="686"/>
      <c r="U68" s="614"/>
    </row>
    <row r="69" spans="2:21" ht="18.75" customHeight="1">
      <c r="B69" s="725"/>
      <c r="C69" s="729"/>
      <c r="D69" s="634"/>
      <c r="E69" s="693"/>
      <c r="F69" s="680"/>
      <c r="G69" s="681"/>
      <c r="H69" s="160" t="s">
        <v>424</v>
      </c>
      <c r="I69" s="161" t="s">
        <v>277</v>
      </c>
      <c r="J69" s="162">
        <v>1.19</v>
      </c>
      <c r="K69" s="345">
        <f t="shared" ref="K69:K70" si="122">J69*$G$68</f>
        <v>9.52</v>
      </c>
      <c r="L69" s="682"/>
      <c r="M69" s="346">
        <f>J69/$L$68-1</f>
        <v>0.29347826086956519</v>
      </c>
      <c r="N69" s="682"/>
      <c r="O69" s="682"/>
      <c r="P69" s="692"/>
      <c r="Q69" s="692"/>
      <c r="R69" s="683"/>
      <c r="S69" s="684"/>
      <c r="T69" s="686"/>
      <c r="U69" s="614"/>
    </row>
    <row r="70" spans="2:21" ht="18.75" customHeight="1">
      <c r="B70" s="725"/>
      <c r="C70" s="729"/>
      <c r="D70" s="634"/>
      <c r="E70" s="693"/>
      <c r="F70" s="680"/>
      <c r="G70" s="681"/>
      <c r="H70" s="160" t="s">
        <v>425</v>
      </c>
      <c r="I70" s="161" t="s">
        <v>277</v>
      </c>
      <c r="J70" s="162">
        <v>0.79</v>
      </c>
      <c r="K70" s="345">
        <f t="shared" si="122"/>
        <v>6.32</v>
      </c>
      <c r="L70" s="682"/>
      <c r="M70" s="346">
        <f>J70/$L$68-1</f>
        <v>-0.14130434782608692</v>
      </c>
      <c r="N70" s="682"/>
      <c r="O70" s="682"/>
      <c r="P70" s="692"/>
      <c r="Q70" s="692"/>
      <c r="R70" s="683"/>
      <c r="S70" s="684"/>
      <c r="T70" s="686"/>
      <c r="U70" s="614"/>
    </row>
    <row r="71" spans="2:21" ht="18.75" customHeight="1">
      <c r="B71" s="725"/>
      <c r="C71" s="728"/>
      <c r="D71" s="634">
        <v>21</v>
      </c>
      <c r="E71" s="704" t="s">
        <v>327</v>
      </c>
      <c r="F71" s="679" t="s">
        <v>254</v>
      </c>
      <c r="G71" s="698">
        <f>12*6/30</f>
        <v>2.4</v>
      </c>
      <c r="H71" s="160" t="s">
        <v>486</v>
      </c>
      <c r="I71" s="161" t="s">
        <v>277</v>
      </c>
      <c r="J71" s="162">
        <v>20.18</v>
      </c>
      <c r="K71" s="345">
        <f>J71*$G$71</f>
        <v>48.431999999999995</v>
      </c>
      <c r="L71" s="682">
        <f t="shared" ref="L71" si="123">ROUNDUP(AVERAGE(J71:J73),2)</f>
        <v>23.69</v>
      </c>
      <c r="M71" s="346">
        <f>J71/$L$71-1</f>
        <v>-0.14816378218657666</v>
      </c>
      <c r="N71" s="682">
        <f t="shared" ref="N71" si="124">ROUNDUP(AVERAGEIFS(J71:J73,M71:M73,"&lt;0,30",M71:M73,"&gt;-0,30"),2)</f>
        <v>23.69</v>
      </c>
      <c r="O71" s="682">
        <f t="shared" ref="O71" si="125">ROUNDUP(MEDIAN(J71:J73),2)</f>
        <v>22.38</v>
      </c>
      <c r="P71" s="692">
        <f t="shared" ref="P71" si="126">STDEV(J71:J73)</f>
        <v>4.3055816486664451</v>
      </c>
      <c r="Q71" s="692">
        <f t="shared" ref="Q71" si="127">P71/N71</f>
        <v>0.18174679817080813</v>
      </c>
      <c r="R71" s="683">
        <f t="shared" ref="R71" si="128">IF(Q71&lt;=0.25, N71,O71)</f>
        <v>23.69</v>
      </c>
      <c r="S71" s="684">
        <f t="shared" ref="S71" si="129">R71*G71</f>
        <v>56.856000000000002</v>
      </c>
      <c r="T71" s="686"/>
      <c r="U71" s="614"/>
    </row>
    <row r="72" spans="2:21" ht="18.75" customHeight="1">
      <c r="B72" s="725"/>
      <c r="C72" s="728"/>
      <c r="D72" s="634"/>
      <c r="E72" s="704"/>
      <c r="F72" s="680"/>
      <c r="G72" s="681"/>
      <c r="H72" s="160" t="s">
        <v>343</v>
      </c>
      <c r="I72" s="163" t="s">
        <v>277</v>
      </c>
      <c r="J72" s="162">
        <v>28.49</v>
      </c>
      <c r="K72" s="345">
        <f t="shared" ref="K72:K73" si="130">J72*$G$71</f>
        <v>68.375999999999991</v>
      </c>
      <c r="L72" s="682"/>
      <c r="M72" s="346">
        <f>J72/$L$71-1</f>
        <v>0.20261713803292514</v>
      </c>
      <c r="N72" s="682"/>
      <c r="O72" s="682"/>
      <c r="P72" s="692"/>
      <c r="Q72" s="692"/>
      <c r="R72" s="683"/>
      <c r="S72" s="684"/>
      <c r="T72" s="686"/>
      <c r="U72" s="614"/>
    </row>
    <row r="73" spans="2:21" ht="18.75" customHeight="1">
      <c r="B73" s="725"/>
      <c r="C73" s="728"/>
      <c r="D73" s="634"/>
      <c r="E73" s="705"/>
      <c r="F73" s="680"/>
      <c r="G73" s="681"/>
      <c r="H73" s="160" t="s">
        <v>487</v>
      </c>
      <c r="I73" s="161" t="s">
        <v>277</v>
      </c>
      <c r="J73" s="162">
        <v>22.38</v>
      </c>
      <c r="K73" s="345">
        <f t="shared" si="130"/>
        <v>53.711999999999996</v>
      </c>
      <c r="L73" s="682"/>
      <c r="M73" s="346">
        <f>J73/$L$71-1</f>
        <v>-5.5297593921485921E-2</v>
      </c>
      <c r="N73" s="682"/>
      <c r="O73" s="682"/>
      <c r="P73" s="692"/>
      <c r="Q73" s="692"/>
      <c r="R73" s="683"/>
      <c r="S73" s="684"/>
      <c r="T73" s="686"/>
      <c r="U73" s="614"/>
    </row>
    <row r="74" spans="2:21" ht="23.25" customHeight="1">
      <c r="B74" s="725"/>
      <c r="C74" s="728"/>
      <c r="D74" s="634">
        <v>22</v>
      </c>
      <c r="E74" s="693" t="s">
        <v>328</v>
      </c>
      <c r="F74" s="680" t="s">
        <v>254</v>
      </c>
      <c r="G74" s="681">
        <v>2</v>
      </c>
      <c r="H74" s="160" t="s">
        <v>427</v>
      </c>
      <c r="I74" s="161" t="s">
        <v>277</v>
      </c>
      <c r="J74" s="162">
        <v>3.5</v>
      </c>
      <c r="K74" s="345">
        <f>J74*$G$74</f>
        <v>7</v>
      </c>
      <c r="L74" s="682">
        <f t="shared" ref="L74" si="131">ROUNDUP(AVERAGE(J74:J76),2)</f>
        <v>4.28</v>
      </c>
      <c r="M74" s="346">
        <f>J74/$L$74-1</f>
        <v>-0.18224299065420568</v>
      </c>
      <c r="N74" s="682">
        <f t="shared" ref="N74" si="132">ROUNDUP(AVERAGEIFS(J74:J76,M74:M76,"&lt;0,30",M74:M76,"&gt;-0,30"),2)</f>
        <v>4.28</v>
      </c>
      <c r="O74" s="682">
        <f t="shared" ref="O74" si="133">ROUNDUP(MEDIAN(J74:J76),2)</f>
        <v>4.45</v>
      </c>
      <c r="P74" s="692">
        <f t="shared" ref="P74" si="134">STDEV(J74:J76)</f>
        <v>0.71042240955645519</v>
      </c>
      <c r="Q74" s="692">
        <f t="shared" ref="Q74" si="135">P74/N74</f>
        <v>0.1659865442888914</v>
      </c>
      <c r="R74" s="683">
        <f t="shared" ref="R74" si="136">IF(Q74&lt;=0.25, N74,O74)</f>
        <v>4.28</v>
      </c>
      <c r="S74" s="684">
        <f t="shared" ref="S74" si="137">R74*G74</f>
        <v>8.56</v>
      </c>
      <c r="T74" s="686"/>
      <c r="U74" s="614"/>
    </row>
    <row r="75" spans="2:21" ht="23.25" customHeight="1">
      <c r="B75" s="725"/>
      <c r="C75" s="728"/>
      <c r="D75" s="634"/>
      <c r="E75" s="693"/>
      <c r="F75" s="680"/>
      <c r="G75" s="681"/>
      <c r="H75" s="160" t="s">
        <v>343</v>
      </c>
      <c r="I75" s="161" t="s">
        <v>277</v>
      </c>
      <c r="J75" s="162">
        <v>4.8899999999999997</v>
      </c>
      <c r="K75" s="345">
        <f t="shared" ref="K75:K76" si="138">J75*$G$74</f>
        <v>9.7799999999999994</v>
      </c>
      <c r="L75" s="682"/>
      <c r="M75" s="346">
        <f>J75/$L$74-1</f>
        <v>0.14252336448598113</v>
      </c>
      <c r="N75" s="682"/>
      <c r="O75" s="682"/>
      <c r="P75" s="692"/>
      <c r="Q75" s="692"/>
      <c r="R75" s="683"/>
      <c r="S75" s="684"/>
      <c r="T75" s="686"/>
      <c r="U75" s="614"/>
    </row>
    <row r="76" spans="2:21" ht="23.25" customHeight="1">
      <c r="B76" s="725"/>
      <c r="C76" s="728"/>
      <c r="D76" s="634"/>
      <c r="E76" s="693"/>
      <c r="F76" s="680"/>
      <c r="G76" s="681"/>
      <c r="H76" s="160" t="s">
        <v>428</v>
      </c>
      <c r="I76" s="161"/>
      <c r="J76" s="162">
        <v>4.45</v>
      </c>
      <c r="K76" s="345">
        <f t="shared" si="138"/>
        <v>8.9</v>
      </c>
      <c r="L76" s="682"/>
      <c r="M76" s="346">
        <f>J76/$L$74-1</f>
        <v>3.971962616822422E-2</v>
      </c>
      <c r="N76" s="682"/>
      <c r="O76" s="682"/>
      <c r="P76" s="692"/>
      <c r="Q76" s="692"/>
      <c r="R76" s="683"/>
      <c r="S76" s="684"/>
      <c r="T76" s="686"/>
      <c r="U76" s="614"/>
    </row>
    <row r="77" spans="2:21" ht="27.75" customHeight="1">
      <c r="B77" s="725"/>
      <c r="C77" s="728"/>
      <c r="D77" s="634">
        <v>23</v>
      </c>
      <c r="E77" s="706" t="s">
        <v>463</v>
      </c>
      <c r="F77" s="694" t="s">
        <v>288</v>
      </c>
      <c r="G77" s="708">
        <f>2*12</f>
        <v>24</v>
      </c>
      <c r="H77" s="160" t="s">
        <v>433</v>
      </c>
      <c r="I77" s="161" t="s">
        <v>277</v>
      </c>
      <c r="J77" s="162">
        <v>19.8</v>
      </c>
      <c r="K77" s="345">
        <f>J77*$G$77</f>
        <v>475.20000000000005</v>
      </c>
      <c r="L77" s="691">
        <f t="shared" ref="L77" si="139">ROUNDUP(AVERAGE(J77:J79),2)</f>
        <v>23.08</v>
      </c>
      <c r="M77" s="346">
        <f>J77/$L$77-1</f>
        <v>-0.14211438474870008</v>
      </c>
      <c r="N77" s="691">
        <f t="shared" ref="N77" si="140">ROUNDUP(AVERAGEIFS(J77:J79,M77:M79,"&lt;0,30",M77:M79,"&gt;-0,30"),2)</f>
        <v>23.08</v>
      </c>
      <c r="O77" s="691">
        <f t="shared" ref="O77" si="141">ROUNDUP(MEDIAN(J77:J79),2)</f>
        <v>21.15</v>
      </c>
      <c r="P77" s="695">
        <f t="shared" ref="P77" si="142">STDEV(J77:J79)</f>
        <v>4.5622034150177706</v>
      </c>
      <c r="Q77" s="695">
        <f t="shared" ref="Q77" si="143">P77/N77</f>
        <v>0.19766912543404552</v>
      </c>
      <c r="R77" s="696">
        <f t="shared" ref="R77" si="144">IF(Q77&lt;=0.25, N77,O77)</f>
        <v>23.08</v>
      </c>
      <c r="S77" s="697">
        <f t="shared" ref="S77" si="145">R77*G77</f>
        <v>553.91999999999996</v>
      </c>
      <c r="T77" s="686"/>
      <c r="U77" s="614"/>
    </row>
    <row r="78" spans="2:21" ht="27.75" customHeight="1">
      <c r="B78" s="725"/>
      <c r="C78" s="728"/>
      <c r="D78" s="634"/>
      <c r="E78" s="704"/>
      <c r="F78" s="707"/>
      <c r="G78" s="709"/>
      <c r="H78" s="160" t="s">
        <v>455</v>
      </c>
      <c r="I78" s="161"/>
      <c r="J78" s="162">
        <v>28.29</v>
      </c>
      <c r="K78" s="345">
        <f t="shared" ref="K78:K79" si="146">J78*$G$77</f>
        <v>678.96</v>
      </c>
      <c r="L78" s="710"/>
      <c r="M78" s="346">
        <f>J78/$L$77-1</f>
        <v>0.22573656845753898</v>
      </c>
      <c r="N78" s="710"/>
      <c r="O78" s="710"/>
      <c r="P78" s="711"/>
      <c r="Q78" s="711"/>
      <c r="R78" s="712"/>
      <c r="S78" s="713"/>
      <c r="T78" s="686"/>
      <c r="U78" s="614"/>
    </row>
    <row r="79" spans="2:21" ht="27.75" customHeight="1">
      <c r="B79" s="725"/>
      <c r="C79" s="728"/>
      <c r="D79" s="634"/>
      <c r="E79" s="705"/>
      <c r="F79" s="679"/>
      <c r="G79" s="698"/>
      <c r="H79" s="160" t="s">
        <v>430</v>
      </c>
      <c r="I79" s="161"/>
      <c r="J79" s="162">
        <v>21.15</v>
      </c>
      <c r="K79" s="345">
        <f t="shared" si="146"/>
        <v>507.59999999999997</v>
      </c>
      <c r="L79" s="700"/>
      <c r="M79" s="346">
        <f>J79/$L$77-1</f>
        <v>-8.3622183708838782E-2</v>
      </c>
      <c r="N79" s="700"/>
      <c r="O79" s="700"/>
      <c r="P79" s="701"/>
      <c r="Q79" s="701"/>
      <c r="R79" s="702"/>
      <c r="S79" s="703"/>
      <c r="T79" s="686"/>
      <c r="U79" s="614"/>
    </row>
    <row r="80" spans="2:21" ht="18.75" customHeight="1">
      <c r="B80" s="725"/>
      <c r="C80" s="728"/>
      <c r="D80" s="634">
        <v>24</v>
      </c>
      <c r="E80" s="693" t="s">
        <v>329</v>
      </c>
      <c r="F80" s="680" t="s">
        <v>288</v>
      </c>
      <c r="G80" s="681">
        <v>2</v>
      </c>
      <c r="H80" s="164" t="s">
        <v>435</v>
      </c>
      <c r="I80" s="161" t="s">
        <v>277</v>
      </c>
      <c r="J80" s="162">
        <v>2.48</v>
      </c>
      <c r="K80" s="345">
        <f>J80*$G$80</f>
        <v>4.96</v>
      </c>
      <c r="L80" s="682">
        <f t="shared" ref="L80" si="147">ROUNDUP(AVERAGE(J80:J82),2)</f>
        <v>2.61</v>
      </c>
      <c r="M80" s="346">
        <f>J80/$L$80-1</f>
        <v>-4.9808429118773923E-2</v>
      </c>
      <c r="N80" s="682">
        <f t="shared" ref="N80" si="148">ROUNDUP(AVERAGEIFS(J80:J82,M80:M82,"&lt;0,30",M80:M82,"&gt;-0,30"),2)</f>
        <v>2.61</v>
      </c>
      <c r="O80" s="682">
        <f t="shared" ref="O80" si="149">ROUNDUP(MEDIAN(J80:J82),2)</f>
        <v>2.48</v>
      </c>
      <c r="P80" s="692">
        <f t="shared" ref="P80" si="150">STDEV(J80:J82)</f>
        <v>0.30072135496724101</v>
      </c>
      <c r="Q80" s="692">
        <f t="shared" ref="Q80" si="151">P80/N80</f>
        <v>0.11521890994913449</v>
      </c>
      <c r="R80" s="683">
        <f t="shared" ref="R80" si="152">IF(Q80&lt;=0.25, N80,O80)</f>
        <v>2.61</v>
      </c>
      <c r="S80" s="684">
        <f t="shared" ref="S80" si="153">R80*G80</f>
        <v>5.22</v>
      </c>
      <c r="T80" s="686"/>
      <c r="U80" s="614"/>
    </row>
    <row r="81" spans="2:21" ht="18.75" customHeight="1">
      <c r="B81" s="725"/>
      <c r="C81" s="728"/>
      <c r="D81" s="634"/>
      <c r="E81" s="693"/>
      <c r="F81" s="680"/>
      <c r="G81" s="681"/>
      <c r="H81" s="164" t="s">
        <v>436</v>
      </c>
      <c r="I81" s="163" t="s">
        <v>277</v>
      </c>
      <c r="J81" s="162">
        <v>2.95</v>
      </c>
      <c r="K81" s="345">
        <f t="shared" ref="K81:K82" si="154">J81*$G$80</f>
        <v>5.9</v>
      </c>
      <c r="L81" s="682"/>
      <c r="M81" s="346">
        <f>J81/$L$80-1</f>
        <v>0.13026819923371669</v>
      </c>
      <c r="N81" s="682"/>
      <c r="O81" s="682"/>
      <c r="P81" s="692"/>
      <c r="Q81" s="692"/>
      <c r="R81" s="683"/>
      <c r="S81" s="684"/>
      <c r="T81" s="686"/>
      <c r="U81" s="614"/>
    </row>
    <row r="82" spans="2:21" ht="18.75" customHeight="1">
      <c r="B82" s="725"/>
      <c r="C82" s="728"/>
      <c r="D82" s="634"/>
      <c r="E82" s="693"/>
      <c r="F82" s="694"/>
      <c r="G82" s="681"/>
      <c r="H82" s="164" t="s">
        <v>437</v>
      </c>
      <c r="I82" s="161" t="s">
        <v>277</v>
      </c>
      <c r="J82" s="162">
        <v>2.39</v>
      </c>
      <c r="K82" s="345">
        <f t="shared" si="154"/>
        <v>4.78</v>
      </c>
      <c r="L82" s="682"/>
      <c r="M82" s="346">
        <f>J82/$L$80-1</f>
        <v>-8.4291187739463536E-2</v>
      </c>
      <c r="N82" s="682"/>
      <c r="O82" s="682"/>
      <c r="P82" s="692"/>
      <c r="Q82" s="692"/>
      <c r="R82" s="683"/>
      <c r="S82" s="684"/>
      <c r="T82" s="686"/>
      <c r="U82" s="614"/>
    </row>
    <row r="83" spans="2:21" ht="18.75" customHeight="1">
      <c r="B83" s="725"/>
      <c r="C83" s="728"/>
      <c r="D83" s="634">
        <v>25</v>
      </c>
      <c r="E83" s="678" t="s">
        <v>330</v>
      </c>
      <c r="F83" s="680" t="s">
        <v>288</v>
      </c>
      <c r="G83" s="689">
        <v>2</v>
      </c>
      <c r="H83" s="164" t="s">
        <v>343</v>
      </c>
      <c r="I83" s="161"/>
      <c r="J83" s="162">
        <v>66.89</v>
      </c>
      <c r="K83" s="345">
        <f>J83*$G$83</f>
        <v>133.78</v>
      </c>
      <c r="L83" s="682">
        <f t="shared" ref="L83" si="155">ROUNDUP(AVERAGE(J83:J85),2)</f>
        <v>59.1</v>
      </c>
      <c r="M83" s="346">
        <f>J83/$L$83-1</f>
        <v>0.1318104906937394</v>
      </c>
      <c r="N83" s="682">
        <f t="shared" ref="N83" si="156">ROUNDUP(AVERAGEIFS(J83:J85,M83:M85,"&lt;0,30",M83:M85,"&gt;-0,30"),2)</f>
        <v>59.1</v>
      </c>
      <c r="O83" s="682">
        <f t="shared" ref="O83" si="157">ROUNDUP(MEDIAN(J83:J85),2)</f>
        <v>55.49</v>
      </c>
      <c r="P83" s="692">
        <f t="shared" ref="P83" si="158">STDEV(J83:J85)</f>
        <v>6.7585526063894283</v>
      </c>
      <c r="Q83" s="692">
        <f t="shared" ref="Q83" si="159">P83/N83</f>
        <v>0.11435791212164853</v>
      </c>
      <c r="R83" s="683">
        <f t="shared" ref="R83" si="160">IF(Q83&lt;=0.25, N83,O83)</f>
        <v>59.1</v>
      </c>
      <c r="S83" s="684">
        <f t="shared" ref="S83" si="161">R83*G83</f>
        <v>118.2</v>
      </c>
      <c r="T83" s="686"/>
      <c r="U83" s="614"/>
    </row>
    <row r="84" spans="2:21" ht="18.75" customHeight="1">
      <c r="B84" s="725"/>
      <c r="C84" s="728"/>
      <c r="D84" s="634"/>
      <c r="E84" s="678"/>
      <c r="F84" s="680"/>
      <c r="G84" s="689"/>
      <c r="H84" s="164" t="s">
        <v>436</v>
      </c>
      <c r="I84" s="161"/>
      <c r="J84" s="162">
        <v>55.49</v>
      </c>
      <c r="K84" s="345">
        <f t="shared" ref="K84:K85" si="162">J84*$G$83</f>
        <v>110.98</v>
      </c>
      <c r="L84" s="682"/>
      <c r="M84" s="346">
        <f>J84/$L$83-1</f>
        <v>-6.1082910321488937E-2</v>
      </c>
      <c r="N84" s="682"/>
      <c r="O84" s="682"/>
      <c r="P84" s="692"/>
      <c r="Q84" s="692"/>
      <c r="R84" s="683"/>
      <c r="S84" s="684"/>
      <c r="T84" s="686"/>
      <c r="U84" s="614"/>
    </row>
    <row r="85" spans="2:21" ht="18.75" customHeight="1">
      <c r="B85" s="725"/>
      <c r="C85" s="728"/>
      <c r="D85" s="634"/>
      <c r="E85" s="678"/>
      <c r="F85" s="680"/>
      <c r="G85" s="689"/>
      <c r="H85" s="164" t="s">
        <v>438</v>
      </c>
      <c r="I85" s="161"/>
      <c r="J85" s="162">
        <v>54.9</v>
      </c>
      <c r="K85" s="345">
        <f t="shared" si="162"/>
        <v>109.8</v>
      </c>
      <c r="L85" s="682"/>
      <c r="M85" s="346">
        <f>J85/$L$83-1</f>
        <v>-7.1065989847715727E-2</v>
      </c>
      <c r="N85" s="682"/>
      <c r="O85" s="682"/>
      <c r="P85" s="692"/>
      <c r="Q85" s="692"/>
      <c r="R85" s="683"/>
      <c r="S85" s="684"/>
      <c r="T85" s="686"/>
      <c r="U85" s="614"/>
    </row>
    <row r="86" spans="2:21" ht="18.75" customHeight="1">
      <c r="B86" s="725"/>
      <c r="C86" s="728"/>
      <c r="D86" s="634">
        <v>26</v>
      </c>
      <c r="E86" s="798" t="s">
        <v>480</v>
      </c>
      <c r="F86" s="679" t="s">
        <v>254</v>
      </c>
      <c r="G86" s="689">
        <v>1</v>
      </c>
      <c r="H86" s="164" t="s">
        <v>450</v>
      </c>
      <c r="I86" s="161"/>
      <c r="J86" s="162">
        <v>12.3</v>
      </c>
      <c r="K86" s="345">
        <f>J86*$G$86</f>
        <v>12.3</v>
      </c>
      <c r="L86" s="682">
        <f t="shared" ref="L86" si="163">ROUNDUP(AVERAGE(J86:J88),2)</f>
        <v>11.04</v>
      </c>
      <c r="M86" s="346">
        <f>J86/$L$86-1</f>
        <v>0.11413043478260887</v>
      </c>
      <c r="N86" s="682">
        <f t="shared" ref="N86" si="164">ROUNDUP(AVERAGEIFS(J86:J88,M86:M88,"&lt;0,30",M86:M88,"&gt;-0,30"),2)</f>
        <v>11.04</v>
      </c>
      <c r="O86" s="682">
        <f t="shared" ref="O86" si="165">ROUNDUP(MEDIAN(J86:J88),2)</f>
        <v>10.9</v>
      </c>
      <c r="P86" s="692">
        <f t="shared" ref="P86" si="166">STDEV(J86:J88)</f>
        <v>1.2055427546683419</v>
      </c>
      <c r="Q86" s="692">
        <f t="shared" ref="Q86" si="167">P86/N86</f>
        <v>0.10919771328517591</v>
      </c>
      <c r="R86" s="683">
        <f t="shared" ref="R86" si="168">IF(Q86&lt;=0.25, N86,O86)</f>
        <v>11.04</v>
      </c>
      <c r="S86" s="684">
        <f t="shared" ref="S86" si="169">R86*G86</f>
        <v>11.04</v>
      </c>
      <c r="T86" s="686"/>
      <c r="U86" s="614"/>
    </row>
    <row r="87" spans="2:21" ht="18.75" customHeight="1">
      <c r="B87" s="725"/>
      <c r="C87" s="728"/>
      <c r="D87" s="634"/>
      <c r="E87" s="799"/>
      <c r="F87" s="680"/>
      <c r="G87" s="689"/>
      <c r="H87" s="164" t="s">
        <v>440</v>
      </c>
      <c r="I87" s="161"/>
      <c r="J87" s="162">
        <v>9.9</v>
      </c>
      <c r="K87" s="345">
        <f t="shared" ref="K87:K88" si="170">J87*$G$86</f>
        <v>9.9</v>
      </c>
      <c r="L87" s="682"/>
      <c r="M87" s="346">
        <f t="shared" ref="M87:M88" si="171">J87/$L$86-1</f>
        <v>-0.10326086956521729</v>
      </c>
      <c r="N87" s="682"/>
      <c r="O87" s="682"/>
      <c r="P87" s="692"/>
      <c r="Q87" s="692"/>
      <c r="R87" s="683"/>
      <c r="S87" s="684"/>
      <c r="T87" s="686"/>
      <c r="U87" s="614"/>
    </row>
    <row r="88" spans="2:21" ht="18.75" customHeight="1">
      <c r="B88" s="725"/>
      <c r="C88" s="728"/>
      <c r="D88" s="634"/>
      <c r="E88" s="800"/>
      <c r="F88" s="680"/>
      <c r="G88" s="689"/>
      <c r="H88" s="164" t="s">
        <v>493</v>
      </c>
      <c r="I88" s="161"/>
      <c r="J88" s="162">
        <v>10.9</v>
      </c>
      <c r="K88" s="345">
        <f t="shared" si="170"/>
        <v>10.9</v>
      </c>
      <c r="L88" s="682"/>
      <c r="M88" s="346">
        <f t="shared" si="171"/>
        <v>-1.26811594202898E-2</v>
      </c>
      <c r="N88" s="682"/>
      <c r="O88" s="682"/>
      <c r="P88" s="692"/>
      <c r="Q88" s="692"/>
      <c r="R88" s="683"/>
      <c r="S88" s="684"/>
      <c r="T88" s="686"/>
      <c r="U88" s="614"/>
    </row>
    <row r="89" spans="2:21" ht="18.75" customHeight="1">
      <c r="B89" s="725"/>
      <c r="C89" s="728"/>
      <c r="D89" s="634">
        <v>27</v>
      </c>
      <c r="E89" s="678" t="s">
        <v>442</v>
      </c>
      <c r="F89" s="679" t="s">
        <v>254</v>
      </c>
      <c r="G89" s="689">
        <v>1</v>
      </c>
      <c r="H89" s="164" t="s">
        <v>439</v>
      </c>
      <c r="I89" s="161"/>
      <c r="J89" s="162">
        <v>12.35</v>
      </c>
      <c r="K89" s="345">
        <f>J89*$G$89</f>
        <v>12.35</v>
      </c>
      <c r="L89" s="682">
        <f t="shared" ref="L89" si="172">ROUNDUP(AVERAGE(J89:J91),2)</f>
        <v>10.85</v>
      </c>
      <c r="M89" s="346">
        <f>J89/$L$89-1</f>
        <v>0.13824884792626735</v>
      </c>
      <c r="N89" s="682">
        <f t="shared" ref="N89" si="173">ROUNDUP(AVERAGEIFS(J89:J91,M89:M91,"&lt;0,30",M89:M91,"&gt;-0,30"),2)</f>
        <v>10.85</v>
      </c>
      <c r="O89" s="682">
        <f t="shared" ref="O89" si="174">ROUNDUP(MEDIAN(J89:J91),2)</f>
        <v>10.79</v>
      </c>
      <c r="P89" s="692">
        <f t="shared" ref="P89" si="175">STDEV(J89:J91)</f>
        <v>1.480720545320193</v>
      </c>
      <c r="Q89" s="692">
        <f t="shared" ref="Q89" si="176">P89/N89</f>
        <v>0.13647193966084728</v>
      </c>
      <c r="R89" s="683">
        <f t="shared" ref="R89" si="177">IF(Q89&lt;=0.25, N89,O89)</f>
        <v>10.85</v>
      </c>
      <c r="S89" s="684">
        <f t="shared" ref="S89" si="178">R89*G89</f>
        <v>10.85</v>
      </c>
      <c r="T89" s="686"/>
      <c r="U89" s="614"/>
    </row>
    <row r="90" spans="2:21" ht="18.75" customHeight="1">
      <c r="B90" s="725"/>
      <c r="C90" s="728"/>
      <c r="D90" s="634"/>
      <c r="E90" s="678"/>
      <c r="F90" s="680"/>
      <c r="G90" s="689"/>
      <c r="H90" s="164" t="s">
        <v>440</v>
      </c>
      <c r="I90" s="161"/>
      <c r="J90" s="162">
        <v>9.39</v>
      </c>
      <c r="K90" s="345">
        <f t="shared" ref="K90:K91" si="179">J90*$G$89</f>
        <v>9.39</v>
      </c>
      <c r="L90" s="682"/>
      <c r="M90" s="346">
        <f>J90/$L$89-1</f>
        <v>-0.1345622119815667</v>
      </c>
      <c r="N90" s="682"/>
      <c r="O90" s="682"/>
      <c r="P90" s="692"/>
      <c r="Q90" s="692"/>
      <c r="R90" s="683"/>
      <c r="S90" s="684"/>
      <c r="T90" s="686"/>
      <c r="U90" s="614"/>
    </row>
    <row r="91" spans="2:21" ht="18.75" customHeight="1">
      <c r="B91" s="726"/>
      <c r="C91" s="728"/>
      <c r="D91" s="634"/>
      <c r="E91" s="678"/>
      <c r="F91" s="680"/>
      <c r="G91" s="689"/>
      <c r="H91" s="164" t="s">
        <v>441</v>
      </c>
      <c r="I91" s="161"/>
      <c r="J91" s="168">
        <v>10.79</v>
      </c>
      <c r="K91" s="345">
        <f t="shared" si="179"/>
        <v>10.79</v>
      </c>
      <c r="L91" s="723"/>
      <c r="M91" s="346">
        <f>J91/$L$89-1</f>
        <v>-5.5299539170506895E-3</v>
      </c>
      <c r="N91" s="682"/>
      <c r="O91" s="682"/>
      <c r="P91" s="692"/>
      <c r="Q91" s="692"/>
      <c r="R91" s="683"/>
      <c r="S91" s="684"/>
      <c r="T91" s="686"/>
      <c r="U91" s="614"/>
    </row>
    <row r="92" spans="2:21">
      <c r="B92" s="714" t="s">
        <v>331</v>
      </c>
      <c r="C92" s="716" t="s">
        <v>332</v>
      </c>
      <c r="D92" s="634">
        <v>28</v>
      </c>
      <c r="E92" s="719" t="s">
        <v>333</v>
      </c>
      <c r="F92" s="720" t="s">
        <v>254</v>
      </c>
      <c r="G92" s="735">
        <v>2</v>
      </c>
      <c r="H92" s="160" t="s">
        <v>334</v>
      </c>
      <c r="I92" s="161" t="s">
        <v>277</v>
      </c>
      <c r="J92" s="162">
        <v>46.9</v>
      </c>
      <c r="K92" s="349">
        <f>J92*$G$92</f>
        <v>93.8</v>
      </c>
      <c r="L92" s="736">
        <f t="shared" ref="L92" si="180">ROUNDUP(AVERAGE(J92:J94),2)</f>
        <v>40.630000000000003</v>
      </c>
      <c r="M92" s="350">
        <f>J92/$L$92-1</f>
        <v>0.15431946837312327</v>
      </c>
      <c r="N92" s="736">
        <f t="shared" ref="N92" si="181">ROUNDUP(AVERAGEIFS(J92:J94,M92:M94,"&lt;0,30",M92:M94,"&gt;-0,30"),2)</f>
        <v>40.630000000000003</v>
      </c>
      <c r="O92" s="736">
        <f t="shared" ref="O92" si="182">ROUNDUP(MEDIAN(J92:J94),2)</f>
        <v>42.99</v>
      </c>
      <c r="P92" s="743">
        <f t="shared" ref="P92" si="183">STDEV(J92:J94)</f>
        <v>7.7252637495427745</v>
      </c>
      <c r="Q92" s="743">
        <f t="shared" ref="Q92" si="184">P92/N92</f>
        <v>0.19013693698111675</v>
      </c>
      <c r="R92" s="730">
        <f t="shared" ref="R92" si="185">IF(Q92&lt;=0.25, N92,O92)</f>
        <v>40.630000000000003</v>
      </c>
      <c r="S92" s="731">
        <f t="shared" ref="S92" si="186">R92*G92</f>
        <v>81.260000000000005</v>
      </c>
      <c r="T92" s="737">
        <f>SUM(S92:S130)/12</f>
        <v>129.09716666666665</v>
      </c>
      <c r="U92" s="614"/>
    </row>
    <row r="93" spans="2:21">
      <c r="B93" s="715"/>
      <c r="C93" s="717"/>
      <c r="D93" s="634"/>
      <c r="E93" s="719"/>
      <c r="F93" s="721"/>
      <c r="G93" s="735"/>
      <c r="H93" s="160" t="s">
        <v>335</v>
      </c>
      <c r="I93" s="161" t="s">
        <v>277</v>
      </c>
      <c r="J93" s="162">
        <v>42.99</v>
      </c>
      <c r="K93" s="349">
        <f t="shared" ref="K93:K94" si="187">J93*$G$92</f>
        <v>85.98</v>
      </c>
      <c r="L93" s="736"/>
      <c r="M93" s="350">
        <f>J93/$L$92-1</f>
        <v>5.8085158749692223E-2</v>
      </c>
      <c r="N93" s="736"/>
      <c r="O93" s="736"/>
      <c r="P93" s="743"/>
      <c r="Q93" s="743"/>
      <c r="R93" s="730"/>
      <c r="S93" s="731"/>
      <c r="T93" s="738"/>
      <c r="U93" s="614"/>
    </row>
    <row r="94" spans="2:21">
      <c r="B94" s="715"/>
      <c r="C94" s="717"/>
      <c r="D94" s="634"/>
      <c r="E94" s="719"/>
      <c r="F94" s="722"/>
      <c r="G94" s="742"/>
      <c r="H94" s="160" t="s">
        <v>336</v>
      </c>
      <c r="I94" s="161" t="s">
        <v>277</v>
      </c>
      <c r="J94" s="162">
        <v>32</v>
      </c>
      <c r="K94" s="349">
        <f t="shared" si="187"/>
        <v>64</v>
      </c>
      <c r="L94" s="736"/>
      <c r="M94" s="350">
        <f>J94/$L$92-1</f>
        <v>-0.21240462712281571</v>
      </c>
      <c r="N94" s="736"/>
      <c r="O94" s="736"/>
      <c r="P94" s="743"/>
      <c r="Q94" s="743"/>
      <c r="R94" s="730"/>
      <c r="S94" s="731"/>
      <c r="T94" s="738"/>
      <c r="U94" s="614"/>
    </row>
    <row r="95" spans="2:21" ht="28.5" customHeight="1">
      <c r="B95" s="715"/>
      <c r="C95" s="717"/>
      <c r="D95" s="634">
        <v>29</v>
      </c>
      <c r="E95" s="740" t="s">
        <v>467</v>
      </c>
      <c r="F95" s="721" t="s">
        <v>254</v>
      </c>
      <c r="G95" s="735">
        <v>4</v>
      </c>
      <c r="H95" s="169" t="s">
        <v>317</v>
      </c>
      <c r="I95" s="161"/>
      <c r="J95" s="162">
        <v>100</v>
      </c>
      <c r="K95" s="349">
        <f>J95*$G$95</f>
        <v>400</v>
      </c>
      <c r="L95" s="736">
        <f t="shared" ref="L95" si="188">ROUNDUP(AVERAGE(J95:J97),2)</f>
        <v>109.09</v>
      </c>
      <c r="M95" s="350">
        <f>J95/$L$95-1</f>
        <v>-8.3325694380786519E-2</v>
      </c>
      <c r="N95" s="736">
        <f t="shared" ref="N95" si="189">ROUNDUP(AVERAGEIFS(J95:J97,M95:M97,"&lt;0,30",M95:M97,"&gt;-0,30"),2)</f>
        <v>109.09</v>
      </c>
      <c r="O95" s="736">
        <f t="shared" ref="O95" si="190">ROUNDUP(MEDIAN(J95:J97),2)</f>
        <v>100</v>
      </c>
      <c r="P95" s="743">
        <f t="shared" ref="P95" si="191">STDEV(J95:J97)</f>
        <v>24.659329539412344</v>
      </c>
      <c r="Q95" s="743">
        <f t="shared" ref="Q95" si="192">P95/N95</f>
        <v>0.22604573782576171</v>
      </c>
      <c r="R95" s="730">
        <f t="shared" ref="R95" si="193">IF(Q95&lt;=0.25, N95,O95)</f>
        <v>109.09</v>
      </c>
      <c r="S95" s="731">
        <f t="shared" ref="S95" si="194">R95*G95</f>
        <v>436.36</v>
      </c>
      <c r="T95" s="738"/>
      <c r="U95" s="614"/>
    </row>
    <row r="96" spans="2:21" ht="28.5" customHeight="1">
      <c r="B96" s="715"/>
      <c r="C96" s="717"/>
      <c r="D96" s="634"/>
      <c r="E96" s="740"/>
      <c r="F96" s="721"/>
      <c r="G96" s="735"/>
      <c r="H96" s="169" t="s">
        <v>337</v>
      </c>
      <c r="I96" s="161"/>
      <c r="J96" s="162">
        <v>90.26</v>
      </c>
      <c r="K96" s="349">
        <f t="shared" ref="K96:K97" si="195">J96*$G$95</f>
        <v>361.04</v>
      </c>
      <c r="L96" s="736"/>
      <c r="M96" s="350">
        <f>J96/$L$95-1</f>
        <v>-0.17260977174809788</v>
      </c>
      <c r="N96" s="736"/>
      <c r="O96" s="736"/>
      <c r="P96" s="743"/>
      <c r="Q96" s="743"/>
      <c r="R96" s="730"/>
      <c r="S96" s="731"/>
      <c r="T96" s="738"/>
      <c r="U96" s="614"/>
    </row>
    <row r="97" spans="2:21" ht="28.5" customHeight="1">
      <c r="B97" s="715"/>
      <c r="C97" s="717"/>
      <c r="D97" s="634"/>
      <c r="E97" s="741"/>
      <c r="F97" s="721"/>
      <c r="G97" s="735"/>
      <c r="H97" s="169" t="s">
        <v>456</v>
      </c>
      <c r="I97" s="161"/>
      <c r="J97" s="162">
        <v>137</v>
      </c>
      <c r="K97" s="349">
        <f t="shared" si="195"/>
        <v>548</v>
      </c>
      <c r="L97" s="736"/>
      <c r="M97" s="350">
        <f>J97/$L$95-1</f>
        <v>0.25584379869832241</v>
      </c>
      <c r="N97" s="736"/>
      <c r="O97" s="736"/>
      <c r="P97" s="743"/>
      <c r="Q97" s="743"/>
      <c r="R97" s="730"/>
      <c r="S97" s="731"/>
      <c r="T97" s="738"/>
      <c r="U97" s="614"/>
    </row>
    <row r="98" spans="2:21" ht="21.75" customHeight="1">
      <c r="B98" s="715"/>
      <c r="C98" s="717"/>
      <c r="D98" s="634">
        <v>30</v>
      </c>
      <c r="E98" s="719" t="s">
        <v>338</v>
      </c>
      <c r="F98" s="721" t="s">
        <v>288</v>
      </c>
      <c r="G98" s="734">
        <v>2</v>
      </c>
      <c r="H98" s="166" t="s">
        <v>321</v>
      </c>
      <c r="I98" s="161" t="s">
        <v>277</v>
      </c>
      <c r="J98" s="167">
        <v>69.430000000000007</v>
      </c>
      <c r="K98" s="351">
        <f>J98*$G$98</f>
        <v>138.86000000000001</v>
      </c>
      <c r="L98" s="736">
        <f t="shared" ref="L98" si="196">ROUNDUP(AVERAGE(J98:J100),2)</f>
        <v>82.71</v>
      </c>
      <c r="M98" s="350">
        <f>J98/$L$98-1</f>
        <v>-0.16056099625196452</v>
      </c>
      <c r="N98" s="736">
        <f t="shared" ref="N98" si="197">ROUNDUP(AVERAGEIFS(J98:J100,M98:M100,"&lt;0,30",M98:M100,"&gt;-0,30"),2)</f>
        <v>82.71</v>
      </c>
      <c r="O98" s="736">
        <f t="shared" ref="O98" si="198">ROUNDUP(MEDIAN(J98:J100),2)</f>
        <v>78.8</v>
      </c>
      <c r="P98" s="743">
        <f t="shared" ref="P98" si="199">STDEV(J98:J100)</f>
        <v>15.606770966474706</v>
      </c>
      <c r="Q98" s="743">
        <f t="shared" ref="Q98" si="200">P98/N98</f>
        <v>0.18869267279016694</v>
      </c>
      <c r="R98" s="730">
        <f t="shared" ref="R98" si="201">IF(Q98&lt;=0.25, N98,O98)</f>
        <v>82.71</v>
      </c>
      <c r="S98" s="731">
        <f t="shared" ref="S98" si="202">R98*G98</f>
        <v>165.42</v>
      </c>
      <c r="T98" s="738"/>
      <c r="U98" s="614"/>
    </row>
    <row r="99" spans="2:21" ht="21.75" customHeight="1">
      <c r="B99" s="715"/>
      <c r="C99" s="717"/>
      <c r="D99" s="634"/>
      <c r="E99" s="719"/>
      <c r="F99" s="721"/>
      <c r="G99" s="735"/>
      <c r="H99" s="166" t="s">
        <v>454</v>
      </c>
      <c r="I99" s="161" t="s">
        <v>277</v>
      </c>
      <c r="J99" s="165">
        <v>78.8</v>
      </c>
      <c r="K99" s="351">
        <f t="shared" ref="K99:K100" si="203">J99*$G$98</f>
        <v>157.6</v>
      </c>
      <c r="L99" s="736"/>
      <c r="M99" s="350">
        <f>J99/$L$98-1</f>
        <v>-4.7273606577197369E-2</v>
      </c>
      <c r="N99" s="736"/>
      <c r="O99" s="736"/>
      <c r="P99" s="743"/>
      <c r="Q99" s="743"/>
      <c r="R99" s="730"/>
      <c r="S99" s="731"/>
      <c r="T99" s="738"/>
      <c r="U99" s="614"/>
    </row>
    <row r="100" spans="2:21" ht="21.75" customHeight="1">
      <c r="B100" s="715"/>
      <c r="C100" s="717"/>
      <c r="D100" s="634"/>
      <c r="E100" s="732"/>
      <c r="F100" s="733"/>
      <c r="G100" s="735"/>
      <c r="H100" s="166" t="s">
        <v>322</v>
      </c>
      <c r="I100" s="161" t="s">
        <v>277</v>
      </c>
      <c r="J100" s="165">
        <v>99.9</v>
      </c>
      <c r="K100" s="351">
        <f t="shared" si="203"/>
        <v>199.8</v>
      </c>
      <c r="L100" s="736"/>
      <c r="M100" s="350">
        <f>J100/$L$98-1</f>
        <v>0.20783460282916222</v>
      </c>
      <c r="N100" s="736"/>
      <c r="O100" s="736"/>
      <c r="P100" s="743"/>
      <c r="Q100" s="743"/>
      <c r="R100" s="730"/>
      <c r="S100" s="731"/>
      <c r="T100" s="738"/>
      <c r="U100" s="614"/>
    </row>
    <row r="101" spans="2:21">
      <c r="B101" s="715"/>
      <c r="C101" s="717"/>
      <c r="D101" s="634">
        <v>31</v>
      </c>
      <c r="E101" s="744" t="s">
        <v>339</v>
      </c>
      <c r="F101" s="720" t="s">
        <v>254</v>
      </c>
      <c r="G101" s="745">
        <v>2</v>
      </c>
      <c r="H101" s="166" t="s">
        <v>324</v>
      </c>
      <c r="I101" s="161" t="s">
        <v>277</v>
      </c>
      <c r="J101" s="162">
        <v>14.8</v>
      </c>
      <c r="K101" s="349">
        <f>J101*$G$101</f>
        <v>29.6</v>
      </c>
      <c r="L101" s="736">
        <f t="shared" ref="L101" si="204">ROUNDUP(AVERAGE(J101:J103),2)</f>
        <v>21.540000000000003</v>
      </c>
      <c r="M101" s="350">
        <f>J101/$L$101-1</f>
        <v>-0.3129062209842155</v>
      </c>
      <c r="N101" s="736">
        <f t="shared" ref="N101" si="205">ROUNDUP(AVERAGEIFS(J101:J103,M101:M103,"&lt;0,30",M101:M103,"&gt;-0,30"),2)</f>
        <v>24.9</v>
      </c>
      <c r="O101" s="736">
        <f t="shared" ref="O101" si="206">ROUNDUP(MEDIAN(J101:J103),2)</f>
        <v>24.9</v>
      </c>
      <c r="P101" s="743">
        <f t="shared" ref="P101" si="207">STDEV(J101:J103)</f>
        <v>5.8312377188152293</v>
      </c>
      <c r="Q101" s="743">
        <f t="shared" ref="Q101" si="208">P101/N101</f>
        <v>0.2341862537676799</v>
      </c>
      <c r="R101" s="730">
        <f t="shared" ref="R101" si="209">IF(Q101&lt;=0.25, N101,O101)</f>
        <v>24.9</v>
      </c>
      <c r="S101" s="731">
        <f t="shared" ref="S101" si="210">R101*G101</f>
        <v>49.8</v>
      </c>
      <c r="T101" s="738"/>
      <c r="U101" s="614"/>
    </row>
    <row r="102" spans="2:21">
      <c r="B102" s="715"/>
      <c r="C102" s="717"/>
      <c r="D102" s="634"/>
      <c r="E102" s="744"/>
      <c r="F102" s="721"/>
      <c r="G102" s="745"/>
      <c r="H102" s="166" t="s">
        <v>325</v>
      </c>
      <c r="I102" s="161" t="s">
        <v>277</v>
      </c>
      <c r="J102" s="162">
        <v>24.9</v>
      </c>
      <c r="K102" s="349">
        <f t="shared" ref="K102:K103" si="211">J102*$G$101</f>
        <v>49.8</v>
      </c>
      <c r="L102" s="736"/>
      <c r="M102" s="350">
        <f>J102/$L$101-1</f>
        <v>0.15598885793871853</v>
      </c>
      <c r="N102" s="736"/>
      <c r="O102" s="736"/>
      <c r="P102" s="743"/>
      <c r="Q102" s="743"/>
      <c r="R102" s="730"/>
      <c r="S102" s="731"/>
      <c r="T102" s="738"/>
      <c r="U102" s="614"/>
    </row>
    <row r="103" spans="2:21">
      <c r="B103" s="715"/>
      <c r="C103" s="717"/>
      <c r="D103" s="634"/>
      <c r="E103" s="744"/>
      <c r="F103" s="721"/>
      <c r="G103" s="746"/>
      <c r="H103" s="166" t="s">
        <v>326</v>
      </c>
      <c r="I103" s="161" t="s">
        <v>277</v>
      </c>
      <c r="J103" s="162">
        <v>24.9</v>
      </c>
      <c r="K103" s="349">
        <f t="shared" si="211"/>
        <v>49.8</v>
      </c>
      <c r="L103" s="736"/>
      <c r="M103" s="350">
        <f>J103/$L$101-1</f>
        <v>0.15598885793871853</v>
      </c>
      <c r="N103" s="736"/>
      <c r="O103" s="736"/>
      <c r="P103" s="743"/>
      <c r="Q103" s="743"/>
      <c r="R103" s="730"/>
      <c r="S103" s="731"/>
      <c r="T103" s="738"/>
      <c r="U103" s="614"/>
    </row>
    <row r="104" spans="2:21">
      <c r="B104" s="715"/>
      <c r="C104" s="717"/>
      <c r="D104" s="634">
        <v>32</v>
      </c>
      <c r="E104" s="748" t="s">
        <v>451</v>
      </c>
      <c r="F104" s="720" t="s">
        <v>254</v>
      </c>
      <c r="G104" s="745">
        <v>1</v>
      </c>
      <c r="H104" s="160" t="s">
        <v>457</v>
      </c>
      <c r="I104" s="161" t="s">
        <v>277</v>
      </c>
      <c r="J104" s="162">
        <v>29</v>
      </c>
      <c r="K104" s="349">
        <f>J104*$G$104</f>
        <v>29</v>
      </c>
      <c r="L104" s="736">
        <f t="shared" ref="L104" si="212">ROUNDUP(AVERAGE(J104:J106),2)</f>
        <v>20.3</v>
      </c>
      <c r="M104" s="350">
        <f>J104/$L$104-1</f>
        <v>0.4285714285714286</v>
      </c>
      <c r="N104" s="736">
        <f t="shared" ref="N104" si="213">ROUNDUP(AVERAGEIFS(J104:J106,M104:M106,"&lt;0,30",M104:M106,"&gt;-0,30"),2)</f>
        <v>17.899999999999999</v>
      </c>
      <c r="O104" s="736">
        <f t="shared" ref="O104" si="214">ROUNDUP(MEDIAN(J104:J106),2)</f>
        <v>17.899999999999999</v>
      </c>
      <c r="P104" s="743">
        <f t="shared" ref="P104" si="215">STDEV(J104:J106)</f>
        <v>7.790772319438771</v>
      </c>
      <c r="Q104" s="743">
        <f t="shared" ref="Q104" si="216">P104/N104</f>
        <v>0.43523867706361852</v>
      </c>
      <c r="R104" s="730">
        <f t="shared" ref="R104" si="217">IF(Q104&lt;=0.25, N104,O104)</f>
        <v>17.899999999999999</v>
      </c>
      <c r="S104" s="731">
        <f t="shared" ref="S104" si="218">R104*G104</f>
        <v>17.899999999999999</v>
      </c>
      <c r="T104" s="738"/>
      <c r="U104" s="614"/>
    </row>
    <row r="105" spans="2:21">
      <c r="B105" s="715"/>
      <c r="C105" s="717"/>
      <c r="D105" s="634"/>
      <c r="E105" s="740"/>
      <c r="F105" s="721"/>
      <c r="G105" s="745"/>
      <c r="H105" s="160" t="s">
        <v>297</v>
      </c>
      <c r="I105" s="161" t="s">
        <v>277</v>
      </c>
      <c r="J105" s="162">
        <v>17.899999999999999</v>
      </c>
      <c r="K105" s="349">
        <f t="shared" ref="K105:K106" si="219">J105*$G$104</f>
        <v>17.899999999999999</v>
      </c>
      <c r="L105" s="736"/>
      <c r="M105" s="350">
        <f>J105/$L$104-1</f>
        <v>-0.11822660098522175</v>
      </c>
      <c r="N105" s="736"/>
      <c r="O105" s="736"/>
      <c r="P105" s="743"/>
      <c r="Q105" s="743"/>
      <c r="R105" s="730"/>
      <c r="S105" s="731"/>
      <c r="T105" s="738"/>
      <c r="U105" s="614"/>
    </row>
    <row r="106" spans="2:21">
      <c r="B106" s="715"/>
      <c r="C106" s="717"/>
      <c r="D106" s="634"/>
      <c r="E106" s="740"/>
      <c r="F106" s="721"/>
      <c r="G106" s="745"/>
      <c r="H106" s="160" t="s">
        <v>298</v>
      </c>
      <c r="I106" s="161" t="s">
        <v>277</v>
      </c>
      <c r="J106" s="162">
        <v>13.98</v>
      </c>
      <c r="K106" s="349">
        <f t="shared" si="219"/>
        <v>13.98</v>
      </c>
      <c r="L106" s="736"/>
      <c r="M106" s="350">
        <f>J106/$L$104-1</f>
        <v>-0.31133004926108376</v>
      </c>
      <c r="N106" s="736"/>
      <c r="O106" s="736"/>
      <c r="P106" s="743"/>
      <c r="Q106" s="743"/>
      <c r="R106" s="730"/>
      <c r="S106" s="731"/>
      <c r="T106" s="738"/>
      <c r="U106" s="614"/>
    </row>
    <row r="107" spans="2:21">
      <c r="B107" s="715"/>
      <c r="C107" s="717"/>
      <c r="D107" s="634">
        <v>33</v>
      </c>
      <c r="E107" s="747" t="s">
        <v>426</v>
      </c>
      <c r="F107" s="720" t="s">
        <v>254</v>
      </c>
      <c r="G107" s="734">
        <f>(60*8/30)/2</f>
        <v>8</v>
      </c>
      <c r="H107" s="160" t="s">
        <v>458</v>
      </c>
      <c r="I107" s="161" t="s">
        <v>277</v>
      </c>
      <c r="J107" s="162">
        <v>0.76900000000000002</v>
      </c>
      <c r="K107" s="349">
        <f>J107*$G$107</f>
        <v>6.1520000000000001</v>
      </c>
      <c r="L107" s="736">
        <f t="shared" ref="L107" si="220">ROUNDUP(AVERAGE(J107:J109),2)</f>
        <v>0.92</v>
      </c>
      <c r="M107" s="350">
        <f>J107/$L$107-1</f>
        <v>-0.16413043478260869</v>
      </c>
      <c r="N107" s="736">
        <f t="shared" ref="N107" si="221">ROUNDUP(AVERAGEIFS(J107:J109,M107:M109,"&lt;0,30",M107:M109,"&gt;-0,30"),2)</f>
        <v>0.92</v>
      </c>
      <c r="O107" s="736">
        <f t="shared" ref="O107" si="222">ROUNDUP(MEDIAN(J107:J109),2)</f>
        <v>0.79</v>
      </c>
      <c r="P107" s="743">
        <f t="shared" ref="P107" si="223">STDEV(J107:J109)</f>
        <v>0.23723476417534908</v>
      </c>
      <c r="Q107" s="743">
        <f t="shared" ref="Q107" si="224">P107/N107</f>
        <v>0.25786387410364031</v>
      </c>
      <c r="R107" s="730">
        <f t="shared" ref="R107" si="225">IF(Q107&lt;=0.25, N107,O107)</f>
        <v>0.79</v>
      </c>
      <c r="S107" s="731">
        <f t="shared" ref="S107" si="226">R107*G107</f>
        <v>6.32</v>
      </c>
      <c r="T107" s="738"/>
      <c r="U107" s="614"/>
    </row>
    <row r="108" spans="2:21">
      <c r="B108" s="715"/>
      <c r="C108" s="717"/>
      <c r="D108" s="634"/>
      <c r="E108" s="719"/>
      <c r="F108" s="721"/>
      <c r="G108" s="735"/>
      <c r="H108" s="160" t="s">
        <v>424</v>
      </c>
      <c r="I108" s="161" t="s">
        <v>277</v>
      </c>
      <c r="J108" s="162">
        <v>1.19</v>
      </c>
      <c r="K108" s="349">
        <f t="shared" ref="K108:K109" si="227">J108*$G$107</f>
        <v>9.52</v>
      </c>
      <c r="L108" s="736"/>
      <c r="M108" s="350">
        <f>J108/$L$107-1</f>
        <v>0.29347826086956519</v>
      </c>
      <c r="N108" s="736"/>
      <c r="O108" s="736"/>
      <c r="P108" s="743"/>
      <c r="Q108" s="743"/>
      <c r="R108" s="730"/>
      <c r="S108" s="731"/>
      <c r="T108" s="738"/>
      <c r="U108" s="614"/>
    </row>
    <row r="109" spans="2:21">
      <c r="B109" s="715"/>
      <c r="C109" s="717"/>
      <c r="D109" s="634"/>
      <c r="E109" s="719"/>
      <c r="F109" s="721"/>
      <c r="G109" s="735"/>
      <c r="H109" s="160" t="s">
        <v>425</v>
      </c>
      <c r="I109" s="161" t="s">
        <v>277</v>
      </c>
      <c r="J109" s="162">
        <v>0.79</v>
      </c>
      <c r="K109" s="349">
        <f t="shared" si="227"/>
        <v>6.32</v>
      </c>
      <c r="L109" s="736"/>
      <c r="M109" s="350">
        <f>J109/$L$107-1</f>
        <v>-0.14130434782608692</v>
      </c>
      <c r="N109" s="736"/>
      <c r="O109" s="736"/>
      <c r="P109" s="743"/>
      <c r="Q109" s="743"/>
      <c r="R109" s="730"/>
      <c r="S109" s="731"/>
      <c r="T109" s="738"/>
      <c r="U109" s="614"/>
    </row>
    <row r="110" spans="2:21">
      <c r="B110" s="715"/>
      <c r="C110" s="717"/>
      <c r="D110" s="634">
        <v>34</v>
      </c>
      <c r="E110" s="749" t="s">
        <v>327</v>
      </c>
      <c r="F110" s="720" t="s">
        <v>254</v>
      </c>
      <c r="G110" s="734">
        <f>12*6/30</f>
        <v>2.4</v>
      </c>
      <c r="H110" s="160" t="s">
        <v>486</v>
      </c>
      <c r="I110" s="161" t="s">
        <v>277</v>
      </c>
      <c r="J110" s="162">
        <v>20.18</v>
      </c>
      <c r="K110" s="349">
        <f>J110*$G$110</f>
        <v>48.431999999999995</v>
      </c>
      <c r="L110" s="736">
        <f t="shared" ref="L110" si="228">ROUNDUP(AVERAGE(J110:J112),2)</f>
        <v>23.69</v>
      </c>
      <c r="M110" s="350">
        <f>J110/$L$110-1</f>
        <v>-0.14816378218657666</v>
      </c>
      <c r="N110" s="736">
        <f t="shared" ref="N110" si="229">ROUNDUP(AVERAGEIFS(J110:J112,M110:M112,"&lt;0,30",M110:M112,"&gt;-0,30"),2)</f>
        <v>23.69</v>
      </c>
      <c r="O110" s="736">
        <f t="shared" ref="O110" si="230">ROUNDUP(MEDIAN(J110:J112),2)</f>
        <v>22.38</v>
      </c>
      <c r="P110" s="743">
        <f t="shared" ref="P110" si="231">STDEV(J110:J112)</f>
        <v>4.3055816486664451</v>
      </c>
      <c r="Q110" s="743">
        <f t="shared" ref="Q110" si="232">P110/N110</f>
        <v>0.18174679817080813</v>
      </c>
      <c r="R110" s="730">
        <f t="shared" ref="R110" si="233">IF(Q110&lt;=0.25, N110,O110)</f>
        <v>23.69</v>
      </c>
      <c r="S110" s="731">
        <f t="shared" ref="S110" si="234">R110*G110</f>
        <v>56.856000000000002</v>
      </c>
      <c r="T110" s="738"/>
      <c r="U110" s="614"/>
    </row>
    <row r="111" spans="2:21">
      <c r="B111" s="715"/>
      <c r="C111" s="717"/>
      <c r="D111" s="634"/>
      <c r="E111" s="749"/>
      <c r="F111" s="721"/>
      <c r="G111" s="735"/>
      <c r="H111" s="160" t="s">
        <v>343</v>
      </c>
      <c r="I111" s="163" t="s">
        <v>277</v>
      </c>
      <c r="J111" s="162">
        <v>28.49</v>
      </c>
      <c r="K111" s="349">
        <f t="shared" ref="K111:K112" si="235">J111*$G$110</f>
        <v>68.375999999999991</v>
      </c>
      <c r="L111" s="736"/>
      <c r="M111" s="350">
        <f>J111/$L$110-1</f>
        <v>0.20261713803292514</v>
      </c>
      <c r="N111" s="736"/>
      <c r="O111" s="736"/>
      <c r="P111" s="743"/>
      <c r="Q111" s="743"/>
      <c r="R111" s="730"/>
      <c r="S111" s="731"/>
      <c r="T111" s="738"/>
      <c r="U111" s="614"/>
    </row>
    <row r="112" spans="2:21">
      <c r="B112" s="715"/>
      <c r="C112" s="717"/>
      <c r="D112" s="634"/>
      <c r="E112" s="747"/>
      <c r="F112" s="721"/>
      <c r="G112" s="735"/>
      <c r="H112" s="160" t="s">
        <v>487</v>
      </c>
      <c r="I112" s="161" t="s">
        <v>277</v>
      </c>
      <c r="J112" s="162">
        <v>22.38</v>
      </c>
      <c r="K112" s="349">
        <f t="shared" si="235"/>
        <v>53.711999999999996</v>
      </c>
      <c r="L112" s="736"/>
      <c r="M112" s="350">
        <f>J112/$L$110-1</f>
        <v>-5.5297593921485921E-2</v>
      </c>
      <c r="N112" s="736"/>
      <c r="O112" s="736"/>
      <c r="P112" s="743"/>
      <c r="Q112" s="743"/>
      <c r="R112" s="730"/>
      <c r="S112" s="731"/>
      <c r="T112" s="738"/>
      <c r="U112" s="614"/>
    </row>
    <row r="113" spans="2:21">
      <c r="B113" s="715"/>
      <c r="C113" s="717"/>
      <c r="D113" s="634">
        <v>35</v>
      </c>
      <c r="E113" s="719" t="s">
        <v>328</v>
      </c>
      <c r="F113" s="721" t="s">
        <v>254</v>
      </c>
      <c r="G113" s="735">
        <f>2</f>
        <v>2</v>
      </c>
      <c r="H113" s="160" t="s">
        <v>427</v>
      </c>
      <c r="I113" s="161" t="s">
        <v>277</v>
      </c>
      <c r="J113" s="162">
        <v>3.5</v>
      </c>
      <c r="K113" s="349">
        <f>J113*$G$113</f>
        <v>7</v>
      </c>
      <c r="L113" s="736">
        <f t="shared" ref="L113" si="236">ROUNDUP(AVERAGE(J113:J115),2)</f>
        <v>4.28</v>
      </c>
      <c r="M113" s="350">
        <f>J113/$L$113-1</f>
        <v>-0.18224299065420568</v>
      </c>
      <c r="N113" s="736">
        <f t="shared" ref="N113" si="237">ROUNDUP(AVERAGEIFS(J113:J115,M113:M115,"&lt;0,30",M113:M115,"&gt;-0,30"),2)</f>
        <v>4.28</v>
      </c>
      <c r="O113" s="736">
        <f t="shared" ref="O113" si="238">ROUNDUP(MEDIAN(J113:J115),2)</f>
        <v>4.45</v>
      </c>
      <c r="P113" s="743">
        <f t="shared" ref="P113" si="239">STDEV(J113:J115)</f>
        <v>0.71042240955645519</v>
      </c>
      <c r="Q113" s="743">
        <f t="shared" ref="Q113" si="240">P113/N113</f>
        <v>0.1659865442888914</v>
      </c>
      <c r="R113" s="730">
        <f t="shared" ref="R113" si="241">IF(Q113&lt;=0.25, N113,O113)</f>
        <v>4.28</v>
      </c>
      <c r="S113" s="731">
        <f t="shared" ref="S113" si="242">R113*G113</f>
        <v>8.56</v>
      </c>
      <c r="T113" s="738"/>
      <c r="U113" s="614"/>
    </row>
    <row r="114" spans="2:21">
      <c r="B114" s="715"/>
      <c r="C114" s="717"/>
      <c r="D114" s="634"/>
      <c r="E114" s="719"/>
      <c r="F114" s="721"/>
      <c r="G114" s="735"/>
      <c r="H114" s="160" t="s">
        <v>343</v>
      </c>
      <c r="I114" s="161" t="s">
        <v>277</v>
      </c>
      <c r="J114" s="162">
        <v>4.8899999999999997</v>
      </c>
      <c r="K114" s="349">
        <f t="shared" ref="K114:K115" si="243">J114*$G$113</f>
        <v>9.7799999999999994</v>
      </c>
      <c r="L114" s="736"/>
      <c r="M114" s="350">
        <f>J114/$L$113-1</f>
        <v>0.14252336448598113</v>
      </c>
      <c r="N114" s="736"/>
      <c r="O114" s="736"/>
      <c r="P114" s="743"/>
      <c r="Q114" s="743"/>
      <c r="R114" s="730"/>
      <c r="S114" s="731"/>
      <c r="T114" s="738"/>
      <c r="U114" s="614"/>
    </row>
    <row r="115" spans="2:21">
      <c r="B115" s="715"/>
      <c r="C115" s="717"/>
      <c r="D115" s="634"/>
      <c r="E115" s="719"/>
      <c r="F115" s="721"/>
      <c r="G115" s="735"/>
      <c r="H115" s="160" t="s">
        <v>428</v>
      </c>
      <c r="I115" s="161"/>
      <c r="J115" s="162">
        <v>4.45</v>
      </c>
      <c r="K115" s="349">
        <f t="shared" si="243"/>
        <v>8.9</v>
      </c>
      <c r="L115" s="736"/>
      <c r="M115" s="350">
        <f>J115/$L$113-1</f>
        <v>3.971962616822422E-2</v>
      </c>
      <c r="N115" s="736"/>
      <c r="O115" s="736"/>
      <c r="P115" s="743"/>
      <c r="Q115" s="743"/>
      <c r="R115" s="730"/>
      <c r="S115" s="731"/>
      <c r="T115" s="738"/>
      <c r="U115" s="614"/>
    </row>
    <row r="116" spans="2:21" s="352" customFormat="1" ht="30.75" customHeight="1">
      <c r="B116" s="715"/>
      <c r="C116" s="717"/>
      <c r="D116" s="634">
        <v>36</v>
      </c>
      <c r="E116" s="719" t="s">
        <v>464</v>
      </c>
      <c r="F116" s="721" t="s">
        <v>288</v>
      </c>
      <c r="G116" s="735">
        <f>2*12</f>
        <v>24</v>
      </c>
      <c r="H116" s="164" t="s">
        <v>433</v>
      </c>
      <c r="I116" s="170" t="s">
        <v>277</v>
      </c>
      <c r="J116" s="165">
        <v>19.8</v>
      </c>
      <c r="K116" s="351">
        <f>J116*$G$116</f>
        <v>475.20000000000005</v>
      </c>
      <c r="L116" s="736">
        <f t="shared" ref="L116" si="244">ROUNDUP(AVERAGE(J116:J118),2)</f>
        <v>23.08</v>
      </c>
      <c r="M116" s="350">
        <f>J116/$L$116-1</f>
        <v>-0.14211438474870008</v>
      </c>
      <c r="N116" s="736">
        <f t="shared" ref="N116" si="245">ROUNDUP(AVERAGEIFS(J116:J118,M116:M118,"&lt;0,30",M116:M118,"&gt;-0,30"),2)</f>
        <v>24.05</v>
      </c>
      <c r="O116" s="736">
        <f t="shared" ref="O116" si="246">ROUNDUP(MEDIAN(J116:J118),2)</f>
        <v>21.15</v>
      </c>
      <c r="P116" s="743">
        <f t="shared" ref="P116" si="247">STDEV(J116:J118)</f>
        <v>4.5622034150177706</v>
      </c>
      <c r="Q116" s="743">
        <f t="shared" ref="Q116" si="248">P116/N116</f>
        <v>0.18969660769304658</v>
      </c>
      <c r="R116" s="730">
        <f t="shared" ref="R116" si="249">IF(Q116&lt;=0.25, N116,O116)</f>
        <v>24.05</v>
      </c>
      <c r="S116" s="731">
        <f t="shared" ref="S116" si="250">R116*G116</f>
        <v>577.20000000000005</v>
      </c>
      <c r="T116" s="738"/>
      <c r="U116" s="614"/>
    </row>
    <row r="117" spans="2:21" s="352" customFormat="1" ht="30.75" customHeight="1">
      <c r="B117" s="715"/>
      <c r="C117" s="717"/>
      <c r="D117" s="634"/>
      <c r="E117" s="719"/>
      <c r="F117" s="721"/>
      <c r="G117" s="735"/>
      <c r="H117" s="164" t="s">
        <v>455</v>
      </c>
      <c r="I117" s="170"/>
      <c r="J117" s="165">
        <v>28.29</v>
      </c>
      <c r="K117" s="351">
        <f t="shared" ref="K117:K118" si="251">J117*$G$116</f>
        <v>678.96</v>
      </c>
      <c r="L117" s="736"/>
      <c r="M117" s="350">
        <f>J117/$L$116-1</f>
        <v>0.22573656845753898</v>
      </c>
      <c r="N117" s="736"/>
      <c r="O117" s="736"/>
      <c r="P117" s="743"/>
      <c r="Q117" s="743"/>
      <c r="R117" s="730"/>
      <c r="S117" s="731"/>
      <c r="T117" s="738"/>
      <c r="U117" s="614"/>
    </row>
    <row r="118" spans="2:21" s="352" customFormat="1" ht="30.75" customHeight="1">
      <c r="B118" s="715"/>
      <c r="C118" s="717"/>
      <c r="D118" s="634"/>
      <c r="E118" s="719"/>
      <c r="F118" s="721"/>
      <c r="G118" s="735"/>
      <c r="H118" s="164" t="s">
        <v>430</v>
      </c>
      <c r="I118" s="170"/>
      <c r="J118" s="165">
        <v>21.15</v>
      </c>
      <c r="K118" s="351">
        <f t="shared" si="251"/>
        <v>507.59999999999997</v>
      </c>
      <c r="L118" s="736"/>
      <c r="M118" s="350">
        <f>J118/$L$113-1</f>
        <v>3.9415887850467284</v>
      </c>
      <c r="N118" s="736"/>
      <c r="O118" s="736"/>
      <c r="P118" s="743"/>
      <c r="Q118" s="743"/>
      <c r="R118" s="730"/>
      <c r="S118" s="731"/>
      <c r="T118" s="738"/>
      <c r="U118" s="614"/>
    </row>
    <row r="119" spans="2:21">
      <c r="B119" s="715"/>
      <c r="C119" s="717"/>
      <c r="D119" s="634">
        <v>37</v>
      </c>
      <c r="E119" s="719" t="s">
        <v>329</v>
      </c>
      <c r="F119" s="721" t="s">
        <v>288</v>
      </c>
      <c r="G119" s="735">
        <v>2</v>
      </c>
      <c r="H119" s="164" t="s">
        <v>465</v>
      </c>
      <c r="I119" s="161" t="s">
        <v>277</v>
      </c>
      <c r="J119" s="162">
        <v>2.48</v>
      </c>
      <c r="K119" s="349">
        <f>J119*$G$119</f>
        <v>4.96</v>
      </c>
      <c r="L119" s="736">
        <f t="shared" ref="L119" si="252">ROUNDUP(AVERAGE(J119:J121),2)</f>
        <v>2.61</v>
      </c>
      <c r="M119" s="350">
        <f>J119/$L$119-1</f>
        <v>-4.9808429118773923E-2</v>
      </c>
      <c r="N119" s="736">
        <f t="shared" ref="N119" si="253">ROUNDUP(AVERAGEIFS(J119:J121,M119:M121,"&lt;0,30",M119:M121,"&gt;-0,30"),2)</f>
        <v>2.61</v>
      </c>
      <c r="O119" s="736">
        <f t="shared" ref="O119" si="254">ROUNDUP(MEDIAN(J119:J121),2)</f>
        <v>2.48</v>
      </c>
      <c r="P119" s="743">
        <f t="shared" ref="P119" si="255">STDEV(J119:J121)</f>
        <v>0.30072135496724101</v>
      </c>
      <c r="Q119" s="743">
        <f t="shared" ref="Q119" si="256">P119/N119</f>
        <v>0.11521890994913449</v>
      </c>
      <c r="R119" s="730">
        <f t="shared" ref="R119" si="257">IF(Q119&lt;=0.25, N119,O119)</f>
        <v>2.61</v>
      </c>
      <c r="S119" s="731">
        <f t="shared" ref="S119" si="258">R119*G119</f>
        <v>5.22</v>
      </c>
      <c r="T119" s="738"/>
      <c r="U119" s="614"/>
    </row>
    <row r="120" spans="2:21">
      <c r="B120" s="715"/>
      <c r="C120" s="717"/>
      <c r="D120" s="634"/>
      <c r="E120" s="719"/>
      <c r="F120" s="721"/>
      <c r="G120" s="735"/>
      <c r="H120" s="164" t="s">
        <v>436</v>
      </c>
      <c r="I120" s="163" t="s">
        <v>277</v>
      </c>
      <c r="J120" s="162">
        <v>2.95</v>
      </c>
      <c r="K120" s="349">
        <f t="shared" ref="K120:K121" si="259">J120*$G$119</f>
        <v>5.9</v>
      </c>
      <c r="L120" s="736"/>
      <c r="M120" s="350">
        <f>J120/$L$119-1</f>
        <v>0.13026819923371669</v>
      </c>
      <c r="N120" s="736"/>
      <c r="O120" s="736"/>
      <c r="P120" s="743"/>
      <c r="Q120" s="743"/>
      <c r="R120" s="730"/>
      <c r="S120" s="731"/>
      <c r="T120" s="738"/>
      <c r="U120" s="614"/>
    </row>
    <row r="121" spans="2:21">
      <c r="B121" s="715"/>
      <c r="C121" s="717"/>
      <c r="D121" s="634"/>
      <c r="E121" s="719"/>
      <c r="F121" s="721"/>
      <c r="G121" s="735"/>
      <c r="H121" s="164" t="s">
        <v>459</v>
      </c>
      <c r="I121" s="161" t="s">
        <v>277</v>
      </c>
      <c r="J121" s="162">
        <v>2.39</v>
      </c>
      <c r="K121" s="349">
        <f t="shared" si="259"/>
        <v>4.78</v>
      </c>
      <c r="L121" s="736"/>
      <c r="M121" s="350">
        <f>J121/$L$119-1</f>
        <v>-8.4291187739463536E-2</v>
      </c>
      <c r="N121" s="736"/>
      <c r="O121" s="736"/>
      <c r="P121" s="743"/>
      <c r="Q121" s="743"/>
      <c r="R121" s="730"/>
      <c r="S121" s="731"/>
      <c r="T121" s="738"/>
      <c r="U121" s="614"/>
    </row>
    <row r="122" spans="2:21">
      <c r="B122" s="715"/>
      <c r="C122" s="717"/>
      <c r="D122" s="634">
        <v>38</v>
      </c>
      <c r="E122" s="719" t="s">
        <v>330</v>
      </c>
      <c r="F122" s="721" t="s">
        <v>288</v>
      </c>
      <c r="G122" s="735">
        <v>2</v>
      </c>
      <c r="H122" s="164" t="s">
        <v>343</v>
      </c>
      <c r="I122" s="161"/>
      <c r="J122" s="162">
        <v>66.89</v>
      </c>
      <c r="K122" s="349">
        <f>J122*$G$122</f>
        <v>133.78</v>
      </c>
      <c r="L122" s="736">
        <f t="shared" ref="L122" si="260">ROUNDUP(AVERAGE(J122:J124),2)</f>
        <v>59.1</v>
      </c>
      <c r="M122" s="350">
        <f>J122/$L$122-1</f>
        <v>0.1318104906937394</v>
      </c>
      <c r="N122" s="736">
        <f t="shared" ref="N122" si="261">ROUNDUP(AVERAGEIFS(J122:J124,M122:M124,"&lt;0,30",M122:M124,"&gt;-0,30"),2)</f>
        <v>61.19</v>
      </c>
      <c r="O122" s="736">
        <f t="shared" ref="O122" si="262">ROUNDUP(MEDIAN(J122:J124),2)</f>
        <v>55.49</v>
      </c>
      <c r="P122" s="743">
        <f t="shared" ref="P122" si="263">STDEV(J122:J124)</f>
        <v>6.7585526063894283</v>
      </c>
      <c r="Q122" s="743">
        <f t="shared" ref="Q122" si="264">P122/N122</f>
        <v>0.11045191381581024</v>
      </c>
      <c r="R122" s="730">
        <f t="shared" ref="R122" si="265">IF(Q122&lt;=0.25, N122,O122)</f>
        <v>61.19</v>
      </c>
      <c r="S122" s="731">
        <f t="shared" ref="S122" si="266">R122*G122</f>
        <v>122.38</v>
      </c>
      <c r="T122" s="738"/>
      <c r="U122" s="614"/>
    </row>
    <row r="123" spans="2:21">
      <c r="B123" s="715"/>
      <c r="C123" s="717"/>
      <c r="D123" s="634"/>
      <c r="E123" s="719"/>
      <c r="F123" s="721"/>
      <c r="G123" s="735"/>
      <c r="H123" s="164" t="s">
        <v>436</v>
      </c>
      <c r="I123" s="161"/>
      <c r="J123" s="162">
        <v>55.49</v>
      </c>
      <c r="K123" s="349">
        <f t="shared" ref="K123:K124" si="267">J123*$G$122</f>
        <v>110.98</v>
      </c>
      <c r="L123" s="736"/>
      <c r="M123" s="350">
        <f>J123/$L$122-1</f>
        <v>-6.1082910321488937E-2</v>
      </c>
      <c r="N123" s="736"/>
      <c r="O123" s="736"/>
      <c r="P123" s="743"/>
      <c r="Q123" s="743"/>
      <c r="R123" s="730"/>
      <c r="S123" s="731"/>
      <c r="T123" s="738"/>
      <c r="U123" s="614"/>
    </row>
    <row r="124" spans="2:21">
      <c r="B124" s="715"/>
      <c r="C124" s="717"/>
      <c r="D124" s="634"/>
      <c r="E124" s="719"/>
      <c r="F124" s="721"/>
      <c r="G124" s="735"/>
      <c r="H124" s="164" t="s">
        <v>438</v>
      </c>
      <c r="I124" s="161"/>
      <c r="J124" s="162">
        <v>54.9</v>
      </c>
      <c r="K124" s="349">
        <f t="shared" si="267"/>
        <v>109.8</v>
      </c>
      <c r="L124" s="736"/>
      <c r="M124" s="350" t="e">
        <f>J124/$L$124-1</f>
        <v>#DIV/0!</v>
      </c>
      <c r="N124" s="736"/>
      <c r="O124" s="736"/>
      <c r="P124" s="743"/>
      <c r="Q124" s="743"/>
      <c r="R124" s="730"/>
      <c r="S124" s="731"/>
      <c r="T124" s="738"/>
      <c r="U124" s="614"/>
    </row>
    <row r="125" spans="2:21">
      <c r="B125" s="715"/>
      <c r="C125" s="717"/>
      <c r="D125" s="634">
        <v>39</v>
      </c>
      <c r="E125" s="750" t="s">
        <v>481</v>
      </c>
      <c r="F125" s="721" t="s">
        <v>254</v>
      </c>
      <c r="G125" s="735">
        <v>1</v>
      </c>
      <c r="H125" s="164" t="s">
        <v>450</v>
      </c>
      <c r="I125" s="161"/>
      <c r="J125" s="162">
        <v>12.3</v>
      </c>
      <c r="K125" s="349">
        <f>J125*$G$125</f>
        <v>12.3</v>
      </c>
      <c r="L125" s="736">
        <f t="shared" ref="L125" si="268">ROUNDUP(AVERAGE(J125:J127),2)</f>
        <v>11.04</v>
      </c>
      <c r="M125" s="350">
        <f>J125/$L$125-1</f>
        <v>0.11413043478260887</v>
      </c>
      <c r="N125" s="736">
        <f t="shared" ref="N125" si="269">ROUNDUP(AVERAGEIFS(J125:J127,M125:M127,"&lt;0,30",M125:M127,"&gt;-0,30"),2)</f>
        <v>11.04</v>
      </c>
      <c r="O125" s="736">
        <f t="shared" ref="O125" si="270">ROUNDUP(MEDIAN(J125:J127),2)</f>
        <v>10.9</v>
      </c>
      <c r="P125" s="743">
        <f t="shared" ref="P125" si="271">STDEV(J125:J127)</f>
        <v>1.2055427546683419</v>
      </c>
      <c r="Q125" s="743">
        <f t="shared" ref="Q125" si="272">P125/N125</f>
        <v>0.10919771328517591</v>
      </c>
      <c r="R125" s="730">
        <f t="shared" ref="R125" si="273">IF(Q125&lt;=0.25, N125,O125)</f>
        <v>11.04</v>
      </c>
      <c r="S125" s="731">
        <f t="shared" ref="S125" si="274">R125*G125</f>
        <v>11.04</v>
      </c>
      <c r="T125" s="738"/>
      <c r="U125" s="614"/>
    </row>
    <row r="126" spans="2:21">
      <c r="B126" s="715"/>
      <c r="C126" s="717"/>
      <c r="D126" s="634"/>
      <c r="E126" s="751"/>
      <c r="F126" s="721"/>
      <c r="G126" s="735"/>
      <c r="H126" s="164" t="s">
        <v>440</v>
      </c>
      <c r="I126" s="161"/>
      <c r="J126" s="162">
        <v>9.9</v>
      </c>
      <c r="K126" s="349">
        <f t="shared" ref="K126:K127" si="275">J126*$G$125</f>
        <v>9.9</v>
      </c>
      <c r="L126" s="736"/>
      <c r="M126" s="350">
        <f t="shared" ref="M126:M127" si="276">J126/$L$125-1</f>
        <v>-0.10326086956521729</v>
      </c>
      <c r="N126" s="736"/>
      <c r="O126" s="736"/>
      <c r="P126" s="743"/>
      <c r="Q126" s="743"/>
      <c r="R126" s="730"/>
      <c r="S126" s="731"/>
      <c r="T126" s="738"/>
      <c r="U126" s="614"/>
    </row>
    <row r="127" spans="2:21">
      <c r="B127" s="715"/>
      <c r="C127" s="717"/>
      <c r="D127" s="634"/>
      <c r="E127" s="752"/>
      <c r="F127" s="721"/>
      <c r="G127" s="735"/>
      <c r="H127" s="164" t="s">
        <v>493</v>
      </c>
      <c r="I127" s="161"/>
      <c r="J127" s="162">
        <v>10.9</v>
      </c>
      <c r="K127" s="349">
        <f t="shared" si="275"/>
        <v>10.9</v>
      </c>
      <c r="L127" s="736"/>
      <c r="M127" s="350">
        <f t="shared" si="276"/>
        <v>-1.26811594202898E-2</v>
      </c>
      <c r="N127" s="736"/>
      <c r="O127" s="736"/>
      <c r="P127" s="743"/>
      <c r="Q127" s="743"/>
      <c r="R127" s="730"/>
      <c r="S127" s="731"/>
      <c r="T127" s="738"/>
      <c r="U127" s="614"/>
    </row>
    <row r="128" spans="2:21">
      <c r="B128" s="715"/>
      <c r="C128" s="717"/>
      <c r="D128" s="634">
        <v>40</v>
      </c>
      <c r="E128" s="719" t="s">
        <v>442</v>
      </c>
      <c r="F128" s="721" t="s">
        <v>254</v>
      </c>
      <c r="G128" s="735">
        <v>1</v>
      </c>
      <c r="H128" s="164" t="s">
        <v>439</v>
      </c>
      <c r="I128" s="161"/>
      <c r="J128" s="162">
        <v>12.35</v>
      </c>
      <c r="K128" s="349">
        <f>J128*$G$128</f>
        <v>12.35</v>
      </c>
      <c r="L128" s="736">
        <f t="shared" ref="L128" si="277">ROUNDUP(AVERAGE(J128:J130),2)</f>
        <v>10.85</v>
      </c>
      <c r="M128" s="350">
        <f>J128/$L$128-1</f>
        <v>0.13824884792626735</v>
      </c>
      <c r="N128" s="736">
        <f t="shared" ref="N128" si="278">ROUNDUP(AVERAGEIFS(J128:J130,M128:M130,"&lt;0,30",M128:M130,"&gt;-0,30"),2)</f>
        <v>10.85</v>
      </c>
      <c r="O128" s="736">
        <f t="shared" ref="O128" si="279">ROUNDUP(MEDIAN(J128:J130),2)</f>
        <v>10.79</v>
      </c>
      <c r="P128" s="743">
        <f t="shared" ref="P128" si="280">STDEV(J128:J130)</f>
        <v>1.480720545320193</v>
      </c>
      <c r="Q128" s="743">
        <f t="shared" ref="Q128" si="281">P128/N128</f>
        <v>0.13647193966084728</v>
      </c>
      <c r="R128" s="730">
        <f t="shared" ref="R128" si="282">IF(Q128&lt;=0.25, N128,O128)</f>
        <v>10.85</v>
      </c>
      <c r="S128" s="731">
        <f t="shared" ref="S128" si="283">R128*G128</f>
        <v>10.85</v>
      </c>
      <c r="T128" s="738"/>
      <c r="U128" s="614"/>
    </row>
    <row r="129" spans="2:21">
      <c r="B129" s="715"/>
      <c r="C129" s="717"/>
      <c r="D129" s="634"/>
      <c r="E129" s="719"/>
      <c r="F129" s="721"/>
      <c r="G129" s="735"/>
      <c r="H129" s="164" t="s">
        <v>440</v>
      </c>
      <c r="I129" s="161"/>
      <c r="J129" s="162">
        <v>9.39</v>
      </c>
      <c r="K129" s="349">
        <f t="shared" ref="K129:K130" si="284">J129*$G$128</f>
        <v>9.39</v>
      </c>
      <c r="L129" s="736"/>
      <c r="M129" s="350">
        <f>J129/$L$128-1</f>
        <v>-0.1345622119815667</v>
      </c>
      <c r="N129" s="736"/>
      <c r="O129" s="736"/>
      <c r="P129" s="743"/>
      <c r="Q129" s="743"/>
      <c r="R129" s="730"/>
      <c r="S129" s="731"/>
      <c r="T129" s="738"/>
      <c r="U129" s="614"/>
    </row>
    <row r="130" spans="2:21">
      <c r="B130" s="715"/>
      <c r="C130" s="718"/>
      <c r="D130" s="634"/>
      <c r="E130" s="719"/>
      <c r="F130" s="721"/>
      <c r="G130" s="735"/>
      <c r="H130" s="164" t="s">
        <v>441</v>
      </c>
      <c r="I130" s="161"/>
      <c r="J130" s="168">
        <v>10.79</v>
      </c>
      <c r="K130" s="349">
        <f t="shared" si="284"/>
        <v>10.79</v>
      </c>
      <c r="L130" s="736"/>
      <c r="M130" s="350">
        <f>J130/$L$128-1</f>
        <v>-5.5299539170506895E-3</v>
      </c>
      <c r="N130" s="736"/>
      <c r="O130" s="736"/>
      <c r="P130" s="743"/>
      <c r="Q130" s="743"/>
      <c r="R130" s="730"/>
      <c r="S130" s="731"/>
      <c r="T130" s="739"/>
      <c r="U130" s="614"/>
    </row>
    <row r="131" spans="2:21" ht="18.75" customHeight="1">
      <c r="B131" s="615"/>
      <c r="C131" s="616"/>
      <c r="D131" s="634">
        <v>41</v>
      </c>
      <c r="E131" s="756" t="s">
        <v>340</v>
      </c>
      <c r="F131" s="759" t="s">
        <v>254</v>
      </c>
      <c r="G131" s="761">
        <v>4</v>
      </c>
      <c r="H131" s="160" t="s">
        <v>341</v>
      </c>
      <c r="I131" s="161"/>
      <c r="J131" s="162">
        <f>26.9+23.48</f>
        <v>50.379999999999995</v>
      </c>
      <c r="K131" s="353">
        <f>J131*$G$131</f>
        <v>201.51999999999998</v>
      </c>
      <c r="L131" s="767">
        <f t="shared" ref="L131" si="285">ROUNDUP(AVERAGE(J131:J133),2)</f>
        <v>47.76</v>
      </c>
      <c r="M131" s="354">
        <f>J131/$L$131-1</f>
        <v>5.4857621440535853E-2</v>
      </c>
      <c r="N131" s="767">
        <f t="shared" ref="N131" si="286">ROUNDUP(AVERAGEIFS(J131:J133,M131:M133,"&lt;0,30",M131:M133,"&gt;-0,30"),2)</f>
        <v>47.76</v>
      </c>
      <c r="O131" s="767">
        <f t="shared" ref="O131" si="287">ROUNDUP(MEDIAN(J131:J133),2)</f>
        <v>50.38</v>
      </c>
      <c r="P131" s="753">
        <f t="shared" ref="P131" si="288">STDEV(J131:J133)</f>
        <v>8.8418568939636533</v>
      </c>
      <c r="Q131" s="753">
        <f t="shared" ref="Q131" si="289">P131/N131</f>
        <v>0.18513100699253882</v>
      </c>
      <c r="R131" s="770">
        <f t="shared" ref="R131" si="290">IF(Q131&lt;=0.25, N131,O131)</f>
        <v>47.76</v>
      </c>
      <c r="S131" s="771">
        <f t="shared" ref="S131" si="291">R131*G131</f>
        <v>191.04</v>
      </c>
      <c r="T131" s="772">
        <f>SUM(S131:S178)/12</f>
        <v>194.50250000000003</v>
      </c>
      <c r="U131" s="617">
        <f>SUM(S131:S178)/12</f>
        <v>194.50250000000003</v>
      </c>
    </row>
    <row r="132" spans="2:21" ht="18.75" customHeight="1">
      <c r="B132" s="615"/>
      <c r="C132" s="616"/>
      <c r="D132" s="634"/>
      <c r="E132" s="757"/>
      <c r="F132" s="759"/>
      <c r="G132" s="762"/>
      <c r="H132" s="160" t="s">
        <v>292</v>
      </c>
      <c r="I132" s="161"/>
      <c r="J132" s="162">
        <v>54.99</v>
      </c>
      <c r="K132" s="353">
        <f t="shared" ref="K132:K133" si="292">J132*$G$131</f>
        <v>219.96</v>
      </c>
      <c r="L132" s="767"/>
      <c r="M132" s="354">
        <f t="shared" ref="M132:M133" si="293">J132/$L$131-1</f>
        <v>0.15138190954773889</v>
      </c>
      <c r="N132" s="767"/>
      <c r="O132" s="767"/>
      <c r="P132" s="753"/>
      <c r="Q132" s="753"/>
      <c r="R132" s="770"/>
      <c r="S132" s="771"/>
      <c r="T132" s="772"/>
      <c r="U132" s="617"/>
    </row>
    <row r="133" spans="2:21" ht="18.75" customHeight="1">
      <c r="B133" s="615"/>
      <c r="C133" s="616"/>
      <c r="D133" s="634"/>
      <c r="E133" s="758"/>
      <c r="F133" s="760"/>
      <c r="G133" s="763"/>
      <c r="H133" s="160" t="s">
        <v>342</v>
      </c>
      <c r="I133" s="161"/>
      <c r="J133" s="162">
        <v>37.9</v>
      </c>
      <c r="K133" s="353">
        <f t="shared" si="292"/>
        <v>151.6</v>
      </c>
      <c r="L133" s="767"/>
      <c r="M133" s="354">
        <f t="shared" si="293"/>
        <v>-0.20644891122278053</v>
      </c>
      <c r="N133" s="767"/>
      <c r="O133" s="767"/>
      <c r="P133" s="753"/>
      <c r="Q133" s="753"/>
      <c r="R133" s="770"/>
      <c r="S133" s="771"/>
      <c r="T133" s="772"/>
      <c r="U133" s="617"/>
    </row>
    <row r="134" spans="2:21" ht="24.75" customHeight="1">
      <c r="B134" s="615"/>
      <c r="C134" s="616"/>
      <c r="D134" s="634">
        <v>42</v>
      </c>
      <c r="E134" s="764" t="s">
        <v>453</v>
      </c>
      <c r="F134" s="759" t="s">
        <v>254</v>
      </c>
      <c r="G134" s="766">
        <v>4</v>
      </c>
      <c r="H134" s="169" t="s">
        <v>317</v>
      </c>
      <c r="I134" s="161"/>
      <c r="J134" s="162">
        <v>100</v>
      </c>
      <c r="K134" s="353">
        <f>J134*$G$134</f>
        <v>400</v>
      </c>
      <c r="L134" s="767">
        <f t="shared" ref="L134" si="294">ROUNDUP(AVERAGE(J134:J136),2)</f>
        <v>109.09</v>
      </c>
      <c r="M134" s="354">
        <f>J134/$L$134-1</f>
        <v>-8.3325694380786519E-2</v>
      </c>
      <c r="N134" s="767">
        <f t="shared" ref="N134" si="295">ROUNDUP(AVERAGEIFS(J134:J136,M134:M136,"&lt;0,30",M134:M136,"&gt;-0,30"),2)</f>
        <v>109.09</v>
      </c>
      <c r="O134" s="767">
        <f t="shared" ref="O134" si="296">ROUNDUP(MEDIAN(J134:J136),2)</f>
        <v>100</v>
      </c>
      <c r="P134" s="753">
        <f t="shared" ref="P134" si="297">STDEV(J134:J136)</f>
        <v>24.659329539412344</v>
      </c>
      <c r="Q134" s="753">
        <f t="shared" ref="Q134" si="298">P134/N134</f>
        <v>0.22604573782576171</v>
      </c>
      <c r="R134" s="770">
        <f t="shared" ref="R134" si="299">IF(Q134&lt;=0.25, N134,O134)</f>
        <v>109.09</v>
      </c>
      <c r="S134" s="771">
        <f t="shared" ref="S134" si="300">R134*G134</f>
        <v>436.36</v>
      </c>
      <c r="T134" s="772"/>
      <c r="U134" s="617"/>
    </row>
    <row r="135" spans="2:21" ht="24.75" customHeight="1">
      <c r="B135" s="615"/>
      <c r="C135" s="616"/>
      <c r="D135" s="634"/>
      <c r="E135" s="764"/>
      <c r="F135" s="759"/>
      <c r="G135" s="766"/>
      <c r="H135" s="169" t="s">
        <v>337</v>
      </c>
      <c r="I135" s="161"/>
      <c r="J135" s="162">
        <v>90.26</v>
      </c>
      <c r="K135" s="353">
        <f t="shared" ref="K135:K136" si="301">J135*$G$134</f>
        <v>361.04</v>
      </c>
      <c r="L135" s="767"/>
      <c r="M135" s="354">
        <f t="shared" ref="M135:M136" si="302">J135/$L$134-1</f>
        <v>-0.17260977174809788</v>
      </c>
      <c r="N135" s="767"/>
      <c r="O135" s="767"/>
      <c r="P135" s="753"/>
      <c r="Q135" s="753"/>
      <c r="R135" s="770"/>
      <c r="S135" s="771"/>
      <c r="T135" s="772"/>
      <c r="U135" s="617"/>
    </row>
    <row r="136" spans="2:21" ht="24.75" customHeight="1">
      <c r="B136" s="615"/>
      <c r="C136" s="616"/>
      <c r="D136" s="634"/>
      <c r="E136" s="765"/>
      <c r="F136" s="759"/>
      <c r="G136" s="766"/>
      <c r="H136" s="169" t="s">
        <v>456</v>
      </c>
      <c r="I136" s="161"/>
      <c r="J136" s="162">
        <v>137</v>
      </c>
      <c r="K136" s="353">
        <f t="shared" si="301"/>
        <v>548</v>
      </c>
      <c r="L136" s="768"/>
      <c r="M136" s="354">
        <f t="shared" si="302"/>
        <v>0.25584379869832241</v>
      </c>
      <c r="N136" s="768"/>
      <c r="O136" s="768"/>
      <c r="P136" s="769"/>
      <c r="Q136" s="769"/>
      <c r="R136" s="774"/>
      <c r="S136" s="775"/>
      <c r="T136" s="772"/>
      <c r="U136" s="617"/>
    </row>
    <row r="137" spans="2:21" ht="36.75" customHeight="1">
      <c r="B137" s="615"/>
      <c r="C137" s="616"/>
      <c r="D137" s="634">
        <v>43</v>
      </c>
      <c r="E137" s="764" t="s">
        <v>344</v>
      </c>
      <c r="F137" s="776" t="s">
        <v>288</v>
      </c>
      <c r="G137" s="766">
        <v>2</v>
      </c>
      <c r="H137" s="166" t="s">
        <v>462</v>
      </c>
      <c r="I137" s="161" t="s">
        <v>277</v>
      </c>
      <c r="J137" s="167">
        <v>78.900000000000006</v>
      </c>
      <c r="K137" s="355">
        <f>J137*$G$137</f>
        <v>157.80000000000001</v>
      </c>
      <c r="L137" s="767">
        <f t="shared" ref="L137" si="303">ROUNDUP(AVERAGE(J137:J139),2)</f>
        <v>88.490000000000009</v>
      </c>
      <c r="M137" s="354">
        <f>J137/$L$137-1</f>
        <v>-0.10837382755113578</v>
      </c>
      <c r="N137" s="767">
        <f t="shared" ref="N137" si="304">ROUNDUP(AVERAGEIFS(J137:J139,M137:M139,"&lt;0,30",M137:M139,"&gt;-0,30"),2)</f>
        <v>88.490000000000009</v>
      </c>
      <c r="O137" s="767">
        <f t="shared" ref="O137" si="305">ROUNDUP(MEDIAN(J137:J139),2)</f>
        <v>83</v>
      </c>
      <c r="P137" s="753">
        <f t="shared" ref="P137" si="306">STDEV(J137:J139)</f>
        <v>13.208172974841503</v>
      </c>
      <c r="Q137" s="753">
        <f t="shared" ref="Q137" si="307">P137/N137</f>
        <v>0.14926175810646969</v>
      </c>
      <c r="R137" s="770">
        <f t="shared" ref="R137" si="308">IF(Q137&lt;=0.25, N137,O137)</f>
        <v>88.490000000000009</v>
      </c>
      <c r="S137" s="771">
        <f t="shared" ref="S137" si="309">R137*G137</f>
        <v>176.98000000000002</v>
      </c>
      <c r="T137" s="772"/>
      <c r="U137" s="617"/>
    </row>
    <row r="138" spans="2:21" ht="36.75" customHeight="1">
      <c r="B138" s="615"/>
      <c r="C138" s="616"/>
      <c r="D138" s="634"/>
      <c r="E138" s="764"/>
      <c r="F138" s="759"/>
      <c r="G138" s="766"/>
      <c r="H138" s="166" t="s">
        <v>460</v>
      </c>
      <c r="I138" s="161" t="s">
        <v>277</v>
      </c>
      <c r="J138" s="165">
        <v>83</v>
      </c>
      <c r="K138" s="355">
        <f t="shared" ref="K138:K139" si="310">J138*$G$137</f>
        <v>166</v>
      </c>
      <c r="L138" s="767"/>
      <c r="M138" s="354">
        <f t="shared" ref="M138:M139" si="311">J138/$L$137-1</f>
        <v>-6.2040908577240428E-2</v>
      </c>
      <c r="N138" s="767"/>
      <c r="O138" s="767"/>
      <c r="P138" s="753"/>
      <c r="Q138" s="753"/>
      <c r="R138" s="770"/>
      <c r="S138" s="771"/>
      <c r="T138" s="772"/>
      <c r="U138" s="617"/>
    </row>
    <row r="139" spans="2:21" ht="36.75" customHeight="1">
      <c r="B139" s="615"/>
      <c r="C139" s="616"/>
      <c r="D139" s="634"/>
      <c r="E139" s="764"/>
      <c r="F139" s="759"/>
      <c r="G139" s="766"/>
      <c r="H139" s="166" t="s">
        <v>461</v>
      </c>
      <c r="I139" s="161" t="s">
        <v>277</v>
      </c>
      <c r="J139" s="165">
        <v>103.55</v>
      </c>
      <c r="K139" s="355">
        <f t="shared" si="310"/>
        <v>207.1</v>
      </c>
      <c r="L139" s="767"/>
      <c r="M139" s="354">
        <f t="shared" si="311"/>
        <v>0.17018872188947887</v>
      </c>
      <c r="N139" s="767"/>
      <c r="O139" s="767"/>
      <c r="P139" s="753"/>
      <c r="Q139" s="753"/>
      <c r="R139" s="770"/>
      <c r="S139" s="771"/>
      <c r="T139" s="772"/>
      <c r="U139" s="617"/>
    </row>
    <row r="140" spans="2:21" ht="18.75" customHeight="1">
      <c r="B140" s="615"/>
      <c r="C140" s="616"/>
      <c r="D140" s="634">
        <v>44</v>
      </c>
      <c r="E140" s="754" t="s">
        <v>345</v>
      </c>
      <c r="F140" s="776" t="s">
        <v>254</v>
      </c>
      <c r="G140" s="777">
        <v>2</v>
      </c>
      <c r="H140" s="166" t="s">
        <v>324</v>
      </c>
      <c r="I140" s="161" t="s">
        <v>277</v>
      </c>
      <c r="J140" s="162">
        <v>14.8</v>
      </c>
      <c r="K140" s="353">
        <f>J140*$G$140</f>
        <v>29.6</v>
      </c>
      <c r="L140" s="778">
        <f t="shared" ref="L140" si="312">ROUNDUP(AVERAGE(J140:J142),2)</f>
        <v>21.540000000000003</v>
      </c>
      <c r="M140" s="354">
        <f>J140/$L$140-1</f>
        <v>-0.3129062209842155</v>
      </c>
      <c r="N140" s="778">
        <f t="shared" ref="N140" si="313">ROUNDUP(AVERAGEIFS(J140:J142,M140:M142,"&lt;0,30",M140:M142,"&gt;-0,30"),2)</f>
        <v>24.9</v>
      </c>
      <c r="O140" s="778">
        <f t="shared" ref="O140" si="314">ROUNDUP(MEDIAN(J140:J142),2)</f>
        <v>24.9</v>
      </c>
      <c r="P140" s="779">
        <f t="shared" ref="P140" si="315">STDEV(J140:J142)</f>
        <v>5.8312377188152293</v>
      </c>
      <c r="Q140" s="779">
        <f t="shared" ref="Q140" si="316">P140/N140</f>
        <v>0.2341862537676799</v>
      </c>
      <c r="R140" s="780">
        <f t="shared" ref="R140" si="317">IF(Q140&lt;=0.25, N140,O140)</f>
        <v>24.9</v>
      </c>
      <c r="S140" s="781">
        <f t="shared" ref="S140" si="318">R140*G140</f>
        <v>49.8</v>
      </c>
      <c r="T140" s="772"/>
      <c r="U140" s="617"/>
    </row>
    <row r="141" spans="2:21" ht="18.75" customHeight="1">
      <c r="B141" s="615"/>
      <c r="C141" s="616"/>
      <c r="D141" s="634"/>
      <c r="E141" s="754"/>
      <c r="F141" s="759"/>
      <c r="G141" s="766"/>
      <c r="H141" s="166" t="s">
        <v>325</v>
      </c>
      <c r="I141" s="161" t="s">
        <v>277</v>
      </c>
      <c r="J141" s="162">
        <v>24.9</v>
      </c>
      <c r="K141" s="353">
        <f t="shared" ref="K141:K142" si="319">J141*$G$140</f>
        <v>49.8</v>
      </c>
      <c r="L141" s="767"/>
      <c r="M141" s="354">
        <f t="shared" ref="M141:M142" si="320">J141/$L$140-1</f>
        <v>0.15598885793871853</v>
      </c>
      <c r="N141" s="767"/>
      <c r="O141" s="767"/>
      <c r="P141" s="753"/>
      <c r="Q141" s="753"/>
      <c r="R141" s="770"/>
      <c r="S141" s="771"/>
      <c r="T141" s="772"/>
      <c r="U141" s="617"/>
    </row>
    <row r="142" spans="2:21" ht="18.75" customHeight="1">
      <c r="B142" s="615"/>
      <c r="C142" s="616"/>
      <c r="D142" s="634"/>
      <c r="E142" s="755"/>
      <c r="F142" s="759"/>
      <c r="G142" s="766"/>
      <c r="H142" s="166" t="s">
        <v>326</v>
      </c>
      <c r="I142" s="161" t="s">
        <v>277</v>
      </c>
      <c r="J142" s="162">
        <v>24.9</v>
      </c>
      <c r="K142" s="353">
        <f t="shared" si="319"/>
        <v>49.8</v>
      </c>
      <c r="L142" s="767"/>
      <c r="M142" s="354">
        <f t="shared" si="320"/>
        <v>0.15598885793871853</v>
      </c>
      <c r="N142" s="767"/>
      <c r="O142" s="767"/>
      <c r="P142" s="753"/>
      <c r="Q142" s="753"/>
      <c r="R142" s="770"/>
      <c r="S142" s="771"/>
      <c r="T142" s="772"/>
      <c r="U142" s="617"/>
    </row>
    <row r="143" spans="2:21" ht="18.75" customHeight="1">
      <c r="B143" s="615"/>
      <c r="C143" s="616"/>
      <c r="D143" s="634">
        <v>45</v>
      </c>
      <c r="E143" s="754" t="s">
        <v>295</v>
      </c>
      <c r="F143" s="776" t="s">
        <v>254</v>
      </c>
      <c r="G143" s="777">
        <v>1</v>
      </c>
      <c r="H143" s="160" t="s">
        <v>296</v>
      </c>
      <c r="I143" s="161" t="s">
        <v>277</v>
      </c>
      <c r="J143" s="162">
        <v>29</v>
      </c>
      <c r="K143" s="353">
        <f>J143*$G$143</f>
        <v>29</v>
      </c>
      <c r="L143" s="767">
        <f t="shared" ref="L143" si="321">ROUNDUP(AVERAGE(J143:J145),2)</f>
        <v>20.3</v>
      </c>
      <c r="M143" s="354">
        <f>J143/$L$143-1</f>
        <v>0.4285714285714286</v>
      </c>
      <c r="N143" s="767">
        <f t="shared" ref="N143" si="322">ROUNDUP(AVERAGEIFS(J143:J145,M143:M145,"&lt;0,30",M143:M145,"&gt;-0,30"),2)</f>
        <v>17.899999999999999</v>
      </c>
      <c r="O143" s="767">
        <f t="shared" ref="O143" si="323">ROUNDUP(MEDIAN(J143:J145),2)</f>
        <v>17.899999999999999</v>
      </c>
      <c r="P143" s="753">
        <f t="shared" ref="P143" si="324">STDEV(J143:J145)</f>
        <v>7.790772319438771</v>
      </c>
      <c r="Q143" s="753">
        <f t="shared" ref="Q143" si="325">P143/N143</f>
        <v>0.43523867706361852</v>
      </c>
      <c r="R143" s="770">
        <f t="shared" ref="R143" si="326">IF(Q143&lt;=0.25, N143,O143)</f>
        <v>17.899999999999999</v>
      </c>
      <c r="S143" s="771">
        <f t="shared" ref="S143" si="327">R143*G143</f>
        <v>17.899999999999999</v>
      </c>
      <c r="T143" s="772"/>
      <c r="U143" s="617"/>
    </row>
    <row r="144" spans="2:21" ht="18.75" customHeight="1">
      <c r="B144" s="615"/>
      <c r="C144" s="616"/>
      <c r="D144" s="634"/>
      <c r="E144" s="754"/>
      <c r="F144" s="759"/>
      <c r="G144" s="766"/>
      <c r="H144" s="160" t="s">
        <v>297</v>
      </c>
      <c r="I144" s="161" t="s">
        <v>277</v>
      </c>
      <c r="J144" s="162">
        <v>17.899999999999999</v>
      </c>
      <c r="K144" s="353">
        <f t="shared" ref="K144:K145" si="328">J144*$G$143</f>
        <v>17.899999999999999</v>
      </c>
      <c r="L144" s="767"/>
      <c r="M144" s="354">
        <f t="shared" ref="M144:M145" si="329">J144/$L$143-1</f>
        <v>-0.11822660098522175</v>
      </c>
      <c r="N144" s="767"/>
      <c r="O144" s="767"/>
      <c r="P144" s="753"/>
      <c r="Q144" s="753"/>
      <c r="R144" s="770"/>
      <c r="S144" s="771"/>
      <c r="T144" s="772"/>
      <c r="U144" s="617"/>
    </row>
    <row r="145" spans="2:21" ht="18.75" customHeight="1">
      <c r="B145" s="615"/>
      <c r="C145" s="616"/>
      <c r="D145" s="634"/>
      <c r="E145" s="754"/>
      <c r="F145" s="759"/>
      <c r="G145" s="766"/>
      <c r="H145" s="160" t="s">
        <v>298</v>
      </c>
      <c r="I145" s="161" t="s">
        <v>277</v>
      </c>
      <c r="J145" s="162">
        <v>13.98</v>
      </c>
      <c r="K145" s="353">
        <f t="shared" si="328"/>
        <v>13.98</v>
      </c>
      <c r="L145" s="767"/>
      <c r="M145" s="354">
        <f t="shared" si="329"/>
        <v>-0.31133004926108376</v>
      </c>
      <c r="N145" s="767"/>
      <c r="O145" s="767"/>
      <c r="P145" s="753"/>
      <c r="Q145" s="753"/>
      <c r="R145" s="770"/>
      <c r="S145" s="771"/>
      <c r="T145" s="772"/>
      <c r="U145" s="617"/>
    </row>
    <row r="146" spans="2:21" ht="18.75" customHeight="1">
      <c r="B146" s="615"/>
      <c r="C146" s="616"/>
      <c r="D146" s="634">
        <v>46</v>
      </c>
      <c r="E146" s="782" t="s">
        <v>488</v>
      </c>
      <c r="F146" s="776" t="s">
        <v>254</v>
      </c>
      <c r="G146" s="777">
        <f>2*12</f>
        <v>24</v>
      </c>
      <c r="H146" s="160" t="s">
        <v>486</v>
      </c>
      <c r="I146" s="161" t="s">
        <v>277</v>
      </c>
      <c r="J146" s="162">
        <v>20.18</v>
      </c>
      <c r="K146" s="353">
        <f>J146*$G$146</f>
        <v>484.32</v>
      </c>
      <c r="L146" s="767">
        <f t="shared" ref="L146" si="330">ROUNDUP(AVERAGE(J146:J148),2)</f>
        <v>23.69</v>
      </c>
      <c r="M146" s="354">
        <f>J146/$L$146-1</f>
        <v>-0.14816378218657666</v>
      </c>
      <c r="N146" s="767">
        <f t="shared" ref="N146" si="331">ROUNDUP(AVERAGEIFS(J146:J148,M146:M148,"&lt;0,30",M146:M148,"&gt;-0,30"),2)</f>
        <v>23.69</v>
      </c>
      <c r="O146" s="767">
        <f t="shared" ref="O146" si="332">ROUNDUP(MEDIAN(J146:J148),2)</f>
        <v>22.38</v>
      </c>
      <c r="P146" s="753">
        <f t="shared" ref="P146" si="333">STDEV(J146:J148)</f>
        <v>4.3055816486664451</v>
      </c>
      <c r="Q146" s="753">
        <f t="shared" ref="Q146" si="334">P146/N146</f>
        <v>0.18174679817080813</v>
      </c>
      <c r="R146" s="770">
        <f t="shared" ref="R146" si="335">IF(Q146&lt;=0.25, N146,O146)</f>
        <v>23.69</v>
      </c>
      <c r="S146" s="771">
        <f t="shared" ref="S146" si="336">R146*G146</f>
        <v>568.56000000000006</v>
      </c>
      <c r="T146" s="772"/>
      <c r="U146" s="617"/>
    </row>
    <row r="147" spans="2:21" ht="18.75" customHeight="1">
      <c r="B147" s="615"/>
      <c r="C147" s="616"/>
      <c r="D147" s="634"/>
      <c r="E147" s="782"/>
      <c r="F147" s="759"/>
      <c r="G147" s="766"/>
      <c r="H147" s="160" t="s">
        <v>343</v>
      </c>
      <c r="I147" s="163" t="s">
        <v>277</v>
      </c>
      <c r="J147" s="162">
        <v>28.49</v>
      </c>
      <c r="K147" s="353">
        <f t="shared" ref="K147:K148" si="337">J147*$G$146</f>
        <v>683.76</v>
      </c>
      <c r="L147" s="767"/>
      <c r="M147" s="354">
        <f t="shared" ref="M147:M148" si="338">J147/$L$146-1</f>
        <v>0.20261713803292514</v>
      </c>
      <c r="N147" s="767"/>
      <c r="O147" s="767"/>
      <c r="P147" s="753"/>
      <c r="Q147" s="753"/>
      <c r="R147" s="770"/>
      <c r="S147" s="771"/>
      <c r="T147" s="772"/>
      <c r="U147" s="617"/>
    </row>
    <row r="148" spans="2:21" ht="18.75" customHeight="1">
      <c r="B148" s="615"/>
      <c r="C148" s="616"/>
      <c r="D148" s="634"/>
      <c r="E148" s="783"/>
      <c r="F148" s="759"/>
      <c r="G148" s="766"/>
      <c r="H148" s="160" t="s">
        <v>487</v>
      </c>
      <c r="I148" s="161" t="s">
        <v>277</v>
      </c>
      <c r="J148" s="162">
        <v>22.38</v>
      </c>
      <c r="K148" s="353">
        <f t="shared" si="337"/>
        <v>537.12</v>
      </c>
      <c r="L148" s="767"/>
      <c r="M148" s="354">
        <f t="shared" si="338"/>
        <v>-5.5297593921485921E-2</v>
      </c>
      <c r="N148" s="767"/>
      <c r="O148" s="767"/>
      <c r="P148" s="753"/>
      <c r="Q148" s="753"/>
      <c r="R148" s="770"/>
      <c r="S148" s="771"/>
      <c r="T148" s="772"/>
      <c r="U148" s="617"/>
    </row>
    <row r="149" spans="2:21" ht="23.25" customHeight="1">
      <c r="B149" s="615"/>
      <c r="C149" s="616"/>
      <c r="D149" s="634">
        <v>47</v>
      </c>
      <c r="E149" s="791" t="s">
        <v>328</v>
      </c>
      <c r="F149" s="759" t="s">
        <v>254</v>
      </c>
      <c r="G149" s="766">
        <v>6</v>
      </c>
      <c r="H149" s="160" t="s">
        <v>427</v>
      </c>
      <c r="I149" s="161" t="s">
        <v>277</v>
      </c>
      <c r="J149" s="162">
        <v>3.5</v>
      </c>
      <c r="K149" s="353">
        <f>J149*$G$149</f>
        <v>21</v>
      </c>
      <c r="L149" s="767">
        <f t="shared" ref="L149" si="339">ROUNDUP(AVERAGE(J149:J151),2)</f>
        <v>4.28</v>
      </c>
      <c r="M149" s="354">
        <f>J149/$L$149-1</f>
        <v>-0.18224299065420568</v>
      </c>
      <c r="N149" s="767">
        <f t="shared" ref="N149" si="340">ROUNDUP(AVERAGEIFS(J149:J151,M149:M151,"&lt;0,30",M149:M151,"&gt;-0,30"),2)</f>
        <v>4.28</v>
      </c>
      <c r="O149" s="767">
        <f t="shared" ref="O149" si="341">ROUNDUP(MEDIAN(J149:J151),2)</f>
        <v>4.45</v>
      </c>
      <c r="P149" s="753">
        <f t="shared" ref="P149" si="342">STDEV(J149:J151)</f>
        <v>0.71042240955645519</v>
      </c>
      <c r="Q149" s="753">
        <f t="shared" ref="Q149" si="343">P149/N149</f>
        <v>0.1659865442888914</v>
      </c>
      <c r="R149" s="770">
        <f t="shared" ref="R149" si="344">IF(Q149&lt;=0.25, N149,O149)</f>
        <v>4.28</v>
      </c>
      <c r="S149" s="771">
        <f t="shared" ref="S149" si="345">R149*G149</f>
        <v>25.68</v>
      </c>
      <c r="T149" s="772"/>
      <c r="U149" s="617"/>
    </row>
    <row r="150" spans="2:21" ht="23.25" customHeight="1">
      <c r="B150" s="615"/>
      <c r="C150" s="616"/>
      <c r="D150" s="634"/>
      <c r="E150" s="792"/>
      <c r="F150" s="759"/>
      <c r="G150" s="766"/>
      <c r="H150" s="160" t="s">
        <v>343</v>
      </c>
      <c r="I150" s="161" t="s">
        <v>277</v>
      </c>
      <c r="J150" s="162">
        <v>4.8899999999999997</v>
      </c>
      <c r="K150" s="353">
        <f t="shared" ref="K150:K151" si="346">J150*$G$149</f>
        <v>29.339999999999996</v>
      </c>
      <c r="L150" s="767"/>
      <c r="M150" s="354">
        <f t="shared" ref="M150:M151" si="347">J150/$L$149-1</f>
        <v>0.14252336448598113</v>
      </c>
      <c r="N150" s="767"/>
      <c r="O150" s="767"/>
      <c r="P150" s="753"/>
      <c r="Q150" s="753"/>
      <c r="R150" s="770"/>
      <c r="S150" s="771"/>
      <c r="T150" s="772"/>
      <c r="U150" s="617"/>
    </row>
    <row r="151" spans="2:21" ht="23.25" customHeight="1">
      <c r="B151" s="615"/>
      <c r="C151" s="616"/>
      <c r="D151" s="634"/>
      <c r="E151" s="792"/>
      <c r="F151" s="759"/>
      <c r="G151" s="766"/>
      <c r="H151" s="160" t="s">
        <v>428</v>
      </c>
      <c r="I151" s="161"/>
      <c r="J151" s="162">
        <v>4.45</v>
      </c>
      <c r="K151" s="353">
        <f t="shared" si="346"/>
        <v>26.700000000000003</v>
      </c>
      <c r="L151" s="767"/>
      <c r="M151" s="354">
        <f t="shared" si="347"/>
        <v>3.971962616822422E-2</v>
      </c>
      <c r="N151" s="767"/>
      <c r="O151" s="767"/>
      <c r="P151" s="753"/>
      <c r="Q151" s="753"/>
      <c r="R151" s="770"/>
      <c r="S151" s="771"/>
      <c r="T151" s="772"/>
      <c r="U151" s="617"/>
    </row>
    <row r="152" spans="2:21" ht="23.25" customHeight="1">
      <c r="B152" s="615"/>
      <c r="C152" s="616"/>
      <c r="D152" s="634">
        <v>48</v>
      </c>
      <c r="E152" s="784" t="s">
        <v>468</v>
      </c>
      <c r="F152" s="760" t="s">
        <v>288</v>
      </c>
      <c r="G152" s="788">
        <v>4</v>
      </c>
      <c r="H152" s="160" t="s">
        <v>433</v>
      </c>
      <c r="I152" s="161" t="s">
        <v>277</v>
      </c>
      <c r="J152" s="162">
        <v>19.8</v>
      </c>
      <c r="K152" s="353">
        <f>J152*$G$152</f>
        <v>79.2</v>
      </c>
      <c r="L152" s="768">
        <f t="shared" ref="L152" si="348">ROUNDUP(AVERAGE(J152:J154),2)</f>
        <v>23.08</v>
      </c>
      <c r="M152" s="354">
        <f>J152/$L$152-1</f>
        <v>-0.14211438474870008</v>
      </c>
      <c r="N152" s="768">
        <f t="shared" ref="N152" si="349">ROUNDUP(AVERAGEIFS(J152:J154,M152:M154,"&lt;0,30",M152:M154,"&gt;-0,30"),2)</f>
        <v>23.08</v>
      </c>
      <c r="O152" s="768">
        <f t="shared" ref="O152" si="350">ROUNDUP(MEDIAN(J152:J154),2)</f>
        <v>21.15</v>
      </c>
      <c r="P152" s="769">
        <f t="shared" ref="P152" si="351">STDEV(J152:J154)</f>
        <v>4.5622034150177706</v>
      </c>
      <c r="Q152" s="769">
        <f t="shared" ref="Q152" si="352">P152/N152</f>
        <v>0.19766912543404552</v>
      </c>
      <c r="R152" s="774">
        <f t="shared" ref="R152" si="353">IF(Q152&lt;=0.25, N152,O152)</f>
        <v>23.08</v>
      </c>
      <c r="S152" s="775">
        <f t="shared" ref="S152" si="354">R152*G152</f>
        <v>92.32</v>
      </c>
      <c r="T152" s="772"/>
      <c r="U152" s="617"/>
    </row>
    <row r="153" spans="2:21" ht="23.25" customHeight="1">
      <c r="B153" s="615"/>
      <c r="C153" s="616"/>
      <c r="D153" s="634"/>
      <c r="E153" s="785"/>
      <c r="F153" s="787"/>
      <c r="G153" s="789"/>
      <c r="H153" s="160" t="s">
        <v>434</v>
      </c>
      <c r="I153" s="161"/>
      <c r="J153" s="162">
        <v>28.29</v>
      </c>
      <c r="K153" s="353">
        <f t="shared" ref="K153:K154" si="355">J153*$G$152</f>
        <v>113.16</v>
      </c>
      <c r="L153" s="790"/>
      <c r="M153" s="354">
        <f t="shared" ref="M153:M154" si="356">J153/$L$152-1</f>
        <v>0.22573656845753898</v>
      </c>
      <c r="N153" s="790"/>
      <c r="O153" s="790"/>
      <c r="P153" s="794"/>
      <c r="Q153" s="794"/>
      <c r="R153" s="795"/>
      <c r="S153" s="796"/>
      <c r="T153" s="772"/>
      <c r="U153" s="617"/>
    </row>
    <row r="154" spans="2:21" ht="23.25" customHeight="1">
      <c r="B154" s="615"/>
      <c r="C154" s="616"/>
      <c r="D154" s="634"/>
      <c r="E154" s="786"/>
      <c r="F154" s="776"/>
      <c r="G154" s="777"/>
      <c r="H154" s="160" t="s">
        <v>430</v>
      </c>
      <c r="I154" s="161"/>
      <c r="J154" s="162">
        <v>21.15</v>
      </c>
      <c r="K154" s="353">
        <f t="shared" si="355"/>
        <v>84.6</v>
      </c>
      <c r="L154" s="778"/>
      <c r="M154" s="354">
        <f t="shared" si="356"/>
        <v>-8.3622183708838782E-2</v>
      </c>
      <c r="N154" s="778"/>
      <c r="O154" s="778"/>
      <c r="P154" s="779"/>
      <c r="Q154" s="779"/>
      <c r="R154" s="780"/>
      <c r="S154" s="781"/>
      <c r="T154" s="772"/>
      <c r="U154" s="617"/>
    </row>
    <row r="155" spans="2:21" ht="18.75" customHeight="1">
      <c r="B155" s="615"/>
      <c r="C155" s="616"/>
      <c r="D155" s="634">
        <v>49</v>
      </c>
      <c r="E155" s="792" t="s">
        <v>659</v>
      </c>
      <c r="F155" s="759" t="s">
        <v>288</v>
      </c>
      <c r="G155" s="766">
        <v>4</v>
      </c>
      <c r="H155" s="164" t="s">
        <v>430</v>
      </c>
      <c r="I155" s="161" t="s">
        <v>277</v>
      </c>
      <c r="J155" s="162">
        <v>31.9</v>
      </c>
      <c r="K155" s="353">
        <f>J155*$G$155</f>
        <v>127.6</v>
      </c>
      <c r="L155" s="767">
        <f t="shared" ref="L155" si="357">ROUNDUP(AVERAGE(J155:J157),2)</f>
        <v>23.9</v>
      </c>
      <c r="M155" s="354">
        <f>J155/$L$155-1</f>
        <v>0.33472803347280333</v>
      </c>
      <c r="N155" s="767">
        <f t="shared" ref="N155" si="358">ROUNDUP(AVERAGEIFS(J155:J157,M155:M157,"&lt;0,30",M155:M157,"&gt;-0,30"),2)</f>
        <v>19.899999999999999</v>
      </c>
      <c r="O155" s="767">
        <f t="shared" ref="O155" si="359">ROUNDUP(MEDIAN(J155:J157),2)</f>
        <v>19.899999999999999</v>
      </c>
      <c r="P155" s="753">
        <f t="shared" ref="P155" si="360">STDEV(J155:J157)</f>
        <v>6.9282032302755256</v>
      </c>
      <c r="Q155" s="753">
        <f t="shared" ref="Q155" si="361">P155/N155</f>
        <v>0.34815091609424753</v>
      </c>
      <c r="R155" s="770">
        <f t="shared" ref="R155" si="362">IF(Q155&lt;=0.25, N155,O155)</f>
        <v>19.899999999999999</v>
      </c>
      <c r="S155" s="771">
        <f t="shared" ref="S155" si="363">R155*G155</f>
        <v>79.599999999999994</v>
      </c>
      <c r="T155" s="772"/>
      <c r="U155" s="617"/>
    </row>
    <row r="156" spans="2:21" ht="18.75" customHeight="1">
      <c r="B156" s="615"/>
      <c r="C156" s="616"/>
      <c r="D156" s="634"/>
      <c r="E156" s="792"/>
      <c r="F156" s="759"/>
      <c r="G156" s="766"/>
      <c r="H156" s="164" t="s">
        <v>431</v>
      </c>
      <c r="I156" s="161" t="s">
        <v>277</v>
      </c>
      <c r="J156" s="162">
        <v>19.899999999999999</v>
      </c>
      <c r="K156" s="353">
        <f t="shared" ref="K156:K157" si="364">J156*$G$155</f>
        <v>79.599999999999994</v>
      </c>
      <c r="L156" s="767"/>
      <c r="M156" s="354">
        <f t="shared" ref="M156:M157" si="365">J156/$L$155-1</f>
        <v>-0.16736401673640167</v>
      </c>
      <c r="N156" s="767"/>
      <c r="O156" s="767"/>
      <c r="P156" s="753"/>
      <c r="Q156" s="753"/>
      <c r="R156" s="770"/>
      <c r="S156" s="771"/>
      <c r="T156" s="772"/>
      <c r="U156" s="617"/>
    </row>
    <row r="157" spans="2:21" ht="18.75" customHeight="1">
      <c r="B157" s="615"/>
      <c r="C157" s="616"/>
      <c r="D157" s="634"/>
      <c r="E157" s="792"/>
      <c r="F157" s="760"/>
      <c r="G157" s="766"/>
      <c r="H157" s="164" t="s">
        <v>432</v>
      </c>
      <c r="I157" s="161" t="s">
        <v>277</v>
      </c>
      <c r="J157" s="162">
        <v>19.899999999999999</v>
      </c>
      <c r="K157" s="353">
        <f t="shared" si="364"/>
        <v>79.599999999999994</v>
      </c>
      <c r="L157" s="767"/>
      <c r="M157" s="354">
        <f t="shared" si="365"/>
        <v>-0.16736401673640167</v>
      </c>
      <c r="N157" s="767"/>
      <c r="O157" s="767"/>
      <c r="P157" s="753"/>
      <c r="Q157" s="753"/>
      <c r="R157" s="770"/>
      <c r="S157" s="771"/>
      <c r="T157" s="772"/>
      <c r="U157" s="617"/>
    </row>
    <row r="158" spans="2:21" ht="18.75" customHeight="1">
      <c r="B158" s="615"/>
      <c r="C158" s="616"/>
      <c r="D158" s="634">
        <v>50</v>
      </c>
      <c r="E158" s="764" t="s">
        <v>330</v>
      </c>
      <c r="F158" s="759" t="s">
        <v>288</v>
      </c>
      <c r="G158" s="793">
        <v>2</v>
      </c>
      <c r="H158" s="164" t="s">
        <v>343</v>
      </c>
      <c r="I158" s="161"/>
      <c r="J158" s="162">
        <v>66.89</v>
      </c>
      <c r="K158" s="353">
        <f>J158*$G$158</f>
        <v>133.78</v>
      </c>
      <c r="L158" s="767">
        <f t="shared" ref="L158" si="366">ROUNDUP(AVERAGE(J158:J160),2)</f>
        <v>59.1</v>
      </c>
      <c r="M158" s="354">
        <f>J158/$L$158-1</f>
        <v>0.1318104906937394</v>
      </c>
      <c r="N158" s="767">
        <f t="shared" ref="N158" si="367">ROUNDUP(AVERAGEIFS(J158:J160,M158:M160,"&lt;0,30",M158:M160,"&gt;-0,30"),2)</f>
        <v>59.1</v>
      </c>
      <c r="O158" s="767">
        <f t="shared" ref="O158" si="368">ROUNDUP(MEDIAN(J158:J160),2)</f>
        <v>55.49</v>
      </c>
      <c r="P158" s="753">
        <f t="shared" ref="P158" si="369">STDEV(J158:J160)</f>
        <v>6.7585526063894283</v>
      </c>
      <c r="Q158" s="753">
        <f t="shared" ref="Q158" si="370">P158/N158</f>
        <v>0.11435791212164853</v>
      </c>
      <c r="R158" s="770">
        <f t="shared" ref="R158" si="371">IF(Q158&lt;=0.25, N158,O158)</f>
        <v>59.1</v>
      </c>
      <c r="S158" s="771">
        <f t="shared" ref="S158" si="372">R158*G158</f>
        <v>118.2</v>
      </c>
      <c r="T158" s="772"/>
      <c r="U158" s="617"/>
    </row>
    <row r="159" spans="2:21" ht="18.75" customHeight="1">
      <c r="B159" s="615"/>
      <c r="C159" s="616"/>
      <c r="D159" s="634"/>
      <c r="E159" s="764"/>
      <c r="F159" s="759"/>
      <c r="G159" s="793"/>
      <c r="H159" s="164" t="s">
        <v>436</v>
      </c>
      <c r="I159" s="161"/>
      <c r="J159" s="162">
        <v>55.49</v>
      </c>
      <c r="K159" s="353">
        <f t="shared" ref="K159:K160" si="373">J159*$G$158</f>
        <v>110.98</v>
      </c>
      <c r="L159" s="767"/>
      <c r="M159" s="354">
        <f t="shared" ref="M159:M160" si="374">J159/$L$158-1</f>
        <v>-6.1082910321488937E-2</v>
      </c>
      <c r="N159" s="767"/>
      <c r="O159" s="767"/>
      <c r="P159" s="753"/>
      <c r="Q159" s="753"/>
      <c r="R159" s="770"/>
      <c r="S159" s="771"/>
      <c r="T159" s="772"/>
      <c r="U159" s="617"/>
    </row>
    <row r="160" spans="2:21" ht="18.75" customHeight="1">
      <c r="B160" s="615"/>
      <c r="C160" s="616"/>
      <c r="D160" s="634"/>
      <c r="E160" s="764"/>
      <c r="F160" s="759"/>
      <c r="G160" s="793"/>
      <c r="H160" s="164" t="s">
        <v>438</v>
      </c>
      <c r="I160" s="161"/>
      <c r="J160" s="162">
        <v>54.9</v>
      </c>
      <c r="K160" s="353">
        <f t="shared" si="373"/>
        <v>109.8</v>
      </c>
      <c r="L160" s="767"/>
      <c r="M160" s="354">
        <f t="shared" si="374"/>
        <v>-7.1065989847715727E-2</v>
      </c>
      <c r="N160" s="767"/>
      <c r="O160" s="767"/>
      <c r="P160" s="753"/>
      <c r="Q160" s="753"/>
      <c r="R160" s="770"/>
      <c r="S160" s="771"/>
      <c r="T160" s="772"/>
      <c r="U160" s="617"/>
    </row>
    <row r="161" spans="2:21" ht="18.75" customHeight="1">
      <c r="B161" s="615"/>
      <c r="C161" s="616"/>
      <c r="D161" s="634">
        <v>51</v>
      </c>
      <c r="E161" s="764" t="s">
        <v>443</v>
      </c>
      <c r="F161" s="776" t="s">
        <v>254</v>
      </c>
      <c r="G161" s="793">
        <f>2/3</f>
        <v>0.66666666666666663</v>
      </c>
      <c r="H161" s="164" t="s">
        <v>444</v>
      </c>
      <c r="I161" s="161" t="s">
        <v>277</v>
      </c>
      <c r="J161" s="162">
        <v>152.57</v>
      </c>
      <c r="K161" s="353">
        <f>J161*$G$161</f>
        <v>101.71333333333332</v>
      </c>
      <c r="L161" s="767">
        <f t="shared" ref="L161" si="375">ROUNDUP(AVERAGE(J161:J163),2)</f>
        <v>196.64999999999998</v>
      </c>
      <c r="M161" s="354">
        <f>J161/$L$161-1</f>
        <v>-0.22415458937198063</v>
      </c>
      <c r="N161" s="767">
        <f t="shared" ref="N161" si="376">ROUNDUP(AVERAGEIFS(J161:J163,M161:M163,"&lt;0,30",M161:M163,"&gt;-0,30"),2)</f>
        <v>196.64999999999998</v>
      </c>
      <c r="O161" s="767">
        <f t="shared" ref="O161" si="377">ROUNDUP(MEDIAN(J161:J163),2)</f>
        <v>197.47</v>
      </c>
      <c r="P161" s="753">
        <f t="shared" ref="P161" si="378">STDEV(J161:J163)</f>
        <v>43.665869203914099</v>
      </c>
      <c r="Q161" s="753">
        <f t="shared" ref="Q161" si="379">P161/N161</f>
        <v>0.22204866109287619</v>
      </c>
      <c r="R161" s="770">
        <f t="shared" ref="R161" si="380">IF(Q161&lt;=0.25, N161,O161)</f>
        <v>196.64999999999998</v>
      </c>
      <c r="S161" s="771">
        <f t="shared" ref="S161" si="381">R161*G161</f>
        <v>131.09999999999997</v>
      </c>
      <c r="T161" s="772"/>
      <c r="U161" s="617"/>
    </row>
    <row r="162" spans="2:21" ht="18.75" customHeight="1">
      <c r="B162" s="615"/>
      <c r="C162" s="616"/>
      <c r="D162" s="634"/>
      <c r="E162" s="764"/>
      <c r="F162" s="759"/>
      <c r="G162" s="793"/>
      <c r="H162" s="164" t="s">
        <v>343</v>
      </c>
      <c r="I162" s="161" t="s">
        <v>277</v>
      </c>
      <c r="J162" s="162">
        <v>239.89</v>
      </c>
      <c r="K162" s="353">
        <f t="shared" ref="K162:K163" si="382">J162*$G$161</f>
        <v>159.92666666666665</v>
      </c>
      <c r="L162" s="767"/>
      <c r="M162" s="354">
        <f t="shared" ref="M162:M163" si="383">J162/$L$161-1</f>
        <v>0.21988304093567268</v>
      </c>
      <c r="N162" s="767"/>
      <c r="O162" s="767"/>
      <c r="P162" s="753"/>
      <c r="Q162" s="753"/>
      <c r="R162" s="770"/>
      <c r="S162" s="771"/>
      <c r="T162" s="772"/>
      <c r="U162" s="617"/>
    </row>
    <row r="163" spans="2:21" ht="18.75" customHeight="1">
      <c r="B163" s="615"/>
      <c r="C163" s="616"/>
      <c r="D163" s="634"/>
      <c r="E163" s="764"/>
      <c r="F163" s="759"/>
      <c r="G163" s="793"/>
      <c r="H163" s="164" t="s">
        <v>445</v>
      </c>
      <c r="I163" s="161" t="s">
        <v>277</v>
      </c>
      <c r="J163" s="168">
        <v>197.47</v>
      </c>
      <c r="K163" s="353">
        <f t="shared" si="382"/>
        <v>131.64666666666665</v>
      </c>
      <c r="L163" s="797"/>
      <c r="M163" s="354">
        <f t="shared" si="383"/>
        <v>4.1698449021103645E-3</v>
      </c>
      <c r="N163" s="767"/>
      <c r="O163" s="767"/>
      <c r="P163" s="753"/>
      <c r="Q163" s="753"/>
      <c r="R163" s="770"/>
      <c r="S163" s="771"/>
      <c r="T163" s="772"/>
      <c r="U163" s="617"/>
    </row>
    <row r="164" spans="2:21" ht="18.75" customHeight="1">
      <c r="B164" s="615"/>
      <c r="C164" s="616"/>
      <c r="D164" s="634">
        <v>52</v>
      </c>
      <c r="E164" s="764" t="s">
        <v>346</v>
      </c>
      <c r="F164" s="776" t="s">
        <v>254</v>
      </c>
      <c r="G164" s="793">
        <v>1</v>
      </c>
      <c r="H164" s="164" t="s">
        <v>446</v>
      </c>
      <c r="I164" s="161" t="s">
        <v>277</v>
      </c>
      <c r="J164" s="162">
        <v>39.9</v>
      </c>
      <c r="K164" s="353">
        <f>J164*$G$164</f>
        <v>39.9</v>
      </c>
      <c r="L164" s="767">
        <f t="shared" ref="L164" si="384">ROUNDUP(AVERAGE(J164:J166),2)</f>
        <v>44.589999999999996</v>
      </c>
      <c r="M164" s="354">
        <f>J164/$L$164-1</f>
        <v>-0.10518053375196224</v>
      </c>
      <c r="N164" s="767">
        <f t="shared" ref="N164" si="385">ROUNDUP(AVERAGEIFS(J164:J166,M164:M166,"&lt;0,30",M164:M166,"&gt;-0,30"),2)</f>
        <v>44.589999999999996</v>
      </c>
      <c r="O164" s="767">
        <f t="shared" ref="O164" si="386">ROUNDUP(MEDIAN(J164:J166),2)</f>
        <v>39.9</v>
      </c>
      <c r="P164" s="753">
        <f t="shared" ref="P164" si="387">STDEV(J164:J166)</f>
        <v>8.9350564258617684</v>
      </c>
      <c r="Q164" s="753">
        <f t="shared" ref="Q164" si="388">P164/N164</f>
        <v>0.2003825168392413</v>
      </c>
      <c r="R164" s="770">
        <f t="shared" ref="R164" si="389">IF(Q164&lt;=0.25, N164,O164)</f>
        <v>44.589999999999996</v>
      </c>
      <c r="S164" s="771">
        <f t="shared" ref="S164" si="390">R164*G164</f>
        <v>44.589999999999996</v>
      </c>
      <c r="T164" s="772"/>
      <c r="U164" s="617"/>
    </row>
    <row r="165" spans="2:21" ht="18.75" customHeight="1">
      <c r="B165" s="615"/>
      <c r="C165" s="616"/>
      <c r="D165" s="634"/>
      <c r="E165" s="764"/>
      <c r="F165" s="759"/>
      <c r="G165" s="793"/>
      <c r="H165" s="164" t="s">
        <v>447</v>
      </c>
      <c r="I165" s="161" t="s">
        <v>277</v>
      </c>
      <c r="J165" s="162">
        <v>54.89</v>
      </c>
      <c r="K165" s="353">
        <f>J165*$G$164</f>
        <v>54.89</v>
      </c>
      <c r="L165" s="767"/>
      <c r="M165" s="354">
        <f t="shared" ref="M165:M166" si="391">J165/$L$164-1</f>
        <v>0.23099349629961896</v>
      </c>
      <c r="N165" s="767"/>
      <c r="O165" s="767"/>
      <c r="P165" s="753"/>
      <c r="Q165" s="753"/>
      <c r="R165" s="770"/>
      <c r="S165" s="771"/>
      <c r="T165" s="772"/>
      <c r="U165" s="617"/>
    </row>
    <row r="166" spans="2:21" ht="18.75" customHeight="1">
      <c r="B166" s="615"/>
      <c r="C166" s="616"/>
      <c r="D166" s="634"/>
      <c r="E166" s="764"/>
      <c r="F166" s="759"/>
      <c r="G166" s="793"/>
      <c r="H166" s="164" t="s">
        <v>448</v>
      </c>
      <c r="I166" s="161" t="s">
        <v>277</v>
      </c>
      <c r="J166" s="168">
        <v>38.97</v>
      </c>
      <c r="K166" s="353">
        <f>J166*$G$164</f>
        <v>38.97</v>
      </c>
      <c r="L166" s="797"/>
      <c r="M166" s="354">
        <f t="shared" si="391"/>
        <v>-0.12603722807804441</v>
      </c>
      <c r="N166" s="767"/>
      <c r="O166" s="767"/>
      <c r="P166" s="753"/>
      <c r="Q166" s="753"/>
      <c r="R166" s="770"/>
      <c r="S166" s="771"/>
      <c r="T166" s="772"/>
      <c r="U166" s="617"/>
    </row>
    <row r="167" spans="2:21" ht="18.75" customHeight="1">
      <c r="B167" s="615"/>
      <c r="C167" s="616"/>
      <c r="D167" s="634">
        <v>53</v>
      </c>
      <c r="E167" s="756" t="s">
        <v>469</v>
      </c>
      <c r="F167" s="776" t="s">
        <v>254</v>
      </c>
      <c r="G167" s="793">
        <v>1</v>
      </c>
      <c r="H167" s="164" t="s">
        <v>470</v>
      </c>
      <c r="I167" s="161"/>
      <c r="J167" s="168">
        <v>249.9</v>
      </c>
      <c r="K167" s="353">
        <f>J167*$G$167</f>
        <v>249.9</v>
      </c>
      <c r="L167" s="767">
        <f t="shared" ref="L167" si="392">ROUNDUP(AVERAGE(J167:J169),2)</f>
        <v>263.52999999999997</v>
      </c>
      <c r="M167" s="354">
        <f>J167/$L$167-1</f>
        <v>-5.1720866694493828E-2</v>
      </c>
      <c r="N167" s="767">
        <f t="shared" ref="N167" si="393">ROUNDUP(AVERAGEIFS(J167:J169,M167:M169,"&lt;0,30",M167:M169,"&gt;-0,30"),2)</f>
        <v>263.52999999999997</v>
      </c>
      <c r="O167" s="767">
        <f t="shared" ref="O167" si="394">ROUNDUP(MEDIAN(J167:J169),2)</f>
        <v>249.9</v>
      </c>
      <c r="P167" s="753">
        <f t="shared" ref="P167" si="395">STDEV(J167:J169)</f>
        <v>27.145730787731619</v>
      </c>
      <c r="Q167" s="753">
        <f t="shared" ref="Q167" si="396">P167/N167</f>
        <v>0.10300812350674163</v>
      </c>
      <c r="R167" s="770">
        <f t="shared" ref="R167" si="397">IF(Q167&lt;=0.25, N167,O167)</f>
        <v>263.52999999999997</v>
      </c>
      <c r="S167" s="771">
        <f t="shared" ref="S167" si="398">R167*G167</f>
        <v>263.52999999999997</v>
      </c>
      <c r="T167" s="772"/>
      <c r="U167" s="617"/>
    </row>
    <row r="168" spans="2:21" ht="18.75" customHeight="1">
      <c r="B168" s="615"/>
      <c r="C168" s="616"/>
      <c r="D168" s="634"/>
      <c r="E168" s="757"/>
      <c r="F168" s="759"/>
      <c r="G168" s="793"/>
      <c r="H168" s="164" t="s">
        <v>471</v>
      </c>
      <c r="I168" s="161"/>
      <c r="J168" s="168">
        <v>245.9</v>
      </c>
      <c r="K168" s="353">
        <f>J168*$G$167</f>
        <v>245.9</v>
      </c>
      <c r="L168" s="767"/>
      <c r="M168" s="354">
        <f t="shared" ref="M168:M169" si="399">J168/$L$167-1</f>
        <v>-6.689940424240115E-2</v>
      </c>
      <c r="N168" s="767"/>
      <c r="O168" s="767"/>
      <c r="P168" s="753"/>
      <c r="Q168" s="753"/>
      <c r="R168" s="770"/>
      <c r="S168" s="771"/>
      <c r="T168" s="772"/>
      <c r="U168" s="617"/>
    </row>
    <row r="169" spans="2:21" ht="18.75" customHeight="1">
      <c r="B169" s="615"/>
      <c r="C169" s="616"/>
      <c r="D169" s="634"/>
      <c r="E169" s="758"/>
      <c r="F169" s="759"/>
      <c r="G169" s="793"/>
      <c r="H169" s="164" t="s">
        <v>436</v>
      </c>
      <c r="I169" s="161"/>
      <c r="J169" s="168">
        <v>294.79000000000002</v>
      </c>
      <c r="K169" s="353">
        <f>J169*$G$167</f>
        <v>294.79000000000002</v>
      </c>
      <c r="L169" s="797"/>
      <c r="M169" s="354">
        <f t="shared" si="399"/>
        <v>0.11862027093689553</v>
      </c>
      <c r="N169" s="767"/>
      <c r="O169" s="767"/>
      <c r="P169" s="753"/>
      <c r="Q169" s="753"/>
      <c r="R169" s="770"/>
      <c r="S169" s="771"/>
      <c r="T169" s="772"/>
      <c r="U169" s="617"/>
    </row>
    <row r="170" spans="2:21" ht="18.75" customHeight="1">
      <c r="B170" s="615"/>
      <c r="C170" s="616"/>
      <c r="D170" s="634">
        <v>54</v>
      </c>
      <c r="E170" s="756" t="s">
        <v>474</v>
      </c>
      <c r="F170" s="776" t="s">
        <v>254</v>
      </c>
      <c r="G170" s="793">
        <v>1</v>
      </c>
      <c r="H170" s="164" t="s">
        <v>472</v>
      </c>
      <c r="I170" s="161"/>
      <c r="J170" s="168">
        <v>22.9</v>
      </c>
      <c r="K170" s="353">
        <f>J170*$G$170</f>
        <v>22.9</v>
      </c>
      <c r="L170" s="767">
        <f t="shared" ref="L170" si="400">ROUNDUP(AVERAGE(J170:J172),2)</f>
        <v>26.240000000000002</v>
      </c>
      <c r="M170" s="354">
        <f>J170/$L$164-1</f>
        <v>-0.48643193541152718</v>
      </c>
      <c r="N170" s="767">
        <f t="shared" ref="N170" si="401">ROUNDUP(AVERAGEIFS(J170:J172,M170:M172,"&lt;0,30",M170:M172,"&gt;-0,30"),2)</f>
        <v>33.9</v>
      </c>
      <c r="O170" s="767">
        <f t="shared" ref="O170" si="402">ROUNDUP(MEDIAN(J170:J172),2)</f>
        <v>22.9</v>
      </c>
      <c r="P170" s="753">
        <f t="shared" ref="P170" si="403">STDEV(J170:J172)</f>
        <v>6.6583281184794041</v>
      </c>
      <c r="Q170" s="753">
        <f t="shared" ref="Q170" si="404">P170/N170</f>
        <v>0.19641085895219482</v>
      </c>
      <c r="R170" s="770">
        <f t="shared" ref="R170" si="405">IF(Q170&lt;=0.25, N170,O170)</f>
        <v>33.9</v>
      </c>
      <c r="S170" s="771">
        <f t="shared" ref="S170" si="406">R170*G170</f>
        <v>33.9</v>
      </c>
      <c r="T170" s="772"/>
      <c r="U170" s="617"/>
    </row>
    <row r="171" spans="2:21" ht="18.75" customHeight="1">
      <c r="B171" s="615"/>
      <c r="C171" s="616"/>
      <c r="D171" s="634"/>
      <c r="E171" s="757"/>
      <c r="F171" s="759"/>
      <c r="G171" s="793"/>
      <c r="H171" s="164" t="s">
        <v>473</v>
      </c>
      <c r="I171" s="161"/>
      <c r="J171" s="168">
        <v>21.9</v>
      </c>
      <c r="K171" s="353">
        <f>J171*$G$170</f>
        <v>21.9</v>
      </c>
      <c r="L171" s="767"/>
      <c r="M171" s="354">
        <f t="shared" ref="M171:M172" si="407">J171/$L$164-1</f>
        <v>-0.50885848845032511</v>
      </c>
      <c r="N171" s="767"/>
      <c r="O171" s="767"/>
      <c r="P171" s="753"/>
      <c r="Q171" s="753"/>
      <c r="R171" s="770"/>
      <c r="S171" s="771"/>
      <c r="T171" s="772"/>
      <c r="U171" s="617"/>
    </row>
    <row r="172" spans="2:21" ht="18.75" customHeight="1">
      <c r="B172" s="615"/>
      <c r="C172" s="616"/>
      <c r="D172" s="634"/>
      <c r="E172" s="758"/>
      <c r="F172" s="759"/>
      <c r="G172" s="793"/>
      <c r="H172" s="164" t="s">
        <v>430</v>
      </c>
      <c r="I172" s="161"/>
      <c r="J172" s="168">
        <v>33.9</v>
      </c>
      <c r="K172" s="353">
        <f>J172*$G$170</f>
        <v>33.9</v>
      </c>
      <c r="L172" s="797"/>
      <c r="M172" s="354">
        <f t="shared" si="407"/>
        <v>-0.2397398519847499</v>
      </c>
      <c r="N172" s="767"/>
      <c r="O172" s="767"/>
      <c r="P172" s="753"/>
      <c r="Q172" s="753"/>
      <c r="R172" s="770"/>
      <c r="S172" s="771"/>
      <c r="T172" s="772"/>
      <c r="U172" s="617"/>
    </row>
    <row r="173" spans="2:21" ht="18.75" customHeight="1">
      <c r="B173" s="615"/>
      <c r="C173" s="616"/>
      <c r="D173" s="634">
        <v>55</v>
      </c>
      <c r="E173" s="756" t="s">
        <v>475</v>
      </c>
      <c r="F173" s="776" t="s">
        <v>254</v>
      </c>
      <c r="G173" s="793">
        <v>1</v>
      </c>
      <c r="H173" s="164" t="s">
        <v>476</v>
      </c>
      <c r="I173" s="161"/>
      <c r="J173" s="168">
        <v>74.900000000000006</v>
      </c>
      <c r="K173" s="353">
        <f>J173*$G$173</f>
        <v>74.900000000000006</v>
      </c>
      <c r="L173" s="767">
        <f>ROUNDUP(AVERAGE(J173:J175),2)</f>
        <v>71.410000000000011</v>
      </c>
      <c r="M173" s="354">
        <f>J173/$L$164-1</f>
        <v>0.67974882260596581</v>
      </c>
      <c r="N173" s="767">
        <f t="shared" ref="N173" si="408">ROUNDUP(AVERAGEIFS(J173:J175,M173:M175,"&lt;0,30",M173:M175,"&gt;-0,30"),2)</f>
        <v>54.74</v>
      </c>
      <c r="O173" s="767">
        <f t="shared" ref="O173" si="409">ROUNDUP(MEDIAN(J173:J175),2)</f>
        <v>74.900000000000006</v>
      </c>
      <c r="P173" s="753">
        <f t="shared" ref="P173" si="410">STDEV(J173:J175)</f>
        <v>15.219304627128516</v>
      </c>
      <c r="Q173" s="753">
        <f t="shared" ref="Q173" si="411">P173/N173</f>
        <v>0.27802894824860275</v>
      </c>
      <c r="R173" s="770">
        <f t="shared" ref="R173" si="412">IF(Q173&lt;=0.25, N173,O173)</f>
        <v>74.900000000000006</v>
      </c>
      <c r="S173" s="771">
        <f t="shared" ref="S173" si="413">R173*G173</f>
        <v>74.900000000000006</v>
      </c>
      <c r="T173" s="772"/>
      <c r="U173" s="617"/>
    </row>
    <row r="174" spans="2:21" ht="18.75" customHeight="1">
      <c r="B174" s="615"/>
      <c r="C174" s="616"/>
      <c r="D174" s="634"/>
      <c r="E174" s="757"/>
      <c r="F174" s="759"/>
      <c r="G174" s="793"/>
      <c r="H174" s="164" t="s">
        <v>477</v>
      </c>
      <c r="I174" s="161"/>
      <c r="J174" s="168">
        <f>37.87+7.57+9.3</f>
        <v>54.739999999999995</v>
      </c>
      <c r="K174" s="353">
        <f>J174*$G$173</f>
        <v>54.739999999999995</v>
      </c>
      <c r="L174" s="767"/>
      <c r="M174" s="354">
        <f t="shared" ref="M174:M175" si="414">J174/$L$164-1</f>
        <v>0.22762951334379911</v>
      </c>
      <c r="N174" s="767"/>
      <c r="O174" s="767"/>
      <c r="P174" s="753"/>
      <c r="Q174" s="753"/>
      <c r="R174" s="770"/>
      <c r="S174" s="771"/>
      <c r="T174" s="772"/>
      <c r="U174" s="617"/>
    </row>
    <row r="175" spans="2:21" ht="18.75" customHeight="1">
      <c r="B175" s="615"/>
      <c r="C175" s="616"/>
      <c r="D175" s="634"/>
      <c r="E175" s="758"/>
      <c r="F175" s="759"/>
      <c r="G175" s="793"/>
      <c r="H175" s="164" t="s">
        <v>478</v>
      </c>
      <c r="I175" s="161"/>
      <c r="J175" s="168">
        <f>58.2+11.83+14.54</f>
        <v>84.57</v>
      </c>
      <c r="K175" s="353">
        <f>J175*$G$173</f>
        <v>84.57</v>
      </c>
      <c r="L175" s="797"/>
      <c r="M175" s="354">
        <f t="shared" si="414"/>
        <v>0.89661359049114142</v>
      </c>
      <c r="N175" s="767"/>
      <c r="O175" s="767"/>
      <c r="P175" s="753"/>
      <c r="Q175" s="753"/>
      <c r="R175" s="770"/>
      <c r="S175" s="771"/>
      <c r="T175" s="772"/>
      <c r="U175" s="617"/>
    </row>
    <row r="176" spans="2:21" ht="18.75" customHeight="1">
      <c r="B176" s="615"/>
      <c r="C176" s="616"/>
      <c r="D176" s="634">
        <v>56</v>
      </c>
      <c r="E176" s="764" t="s">
        <v>347</v>
      </c>
      <c r="F176" s="776" t="s">
        <v>254</v>
      </c>
      <c r="G176" s="793">
        <v>1</v>
      </c>
      <c r="H176" s="164" t="s">
        <v>424</v>
      </c>
      <c r="I176" s="161" t="s">
        <v>277</v>
      </c>
      <c r="J176" s="162">
        <v>31.9</v>
      </c>
      <c r="K176" s="353">
        <f>J176*$G$176</f>
        <v>31.9</v>
      </c>
      <c r="L176" s="767">
        <f t="shared" ref="L176" si="415">ROUNDUP(AVERAGE(J176:J178),2)</f>
        <v>29.57</v>
      </c>
      <c r="M176" s="354">
        <f>J176/$L$176-1</f>
        <v>7.8796077105174112E-2</v>
      </c>
      <c r="N176" s="767">
        <f t="shared" ref="N176" si="416">ROUNDUP(AVERAGEIFS(J176:J178,M176:M178,"&lt;0,30",M176:M178,"&gt;-0,30"),2)</f>
        <v>29.57</v>
      </c>
      <c r="O176" s="767">
        <f t="shared" ref="O176" si="417">ROUNDUP(MEDIAN(J176:J178),2)</f>
        <v>31.8</v>
      </c>
      <c r="P176" s="753">
        <f t="shared" ref="P176" si="418">STDEV(J176:J178)</f>
        <v>3.9609384409926554</v>
      </c>
      <c r="Q176" s="753">
        <f t="shared" ref="Q176" si="419">P176/N176</f>
        <v>0.13395124927266336</v>
      </c>
      <c r="R176" s="770">
        <f t="shared" ref="R176" si="420">IF(Q176&lt;=0.25, N176,O176)</f>
        <v>29.57</v>
      </c>
      <c r="S176" s="771">
        <f>R176*G176</f>
        <v>29.57</v>
      </c>
      <c r="T176" s="772"/>
      <c r="U176" s="617"/>
    </row>
    <row r="177" spans="2:21" ht="18.75" customHeight="1">
      <c r="B177" s="615"/>
      <c r="C177" s="616"/>
      <c r="D177" s="634"/>
      <c r="E177" s="764"/>
      <c r="F177" s="759"/>
      <c r="G177" s="793"/>
      <c r="H177" s="164" t="s">
        <v>450</v>
      </c>
      <c r="I177" s="161" t="s">
        <v>277</v>
      </c>
      <c r="J177" s="162">
        <f>49.98/2</f>
        <v>24.99</v>
      </c>
      <c r="K177" s="353">
        <f>J177*$G$176</f>
        <v>24.99</v>
      </c>
      <c r="L177" s="767"/>
      <c r="M177" s="354">
        <f t="shared" ref="M177:M178" si="421">J177/$L$176-1</f>
        <v>-0.15488670950287464</v>
      </c>
      <c r="N177" s="767"/>
      <c r="O177" s="767"/>
      <c r="P177" s="753"/>
      <c r="Q177" s="753"/>
      <c r="R177" s="770"/>
      <c r="S177" s="771"/>
      <c r="T177" s="772"/>
      <c r="U177" s="617"/>
    </row>
    <row r="178" spans="2:21" ht="18.75" customHeight="1">
      <c r="B178" s="615"/>
      <c r="C178" s="616"/>
      <c r="D178" s="634"/>
      <c r="E178" s="764"/>
      <c r="F178" s="759"/>
      <c r="G178" s="793"/>
      <c r="H178" s="164" t="s">
        <v>449</v>
      </c>
      <c r="I178" s="161" t="s">
        <v>277</v>
      </c>
      <c r="J178" s="168">
        <v>31.8</v>
      </c>
      <c r="K178" s="353">
        <f>J178*$G$176</f>
        <v>31.8</v>
      </c>
      <c r="L178" s="797"/>
      <c r="M178" s="354">
        <f t="shared" si="421"/>
        <v>7.5414271220831886E-2</v>
      </c>
      <c r="N178" s="767"/>
      <c r="O178" s="767"/>
      <c r="P178" s="753"/>
      <c r="Q178" s="753"/>
      <c r="R178" s="770"/>
      <c r="S178" s="771"/>
      <c r="T178" s="773"/>
      <c r="U178" s="618"/>
    </row>
    <row r="180" spans="2:21">
      <c r="E180" s="356"/>
      <c r="T180" s="328" t="s">
        <v>494</v>
      </c>
      <c r="U180" s="357">
        <f>AVERAGE(U11:U178)</f>
        <v>119.00450000000001</v>
      </c>
    </row>
    <row r="181" spans="2:21">
      <c r="E181" s="356"/>
    </row>
    <row r="182" spans="2:21">
      <c r="E182" s="356"/>
    </row>
    <row r="183" spans="2:21">
      <c r="E183" s="356"/>
    </row>
    <row r="184" spans="2:21">
      <c r="E184" s="356"/>
    </row>
  </sheetData>
  <sheetProtection password="EBCE" sheet="1" objects="1" scenarios="1" selectLockedCells="1"/>
  <mergeCells count="646">
    <mergeCell ref="O47:O49"/>
    <mergeCell ref="P47:P49"/>
    <mergeCell ref="Q47:Q49"/>
    <mergeCell ref="R47:R49"/>
    <mergeCell ref="S47:S49"/>
    <mergeCell ref="L173:L175"/>
    <mergeCell ref="N173:N175"/>
    <mergeCell ref="O173:O175"/>
    <mergeCell ref="P173:P175"/>
    <mergeCell ref="Q173:Q175"/>
    <mergeCell ref="R173:R175"/>
    <mergeCell ref="S173:S175"/>
    <mergeCell ref="R86:R88"/>
    <mergeCell ref="S86:S88"/>
    <mergeCell ref="R170:R172"/>
    <mergeCell ref="S170:S172"/>
    <mergeCell ref="R155:R157"/>
    <mergeCell ref="S155:S157"/>
    <mergeCell ref="R161:R163"/>
    <mergeCell ref="S161:S163"/>
    <mergeCell ref="R146:R148"/>
    <mergeCell ref="S146:S148"/>
    <mergeCell ref="R149:R151"/>
    <mergeCell ref="S149:S151"/>
    <mergeCell ref="D86:D88"/>
    <mergeCell ref="E86:E88"/>
    <mergeCell ref="F86:F88"/>
    <mergeCell ref="G86:G88"/>
    <mergeCell ref="L86:L88"/>
    <mergeCell ref="N86:N88"/>
    <mergeCell ref="O86:O88"/>
    <mergeCell ref="P86:P88"/>
    <mergeCell ref="Q86:Q88"/>
    <mergeCell ref="N176:N178"/>
    <mergeCell ref="O176:O178"/>
    <mergeCell ref="P176:P178"/>
    <mergeCell ref="Q176:Q178"/>
    <mergeCell ref="R176:R178"/>
    <mergeCell ref="S176:S178"/>
    <mergeCell ref="O164:O166"/>
    <mergeCell ref="P164:P166"/>
    <mergeCell ref="Q164:Q166"/>
    <mergeCell ref="R164:R166"/>
    <mergeCell ref="S164:S166"/>
    <mergeCell ref="N164:N166"/>
    <mergeCell ref="N167:N169"/>
    <mergeCell ref="O167:O169"/>
    <mergeCell ref="P167:P169"/>
    <mergeCell ref="Q167:Q169"/>
    <mergeCell ref="R167:R169"/>
    <mergeCell ref="S167:S169"/>
    <mergeCell ref="N170:N172"/>
    <mergeCell ref="O170:O172"/>
    <mergeCell ref="P170:P172"/>
    <mergeCell ref="Q170:Q172"/>
    <mergeCell ref="D176:D178"/>
    <mergeCell ref="E176:E178"/>
    <mergeCell ref="F176:F178"/>
    <mergeCell ref="G176:G178"/>
    <mergeCell ref="L176:L178"/>
    <mergeCell ref="D164:D166"/>
    <mergeCell ref="E164:E166"/>
    <mergeCell ref="F164:F166"/>
    <mergeCell ref="G164:G166"/>
    <mergeCell ref="L164:L166"/>
    <mergeCell ref="D167:D169"/>
    <mergeCell ref="D170:D172"/>
    <mergeCell ref="D173:D175"/>
    <mergeCell ref="E167:E169"/>
    <mergeCell ref="E170:E172"/>
    <mergeCell ref="E173:E175"/>
    <mergeCell ref="F167:F169"/>
    <mergeCell ref="G167:G169"/>
    <mergeCell ref="F170:F172"/>
    <mergeCell ref="G170:G172"/>
    <mergeCell ref="F173:F175"/>
    <mergeCell ref="G173:G175"/>
    <mergeCell ref="L167:L169"/>
    <mergeCell ref="L170:L172"/>
    <mergeCell ref="D161:D163"/>
    <mergeCell ref="E161:E163"/>
    <mergeCell ref="F161:F163"/>
    <mergeCell ref="G161:G163"/>
    <mergeCell ref="L161:L163"/>
    <mergeCell ref="N161:N163"/>
    <mergeCell ref="O161:O163"/>
    <mergeCell ref="P161:P163"/>
    <mergeCell ref="Q161:Q163"/>
    <mergeCell ref="D158:D160"/>
    <mergeCell ref="E158:E160"/>
    <mergeCell ref="F158:F160"/>
    <mergeCell ref="G158:G160"/>
    <mergeCell ref="L158:L160"/>
    <mergeCell ref="P152:P154"/>
    <mergeCell ref="Q152:Q154"/>
    <mergeCell ref="R152:R154"/>
    <mergeCell ref="S152:S154"/>
    <mergeCell ref="D155:D157"/>
    <mergeCell ref="E155:E157"/>
    <mergeCell ref="F155:F157"/>
    <mergeCell ref="G155:G157"/>
    <mergeCell ref="L155:L157"/>
    <mergeCell ref="N155:N157"/>
    <mergeCell ref="N158:N160"/>
    <mergeCell ref="O158:O160"/>
    <mergeCell ref="P158:P160"/>
    <mergeCell ref="Q158:Q160"/>
    <mergeCell ref="R158:R160"/>
    <mergeCell ref="S158:S160"/>
    <mergeCell ref="O155:O157"/>
    <mergeCell ref="P155:P157"/>
    <mergeCell ref="Q155:Q157"/>
    <mergeCell ref="D152:D154"/>
    <mergeCell ref="E152:E154"/>
    <mergeCell ref="F152:F154"/>
    <mergeCell ref="G152:G154"/>
    <mergeCell ref="L152:L154"/>
    <mergeCell ref="N152:N154"/>
    <mergeCell ref="O152:O154"/>
    <mergeCell ref="D149:D151"/>
    <mergeCell ref="E149:E151"/>
    <mergeCell ref="F149:F151"/>
    <mergeCell ref="G149:G151"/>
    <mergeCell ref="L149:L151"/>
    <mergeCell ref="N149:N151"/>
    <mergeCell ref="O149:O151"/>
    <mergeCell ref="S143:S145"/>
    <mergeCell ref="O140:O142"/>
    <mergeCell ref="P140:P142"/>
    <mergeCell ref="Q140:Q142"/>
    <mergeCell ref="R140:R142"/>
    <mergeCell ref="S140:S142"/>
    <mergeCell ref="P149:P151"/>
    <mergeCell ref="Q149:Q151"/>
    <mergeCell ref="D146:D148"/>
    <mergeCell ref="E146:E148"/>
    <mergeCell ref="F146:F148"/>
    <mergeCell ref="G146:G148"/>
    <mergeCell ref="L146:L148"/>
    <mergeCell ref="N146:N148"/>
    <mergeCell ref="O146:O148"/>
    <mergeCell ref="P146:P148"/>
    <mergeCell ref="Q146:Q148"/>
    <mergeCell ref="F140:F142"/>
    <mergeCell ref="G140:G142"/>
    <mergeCell ref="L140:L142"/>
    <mergeCell ref="N140:N142"/>
    <mergeCell ref="N143:N145"/>
    <mergeCell ref="O143:O145"/>
    <mergeCell ref="P143:P145"/>
    <mergeCell ref="Q143:Q145"/>
    <mergeCell ref="R143:R145"/>
    <mergeCell ref="R131:R133"/>
    <mergeCell ref="S131:S133"/>
    <mergeCell ref="T131:T178"/>
    <mergeCell ref="Q134:Q136"/>
    <mergeCell ref="R134:R136"/>
    <mergeCell ref="S134:S136"/>
    <mergeCell ref="D137:D139"/>
    <mergeCell ref="E137:E139"/>
    <mergeCell ref="F137:F139"/>
    <mergeCell ref="G137:G139"/>
    <mergeCell ref="L137:L139"/>
    <mergeCell ref="N137:N139"/>
    <mergeCell ref="O137:O139"/>
    <mergeCell ref="D143:D145"/>
    <mergeCell ref="E143:E145"/>
    <mergeCell ref="F143:F145"/>
    <mergeCell ref="G143:G145"/>
    <mergeCell ref="L143:L145"/>
    <mergeCell ref="P137:P139"/>
    <mergeCell ref="Q137:Q139"/>
    <mergeCell ref="R137:R139"/>
    <mergeCell ref="S137:S139"/>
    <mergeCell ref="D140:D142"/>
    <mergeCell ref="E140:E142"/>
    <mergeCell ref="E131:E133"/>
    <mergeCell ref="D131:D133"/>
    <mergeCell ref="F131:F133"/>
    <mergeCell ref="G131:G133"/>
    <mergeCell ref="S125:S127"/>
    <mergeCell ref="D134:D136"/>
    <mergeCell ref="E134:E136"/>
    <mergeCell ref="F134:F136"/>
    <mergeCell ref="G134:G136"/>
    <mergeCell ref="L134:L136"/>
    <mergeCell ref="N134:N136"/>
    <mergeCell ref="O134:O136"/>
    <mergeCell ref="P134:P136"/>
    <mergeCell ref="L125:L127"/>
    <mergeCell ref="N125:N127"/>
    <mergeCell ref="O125:O127"/>
    <mergeCell ref="P125:P127"/>
    <mergeCell ref="Q125:Q127"/>
    <mergeCell ref="R125:R127"/>
    <mergeCell ref="L131:L133"/>
    <mergeCell ref="N131:N133"/>
    <mergeCell ref="O131:O133"/>
    <mergeCell ref="P131:P133"/>
    <mergeCell ref="Q131:Q133"/>
    <mergeCell ref="N128:N130"/>
    <mergeCell ref="O128:O130"/>
    <mergeCell ref="P128:P130"/>
    <mergeCell ref="Q128:Q130"/>
    <mergeCell ref="R128:R130"/>
    <mergeCell ref="S128:S130"/>
    <mergeCell ref="O122:O124"/>
    <mergeCell ref="P122:P124"/>
    <mergeCell ref="Q122:Q124"/>
    <mergeCell ref="R122:R124"/>
    <mergeCell ref="S122:S124"/>
    <mergeCell ref="N122:N124"/>
    <mergeCell ref="D128:D130"/>
    <mergeCell ref="E128:E130"/>
    <mergeCell ref="F128:F130"/>
    <mergeCell ref="G128:G130"/>
    <mergeCell ref="L128:L130"/>
    <mergeCell ref="D122:D124"/>
    <mergeCell ref="E122:E124"/>
    <mergeCell ref="F122:F124"/>
    <mergeCell ref="G122:G124"/>
    <mergeCell ref="L122:L124"/>
    <mergeCell ref="F125:F127"/>
    <mergeCell ref="G125:G127"/>
    <mergeCell ref="D125:D127"/>
    <mergeCell ref="E125:E127"/>
    <mergeCell ref="N119:N121"/>
    <mergeCell ref="O119:O121"/>
    <mergeCell ref="P119:P121"/>
    <mergeCell ref="Q119:Q121"/>
    <mergeCell ref="R119:R121"/>
    <mergeCell ref="S119:S121"/>
    <mergeCell ref="O116:O118"/>
    <mergeCell ref="P116:P118"/>
    <mergeCell ref="Q116:Q118"/>
    <mergeCell ref="R116:R118"/>
    <mergeCell ref="S116:S118"/>
    <mergeCell ref="N116:N118"/>
    <mergeCell ref="D119:D121"/>
    <mergeCell ref="E119:E121"/>
    <mergeCell ref="F119:F121"/>
    <mergeCell ref="G119:G121"/>
    <mergeCell ref="L119:L121"/>
    <mergeCell ref="D116:D118"/>
    <mergeCell ref="E116:E118"/>
    <mergeCell ref="F116:F118"/>
    <mergeCell ref="G116:G118"/>
    <mergeCell ref="L116:L118"/>
    <mergeCell ref="N113:N115"/>
    <mergeCell ref="O113:O115"/>
    <mergeCell ref="P113:P115"/>
    <mergeCell ref="Q113:Q115"/>
    <mergeCell ref="R113:R115"/>
    <mergeCell ref="S113:S115"/>
    <mergeCell ref="O110:O112"/>
    <mergeCell ref="P110:P112"/>
    <mergeCell ref="Q110:Q112"/>
    <mergeCell ref="R110:R112"/>
    <mergeCell ref="S110:S112"/>
    <mergeCell ref="N110:N112"/>
    <mergeCell ref="D113:D115"/>
    <mergeCell ref="E113:E115"/>
    <mergeCell ref="F113:F115"/>
    <mergeCell ref="G113:G115"/>
    <mergeCell ref="L113:L115"/>
    <mergeCell ref="D110:D112"/>
    <mergeCell ref="E110:E112"/>
    <mergeCell ref="F110:F112"/>
    <mergeCell ref="G110:G112"/>
    <mergeCell ref="L110:L112"/>
    <mergeCell ref="N107:N109"/>
    <mergeCell ref="O107:O109"/>
    <mergeCell ref="P107:P109"/>
    <mergeCell ref="Q107:Q109"/>
    <mergeCell ref="R107:R109"/>
    <mergeCell ref="S107:S109"/>
    <mergeCell ref="O104:O106"/>
    <mergeCell ref="P104:P106"/>
    <mergeCell ref="Q104:Q106"/>
    <mergeCell ref="R104:R106"/>
    <mergeCell ref="S104:S106"/>
    <mergeCell ref="N104:N106"/>
    <mergeCell ref="D107:D109"/>
    <mergeCell ref="E107:E109"/>
    <mergeCell ref="F107:F109"/>
    <mergeCell ref="G107:G109"/>
    <mergeCell ref="L107:L109"/>
    <mergeCell ref="D104:D106"/>
    <mergeCell ref="E104:E106"/>
    <mergeCell ref="F104:F106"/>
    <mergeCell ref="G104:G106"/>
    <mergeCell ref="L104:L106"/>
    <mergeCell ref="N98:N100"/>
    <mergeCell ref="N101:N103"/>
    <mergeCell ref="O101:O103"/>
    <mergeCell ref="P101:P103"/>
    <mergeCell ref="Q101:Q103"/>
    <mergeCell ref="R101:R103"/>
    <mergeCell ref="S101:S103"/>
    <mergeCell ref="O98:O100"/>
    <mergeCell ref="P98:P100"/>
    <mergeCell ref="Q98:Q100"/>
    <mergeCell ref="R98:R100"/>
    <mergeCell ref="S98:S100"/>
    <mergeCell ref="T92:T130"/>
    <mergeCell ref="D95:D97"/>
    <mergeCell ref="E95:E97"/>
    <mergeCell ref="F95:F97"/>
    <mergeCell ref="G95:G97"/>
    <mergeCell ref="L95:L97"/>
    <mergeCell ref="N95:N97"/>
    <mergeCell ref="O95:O97"/>
    <mergeCell ref="G92:G94"/>
    <mergeCell ref="L92:L94"/>
    <mergeCell ref="N92:N94"/>
    <mergeCell ref="O92:O94"/>
    <mergeCell ref="P92:P94"/>
    <mergeCell ref="Q92:Q94"/>
    <mergeCell ref="D101:D103"/>
    <mergeCell ref="E101:E103"/>
    <mergeCell ref="F101:F103"/>
    <mergeCell ref="G101:G103"/>
    <mergeCell ref="L101:L103"/>
    <mergeCell ref="P95:P97"/>
    <mergeCell ref="Q95:Q97"/>
    <mergeCell ref="R95:R97"/>
    <mergeCell ref="S95:S97"/>
    <mergeCell ref="D98:D100"/>
    <mergeCell ref="O89:O91"/>
    <mergeCell ref="P89:P91"/>
    <mergeCell ref="Q89:Q91"/>
    <mergeCell ref="R89:R91"/>
    <mergeCell ref="S89:S91"/>
    <mergeCell ref="B92:B130"/>
    <mergeCell ref="C92:C130"/>
    <mergeCell ref="D92:D94"/>
    <mergeCell ref="E92:E94"/>
    <mergeCell ref="F92:F94"/>
    <mergeCell ref="D89:D91"/>
    <mergeCell ref="E89:E91"/>
    <mergeCell ref="F89:F91"/>
    <mergeCell ref="G89:G91"/>
    <mergeCell ref="L89:L91"/>
    <mergeCell ref="N89:N91"/>
    <mergeCell ref="B53:B91"/>
    <mergeCell ref="C53:C91"/>
    <mergeCell ref="R92:R94"/>
    <mergeCell ref="S92:S94"/>
    <mergeCell ref="E98:E100"/>
    <mergeCell ref="F98:F100"/>
    <mergeCell ref="G98:G100"/>
    <mergeCell ref="L98:L100"/>
    <mergeCell ref="N83:N85"/>
    <mergeCell ref="O83:O85"/>
    <mergeCell ref="P83:P85"/>
    <mergeCell ref="Q83:Q85"/>
    <mergeCell ref="R83:R85"/>
    <mergeCell ref="S83:S85"/>
    <mergeCell ref="O80:O82"/>
    <mergeCell ref="P80:P82"/>
    <mergeCell ref="Q80:Q82"/>
    <mergeCell ref="R80:R82"/>
    <mergeCell ref="S80:S82"/>
    <mergeCell ref="N80:N82"/>
    <mergeCell ref="D83:D85"/>
    <mergeCell ref="E83:E85"/>
    <mergeCell ref="F83:F85"/>
    <mergeCell ref="G83:G85"/>
    <mergeCell ref="L83:L85"/>
    <mergeCell ref="D80:D82"/>
    <mergeCell ref="E80:E82"/>
    <mergeCell ref="F80:F82"/>
    <mergeCell ref="G80:G82"/>
    <mergeCell ref="L80:L82"/>
    <mergeCell ref="N77:N79"/>
    <mergeCell ref="O77:O79"/>
    <mergeCell ref="P77:P79"/>
    <mergeCell ref="Q77:Q79"/>
    <mergeCell ref="R77:R79"/>
    <mergeCell ref="S77:S79"/>
    <mergeCell ref="O74:O76"/>
    <mergeCell ref="P74:P76"/>
    <mergeCell ref="Q74:Q76"/>
    <mergeCell ref="R74:R76"/>
    <mergeCell ref="S74:S76"/>
    <mergeCell ref="N74:N76"/>
    <mergeCell ref="D77:D79"/>
    <mergeCell ref="E77:E79"/>
    <mergeCell ref="F77:F79"/>
    <mergeCell ref="G77:G79"/>
    <mergeCell ref="L77:L79"/>
    <mergeCell ref="D74:D76"/>
    <mergeCell ref="E74:E76"/>
    <mergeCell ref="F74:F76"/>
    <mergeCell ref="G74:G76"/>
    <mergeCell ref="L74:L76"/>
    <mergeCell ref="N71:N73"/>
    <mergeCell ref="O71:O73"/>
    <mergeCell ref="P71:P73"/>
    <mergeCell ref="Q71:Q73"/>
    <mergeCell ref="R71:R73"/>
    <mergeCell ref="S71:S73"/>
    <mergeCell ref="O68:O70"/>
    <mergeCell ref="P68:P70"/>
    <mergeCell ref="Q68:Q70"/>
    <mergeCell ref="R68:R70"/>
    <mergeCell ref="S68:S70"/>
    <mergeCell ref="N68:N70"/>
    <mergeCell ref="D71:D73"/>
    <mergeCell ref="E71:E73"/>
    <mergeCell ref="F71:F73"/>
    <mergeCell ref="G71:G73"/>
    <mergeCell ref="L71:L73"/>
    <mergeCell ref="D68:D70"/>
    <mergeCell ref="E68:E70"/>
    <mergeCell ref="F68:F70"/>
    <mergeCell ref="G68:G70"/>
    <mergeCell ref="L68:L70"/>
    <mergeCell ref="N65:N67"/>
    <mergeCell ref="O65:O67"/>
    <mergeCell ref="P65:P67"/>
    <mergeCell ref="Q65:Q67"/>
    <mergeCell ref="R65:R67"/>
    <mergeCell ref="S65:S67"/>
    <mergeCell ref="O62:O64"/>
    <mergeCell ref="P62:P64"/>
    <mergeCell ref="Q62:Q64"/>
    <mergeCell ref="R62:R64"/>
    <mergeCell ref="S62:S64"/>
    <mergeCell ref="N62:N64"/>
    <mergeCell ref="D65:D67"/>
    <mergeCell ref="E65:E67"/>
    <mergeCell ref="F65:F67"/>
    <mergeCell ref="G65:G67"/>
    <mergeCell ref="L65:L67"/>
    <mergeCell ref="D62:D64"/>
    <mergeCell ref="E62:E64"/>
    <mergeCell ref="F62:F64"/>
    <mergeCell ref="G62:G64"/>
    <mergeCell ref="L62:L64"/>
    <mergeCell ref="N59:N61"/>
    <mergeCell ref="O59:O61"/>
    <mergeCell ref="P59:P61"/>
    <mergeCell ref="Q59:Q61"/>
    <mergeCell ref="R59:R61"/>
    <mergeCell ref="S59:S61"/>
    <mergeCell ref="O56:O58"/>
    <mergeCell ref="P56:P58"/>
    <mergeCell ref="Q56:Q58"/>
    <mergeCell ref="R56:R58"/>
    <mergeCell ref="S56:S58"/>
    <mergeCell ref="D59:D61"/>
    <mergeCell ref="E59:E61"/>
    <mergeCell ref="F59:F61"/>
    <mergeCell ref="G59:G61"/>
    <mergeCell ref="L59:L61"/>
    <mergeCell ref="R53:R55"/>
    <mergeCell ref="S53:S55"/>
    <mergeCell ref="T53:T91"/>
    <mergeCell ref="U53:U130"/>
    <mergeCell ref="D56:D58"/>
    <mergeCell ref="E56:E58"/>
    <mergeCell ref="F56:F58"/>
    <mergeCell ref="G56:G58"/>
    <mergeCell ref="L56:L58"/>
    <mergeCell ref="N56:N58"/>
    <mergeCell ref="G53:G55"/>
    <mergeCell ref="L53:L55"/>
    <mergeCell ref="N53:N55"/>
    <mergeCell ref="O53:O55"/>
    <mergeCell ref="P53:P55"/>
    <mergeCell ref="Q53:Q55"/>
    <mergeCell ref="D53:D55"/>
    <mergeCell ref="E53:E55"/>
    <mergeCell ref="F53:F55"/>
    <mergeCell ref="S50:S52"/>
    <mergeCell ref="R44:R46"/>
    <mergeCell ref="S44:S46"/>
    <mergeCell ref="E50:E52"/>
    <mergeCell ref="F50:F52"/>
    <mergeCell ref="G50:G52"/>
    <mergeCell ref="L50:L52"/>
    <mergeCell ref="N50:N52"/>
    <mergeCell ref="O50:O52"/>
    <mergeCell ref="P50:P52"/>
    <mergeCell ref="F44:F46"/>
    <mergeCell ref="G44:G46"/>
    <mergeCell ref="L44:L46"/>
    <mergeCell ref="N44:N46"/>
    <mergeCell ref="O44:O46"/>
    <mergeCell ref="P44:P46"/>
    <mergeCell ref="Q44:Q46"/>
    <mergeCell ref="Q50:Q52"/>
    <mergeCell ref="R50:R52"/>
    <mergeCell ref="E47:E49"/>
    <mergeCell ref="F47:F49"/>
    <mergeCell ref="G47:G49"/>
    <mergeCell ref="L47:L49"/>
    <mergeCell ref="N47:N49"/>
    <mergeCell ref="S35:S37"/>
    <mergeCell ref="E38:E40"/>
    <mergeCell ref="F38:F40"/>
    <mergeCell ref="G38:G40"/>
    <mergeCell ref="L38:L40"/>
    <mergeCell ref="N38:N40"/>
    <mergeCell ref="N41:N43"/>
    <mergeCell ref="O41:O43"/>
    <mergeCell ref="P41:P43"/>
    <mergeCell ref="Q41:Q43"/>
    <mergeCell ref="R41:R43"/>
    <mergeCell ref="S41:S43"/>
    <mergeCell ref="O38:O40"/>
    <mergeCell ref="P38:P40"/>
    <mergeCell ref="Q38:Q40"/>
    <mergeCell ref="R38:R40"/>
    <mergeCell ref="S38:S40"/>
    <mergeCell ref="N35:N37"/>
    <mergeCell ref="O35:O37"/>
    <mergeCell ref="E41:E43"/>
    <mergeCell ref="F41:F43"/>
    <mergeCell ref="G41:G43"/>
    <mergeCell ref="L41:L43"/>
    <mergeCell ref="P35:P37"/>
    <mergeCell ref="Q35:Q37"/>
    <mergeCell ref="R35:R37"/>
    <mergeCell ref="F29:F31"/>
    <mergeCell ref="G29:G31"/>
    <mergeCell ref="S29:S31"/>
    <mergeCell ref="T29:T52"/>
    <mergeCell ref="E32:E34"/>
    <mergeCell ref="F32:F34"/>
    <mergeCell ref="G32:G34"/>
    <mergeCell ref="L32:L34"/>
    <mergeCell ref="N32:N34"/>
    <mergeCell ref="O32:O34"/>
    <mergeCell ref="P32:P34"/>
    <mergeCell ref="L29:L31"/>
    <mergeCell ref="N29:N31"/>
    <mergeCell ref="O29:O31"/>
    <mergeCell ref="P29:P31"/>
    <mergeCell ref="Q29:Q31"/>
    <mergeCell ref="R29:R31"/>
    <mergeCell ref="Q32:Q34"/>
    <mergeCell ref="R32:R34"/>
    <mergeCell ref="S32:S34"/>
    <mergeCell ref="E35:E37"/>
    <mergeCell ref="F35:F37"/>
    <mergeCell ref="G35:G37"/>
    <mergeCell ref="L35:L37"/>
    <mergeCell ref="D35:D37"/>
    <mergeCell ref="D32:D34"/>
    <mergeCell ref="D41:D43"/>
    <mergeCell ref="D38:D40"/>
    <mergeCell ref="D44:D46"/>
    <mergeCell ref="B29:B52"/>
    <mergeCell ref="C29:C52"/>
    <mergeCell ref="D29:D31"/>
    <mergeCell ref="E29:E31"/>
    <mergeCell ref="D50:D52"/>
    <mergeCell ref="E44:E46"/>
    <mergeCell ref="D47:D49"/>
    <mergeCell ref="S20:S22"/>
    <mergeCell ref="N20:N22"/>
    <mergeCell ref="R26:R28"/>
    <mergeCell ref="S26:S28"/>
    <mergeCell ref="D26:D28"/>
    <mergeCell ref="E26:E28"/>
    <mergeCell ref="F26:F28"/>
    <mergeCell ref="G26:G28"/>
    <mergeCell ref="L26:L28"/>
    <mergeCell ref="N26:N28"/>
    <mergeCell ref="O26:O28"/>
    <mergeCell ref="P26:P28"/>
    <mergeCell ref="Q26:Q28"/>
    <mergeCell ref="Q14:Q16"/>
    <mergeCell ref="R14:R16"/>
    <mergeCell ref="S14:S16"/>
    <mergeCell ref="N14:N16"/>
    <mergeCell ref="D23:D25"/>
    <mergeCell ref="E23:E25"/>
    <mergeCell ref="F23:F25"/>
    <mergeCell ref="G23:G25"/>
    <mergeCell ref="L23:L25"/>
    <mergeCell ref="D20:D22"/>
    <mergeCell ref="E20:E22"/>
    <mergeCell ref="F20:F22"/>
    <mergeCell ref="G20:G22"/>
    <mergeCell ref="L20:L22"/>
    <mergeCell ref="N23:N25"/>
    <mergeCell ref="O23:O25"/>
    <mergeCell ref="P23:P25"/>
    <mergeCell ref="Q23:Q25"/>
    <mergeCell ref="R23:R25"/>
    <mergeCell ref="S23:S25"/>
    <mergeCell ref="O20:O22"/>
    <mergeCell ref="P20:P22"/>
    <mergeCell ref="Q20:Q22"/>
    <mergeCell ref="R20:R22"/>
    <mergeCell ref="P11:P13"/>
    <mergeCell ref="Q11:Q13"/>
    <mergeCell ref="R11:R13"/>
    <mergeCell ref="S11:S13"/>
    <mergeCell ref="T11:T28"/>
    <mergeCell ref="U11:U28"/>
    <mergeCell ref="D17:D19"/>
    <mergeCell ref="E17:E19"/>
    <mergeCell ref="F17:F19"/>
    <mergeCell ref="G17:G19"/>
    <mergeCell ref="L17:L19"/>
    <mergeCell ref="D14:D16"/>
    <mergeCell ref="E14:E16"/>
    <mergeCell ref="F14:F16"/>
    <mergeCell ref="G14:G16"/>
    <mergeCell ref="L14:L16"/>
    <mergeCell ref="N17:N19"/>
    <mergeCell ref="O17:O19"/>
    <mergeCell ref="P17:P19"/>
    <mergeCell ref="Q17:Q19"/>
    <mergeCell ref="R17:R19"/>
    <mergeCell ref="S17:S19"/>
    <mergeCell ref="O14:O16"/>
    <mergeCell ref="P14:P16"/>
    <mergeCell ref="U29:U52"/>
    <mergeCell ref="B131:B178"/>
    <mergeCell ref="C131:C178"/>
    <mergeCell ref="U131:U178"/>
    <mergeCell ref="B8:S8"/>
    <mergeCell ref="B9:B10"/>
    <mergeCell ref="C9:C10"/>
    <mergeCell ref="D9:D10"/>
    <mergeCell ref="E9:E10"/>
    <mergeCell ref="F9:F10"/>
    <mergeCell ref="G9:G10"/>
    <mergeCell ref="H9:K9"/>
    <mergeCell ref="M9:M10"/>
    <mergeCell ref="P9:Q9"/>
    <mergeCell ref="R9:S9"/>
    <mergeCell ref="B11:B28"/>
    <mergeCell ref="C11:C28"/>
    <mergeCell ref="D11:D13"/>
    <mergeCell ref="E11:E13"/>
    <mergeCell ref="F11:F13"/>
    <mergeCell ref="G11:G13"/>
    <mergeCell ref="L11:L13"/>
    <mergeCell ref="N11:N13"/>
    <mergeCell ref="O11:O13"/>
  </mergeCells>
  <pageMargins left="0.7" right="0.7" top="0.75" bottom="0.75" header="0.3" footer="0.3"/>
  <pageSetup paperSize="9" orientation="portrait" horizontalDpi="4294967293" verticalDpi="4294967293" r:id="rId1"/>
  <drawing r:id="rId2"/>
</worksheet>
</file>

<file path=xl/worksheets/sheet8.xml><?xml version="1.0" encoding="utf-8"?>
<worksheet xmlns="http://schemas.openxmlformats.org/spreadsheetml/2006/main" xmlns:r="http://schemas.openxmlformats.org/officeDocument/2006/relationships">
  <sheetPr>
    <tabColor theme="0"/>
    <pageSetUpPr fitToPage="1"/>
  </sheetPr>
  <dimension ref="A1:Z1000"/>
  <sheetViews>
    <sheetView showGridLines="0" zoomScaleNormal="100" zoomScaleSheetLayoutView="90" workbookViewId="0">
      <selection activeCell="P25" sqref="P25"/>
    </sheetView>
  </sheetViews>
  <sheetFormatPr defaultColWidth="15.140625" defaultRowHeight="15"/>
  <cols>
    <col min="1" max="11" width="8" customWidth="1"/>
    <col min="12" max="26" width="7" customWidth="1"/>
  </cols>
  <sheetData>
    <row r="1" spans="1:26" ht="12.75" customHeight="1">
      <c r="A1" s="9"/>
      <c r="B1" s="10"/>
      <c r="C1" s="10"/>
      <c r="D1" s="10"/>
      <c r="E1" s="10"/>
      <c r="F1" s="10"/>
      <c r="G1" s="10"/>
      <c r="H1" s="10"/>
      <c r="I1" s="10"/>
      <c r="J1" s="11"/>
      <c r="K1" s="12"/>
      <c r="L1" s="12"/>
      <c r="M1" s="12"/>
      <c r="N1" s="12"/>
      <c r="O1" s="12"/>
      <c r="P1" s="12"/>
      <c r="Q1" s="12"/>
      <c r="R1" s="12"/>
      <c r="S1" s="12"/>
      <c r="T1" s="12"/>
      <c r="U1" s="12"/>
      <c r="V1" s="12"/>
      <c r="W1" s="12"/>
      <c r="X1" s="12"/>
      <c r="Y1" s="12"/>
      <c r="Z1" s="12"/>
    </row>
    <row r="2" spans="1:26" ht="12.75" customHeight="1">
      <c r="A2" s="13"/>
      <c r="B2" s="14"/>
      <c r="C2" s="14"/>
      <c r="D2" s="14"/>
      <c r="E2" s="14"/>
      <c r="F2" s="14"/>
      <c r="G2" s="14"/>
      <c r="H2" s="14"/>
      <c r="I2" s="14"/>
      <c r="J2" s="15"/>
      <c r="K2" s="12"/>
      <c r="L2" s="12"/>
      <c r="M2" s="12"/>
      <c r="N2" s="12"/>
      <c r="O2" s="12"/>
      <c r="P2" s="12"/>
      <c r="Q2" s="12"/>
      <c r="R2" s="12"/>
      <c r="S2" s="12"/>
      <c r="T2" s="12"/>
      <c r="U2" s="12"/>
      <c r="V2" s="12"/>
      <c r="W2" s="12"/>
      <c r="X2" s="12"/>
      <c r="Y2" s="12"/>
      <c r="Z2" s="12"/>
    </row>
    <row r="3" spans="1:26" ht="12.75" customHeight="1">
      <c r="A3" s="13"/>
      <c r="B3" s="14"/>
      <c r="C3" s="14"/>
      <c r="D3" s="14"/>
      <c r="E3" s="14"/>
      <c r="F3" s="14"/>
      <c r="G3" s="14"/>
      <c r="H3" s="14"/>
      <c r="I3" s="14"/>
      <c r="J3" s="15"/>
      <c r="K3" s="12"/>
      <c r="L3" s="12"/>
      <c r="M3" s="12"/>
      <c r="N3" s="12"/>
      <c r="O3" s="12"/>
      <c r="P3" s="12"/>
      <c r="Q3" s="12"/>
      <c r="R3" s="12"/>
      <c r="S3" s="12"/>
      <c r="T3" s="12"/>
      <c r="U3" s="12"/>
      <c r="V3" s="12"/>
      <c r="W3" s="12"/>
      <c r="X3" s="12"/>
      <c r="Y3" s="12"/>
      <c r="Z3" s="12"/>
    </row>
    <row r="4" spans="1:26" ht="12.75" customHeight="1">
      <c r="A4" s="13"/>
      <c r="B4" s="14"/>
      <c r="C4" s="14"/>
      <c r="D4" s="14"/>
      <c r="E4" s="14"/>
      <c r="F4" s="14"/>
      <c r="G4" s="14"/>
      <c r="H4" s="14"/>
      <c r="I4" s="14"/>
      <c r="J4" s="15"/>
      <c r="K4" s="12"/>
      <c r="L4" s="12"/>
      <c r="M4" s="12"/>
      <c r="N4" s="12"/>
      <c r="O4" s="12"/>
      <c r="P4" s="12"/>
      <c r="Q4" s="12"/>
      <c r="R4" s="12"/>
      <c r="S4" s="12"/>
      <c r="T4" s="12"/>
      <c r="U4" s="12"/>
      <c r="V4" s="12"/>
      <c r="W4" s="12"/>
      <c r="X4" s="12"/>
      <c r="Y4" s="12"/>
      <c r="Z4" s="12"/>
    </row>
    <row r="5" spans="1:26" ht="12.75" customHeight="1">
      <c r="A5" s="13"/>
      <c r="B5" s="14"/>
      <c r="C5" s="14"/>
      <c r="D5" s="14"/>
      <c r="E5" s="14"/>
      <c r="F5" s="14"/>
      <c r="G5" s="14"/>
      <c r="H5" s="14"/>
      <c r="I5" s="14"/>
      <c r="J5" s="15"/>
      <c r="K5" s="12"/>
      <c r="L5" s="12"/>
      <c r="M5" s="12"/>
      <c r="N5" s="12"/>
      <c r="O5" s="12"/>
      <c r="P5" s="12"/>
      <c r="Q5" s="12"/>
      <c r="R5" s="12"/>
      <c r="S5" s="12"/>
      <c r="T5" s="12"/>
      <c r="U5" s="12"/>
      <c r="V5" s="12"/>
      <c r="W5" s="12"/>
      <c r="X5" s="12"/>
      <c r="Y5" s="12"/>
      <c r="Z5" s="12"/>
    </row>
    <row r="6" spans="1:26" ht="12.75" customHeight="1">
      <c r="A6" s="13"/>
      <c r="B6" s="14"/>
      <c r="C6" s="14"/>
      <c r="D6" s="14"/>
      <c r="E6" s="14"/>
      <c r="F6" s="14"/>
      <c r="G6" s="14"/>
      <c r="H6" s="14"/>
      <c r="I6" s="14"/>
      <c r="J6" s="15"/>
      <c r="K6" s="12"/>
      <c r="L6" s="12"/>
      <c r="M6" s="12"/>
      <c r="N6" s="12"/>
      <c r="O6" s="12"/>
      <c r="P6" s="12"/>
      <c r="Q6" s="12"/>
      <c r="R6" s="12"/>
      <c r="S6" s="12"/>
      <c r="T6" s="12"/>
      <c r="U6" s="12"/>
      <c r="V6" s="12"/>
      <c r="W6" s="12"/>
      <c r="X6" s="12"/>
      <c r="Y6" s="12"/>
      <c r="Z6" s="12"/>
    </row>
    <row r="7" spans="1:26" ht="4.5" customHeight="1">
      <c r="A7" s="530"/>
      <c r="B7" s="523"/>
      <c r="C7" s="523"/>
      <c r="D7" s="523"/>
      <c r="E7" s="523"/>
      <c r="F7" s="523"/>
      <c r="G7" s="523"/>
      <c r="H7" s="523"/>
      <c r="I7" s="523"/>
      <c r="J7" s="524"/>
      <c r="K7" s="12"/>
      <c r="L7" s="12"/>
      <c r="M7" s="12"/>
      <c r="N7" s="12"/>
      <c r="O7" s="12"/>
      <c r="P7" s="12"/>
      <c r="Q7" s="12"/>
      <c r="R7" s="12"/>
      <c r="S7" s="12"/>
      <c r="T7" s="12"/>
      <c r="U7" s="12"/>
      <c r="V7" s="12"/>
      <c r="W7" s="12"/>
      <c r="X7" s="12"/>
      <c r="Y7" s="12"/>
      <c r="Z7" s="12"/>
    </row>
    <row r="8" spans="1:26" ht="12.75" customHeight="1">
      <c r="A8" s="13"/>
      <c r="B8" s="14"/>
      <c r="C8" s="14"/>
      <c r="D8" s="14"/>
      <c r="E8" s="14"/>
      <c r="F8" s="14"/>
      <c r="G8" s="14"/>
      <c r="H8" s="14"/>
      <c r="I8" s="14"/>
      <c r="J8" s="15"/>
      <c r="K8" s="12"/>
      <c r="L8" s="12"/>
      <c r="M8" s="12"/>
      <c r="N8" s="12"/>
      <c r="O8" s="12"/>
      <c r="P8" s="12"/>
      <c r="Q8" s="12"/>
      <c r="R8" s="12"/>
      <c r="S8" s="12"/>
      <c r="T8" s="12"/>
      <c r="U8" s="12"/>
      <c r="V8" s="12"/>
      <c r="W8" s="12"/>
      <c r="X8" s="12"/>
      <c r="Y8" s="12"/>
      <c r="Z8" s="12"/>
    </row>
    <row r="9" spans="1:26" ht="12.75" customHeight="1">
      <c r="A9" s="13"/>
      <c r="B9" s="14"/>
      <c r="C9" s="14"/>
      <c r="D9" s="14"/>
      <c r="E9" s="14"/>
      <c r="F9" s="14"/>
      <c r="G9" s="14"/>
      <c r="H9" s="14"/>
      <c r="I9" s="14"/>
      <c r="J9" s="15"/>
      <c r="K9" s="12"/>
      <c r="L9" s="12"/>
      <c r="M9" s="12"/>
      <c r="N9" s="12"/>
      <c r="O9" s="12"/>
      <c r="P9" s="12"/>
      <c r="Q9" s="12"/>
      <c r="R9" s="12"/>
      <c r="S9" s="12"/>
      <c r="T9" s="12"/>
      <c r="U9" s="12"/>
      <c r="V9" s="12"/>
      <c r="W9" s="12"/>
      <c r="X9" s="12"/>
      <c r="Y9" s="12"/>
      <c r="Z9" s="12"/>
    </row>
    <row r="10" spans="1:26" ht="12.75" customHeight="1">
      <c r="A10" s="13"/>
      <c r="B10" s="14"/>
      <c r="C10" s="14"/>
      <c r="D10" s="14"/>
      <c r="E10" s="14"/>
      <c r="F10" s="14"/>
      <c r="G10" s="14"/>
      <c r="H10" s="14"/>
      <c r="I10" s="14"/>
      <c r="J10" s="15"/>
      <c r="K10" s="12"/>
      <c r="L10" s="12"/>
      <c r="M10" s="12"/>
      <c r="N10" s="12"/>
      <c r="O10" s="12"/>
      <c r="P10" s="12"/>
      <c r="Q10" s="12"/>
      <c r="R10" s="12"/>
      <c r="S10" s="12"/>
      <c r="T10" s="12"/>
      <c r="U10" s="12"/>
      <c r="V10" s="12"/>
      <c r="W10" s="12"/>
      <c r="X10" s="12"/>
      <c r="Y10" s="12"/>
      <c r="Z10" s="12"/>
    </row>
    <row r="11" spans="1:26" ht="12.75" customHeight="1">
      <c r="A11" s="13"/>
      <c r="B11" s="14"/>
      <c r="C11" s="14"/>
      <c r="D11" s="14"/>
      <c r="E11" s="14"/>
      <c r="F11" s="14"/>
      <c r="G11" s="14"/>
      <c r="H11" s="14"/>
      <c r="I11" s="14"/>
      <c r="J11" s="15"/>
      <c r="K11" s="12"/>
      <c r="L11" s="12"/>
      <c r="M11" s="12"/>
      <c r="N11" s="12"/>
      <c r="O11" s="12"/>
      <c r="P11" s="12"/>
      <c r="Q11" s="12"/>
      <c r="R11" s="12"/>
      <c r="S11" s="12"/>
      <c r="T11" s="12"/>
      <c r="U11" s="12"/>
      <c r="V11" s="12"/>
      <c r="W11" s="12"/>
      <c r="X11" s="12"/>
      <c r="Y11" s="12"/>
      <c r="Z11" s="12"/>
    </row>
    <row r="12" spans="1:26" ht="12.75" customHeight="1">
      <c r="A12" s="13"/>
      <c r="B12" s="14"/>
      <c r="C12" s="14"/>
      <c r="D12" s="14"/>
      <c r="E12" s="14"/>
      <c r="F12" s="14"/>
      <c r="G12" s="14"/>
      <c r="H12" s="14"/>
      <c r="I12" s="14"/>
      <c r="J12" s="15"/>
      <c r="K12" s="12"/>
      <c r="L12" s="12"/>
      <c r="M12" s="12"/>
      <c r="N12" s="12"/>
      <c r="O12" s="12"/>
      <c r="P12" s="12"/>
      <c r="Q12" s="12"/>
      <c r="R12" s="12"/>
      <c r="S12" s="12"/>
      <c r="T12" s="12"/>
      <c r="U12" s="12"/>
      <c r="V12" s="12"/>
      <c r="W12" s="12"/>
      <c r="X12" s="12"/>
      <c r="Y12" s="12"/>
      <c r="Z12" s="12"/>
    </row>
    <row r="13" spans="1:26" ht="12.75" customHeight="1">
      <c r="A13" s="13"/>
      <c r="B13" s="14"/>
      <c r="C13" s="14"/>
      <c r="D13" s="14"/>
      <c r="E13" s="14"/>
      <c r="F13" s="14"/>
      <c r="G13" s="14"/>
      <c r="H13" s="14"/>
      <c r="I13" s="14"/>
      <c r="J13" s="15"/>
      <c r="K13" s="12"/>
      <c r="L13" s="12"/>
      <c r="M13" s="12"/>
      <c r="N13" s="12"/>
      <c r="O13" s="12"/>
      <c r="P13" s="12"/>
      <c r="Q13" s="12"/>
      <c r="R13" s="12"/>
      <c r="S13" s="12"/>
      <c r="T13" s="12"/>
      <c r="U13" s="12"/>
      <c r="V13" s="12"/>
      <c r="W13" s="12"/>
      <c r="X13" s="12"/>
      <c r="Y13" s="12"/>
      <c r="Z13" s="12"/>
    </row>
    <row r="14" spans="1:26" ht="12.75" customHeight="1">
      <c r="A14" s="13"/>
      <c r="B14" s="14"/>
      <c r="C14" s="14"/>
      <c r="D14" s="14"/>
      <c r="E14" s="14"/>
      <c r="F14" s="14"/>
      <c r="G14" s="14"/>
      <c r="H14" s="14"/>
      <c r="I14" s="14"/>
      <c r="J14" s="15"/>
      <c r="K14" s="12"/>
      <c r="L14" s="12"/>
      <c r="M14" s="12"/>
      <c r="N14" s="12"/>
      <c r="O14" s="12"/>
      <c r="P14" s="12"/>
      <c r="Q14" s="12"/>
      <c r="R14" s="12"/>
      <c r="S14" s="12"/>
      <c r="T14" s="12"/>
      <c r="U14" s="12"/>
      <c r="V14" s="12"/>
      <c r="W14" s="12"/>
      <c r="X14" s="12"/>
      <c r="Y14" s="12"/>
      <c r="Z14" s="12"/>
    </row>
    <row r="15" spans="1:26" ht="12.75" customHeight="1">
      <c r="A15" s="13"/>
      <c r="B15" s="14"/>
      <c r="C15" s="14"/>
      <c r="D15" s="14"/>
      <c r="E15" s="14"/>
      <c r="F15" s="14"/>
      <c r="G15" s="14"/>
      <c r="H15" s="14"/>
      <c r="I15" s="14"/>
      <c r="J15" s="15"/>
      <c r="K15" s="12"/>
      <c r="L15" s="12"/>
      <c r="M15" s="12"/>
      <c r="N15" s="12"/>
      <c r="O15" s="12"/>
      <c r="P15" s="12"/>
      <c r="Q15" s="12"/>
      <c r="R15" s="12"/>
      <c r="S15" s="12"/>
      <c r="T15" s="12"/>
      <c r="U15" s="12"/>
      <c r="V15" s="12"/>
      <c r="W15" s="12"/>
      <c r="X15" s="12"/>
      <c r="Y15" s="12"/>
      <c r="Z15" s="12"/>
    </row>
    <row r="16" spans="1:26" ht="12.75" customHeight="1">
      <c r="A16" s="13"/>
      <c r="B16" s="14"/>
      <c r="C16" s="14"/>
      <c r="D16" s="14"/>
      <c r="E16" s="14"/>
      <c r="F16" s="14"/>
      <c r="G16" s="14"/>
      <c r="H16" s="14"/>
      <c r="I16" s="14"/>
      <c r="J16" s="15"/>
      <c r="K16" s="12"/>
      <c r="L16" s="12"/>
      <c r="M16" s="12"/>
      <c r="N16" s="12"/>
      <c r="O16" s="12"/>
      <c r="P16" s="12"/>
      <c r="Q16" s="12"/>
      <c r="R16" s="12"/>
      <c r="S16" s="12"/>
      <c r="T16" s="12"/>
      <c r="U16" s="12"/>
      <c r="V16" s="12"/>
      <c r="W16" s="12"/>
      <c r="X16" s="12"/>
      <c r="Y16" s="12"/>
      <c r="Z16" s="12"/>
    </row>
    <row r="17" spans="1:26" ht="12.75" customHeight="1">
      <c r="A17" s="13"/>
      <c r="B17" s="14"/>
      <c r="C17" s="14"/>
      <c r="D17" s="14"/>
      <c r="E17" s="14"/>
      <c r="F17" s="14"/>
      <c r="G17" s="14"/>
      <c r="H17" s="14"/>
      <c r="I17" s="14"/>
      <c r="J17" s="15"/>
      <c r="K17" s="12"/>
      <c r="L17" s="12"/>
      <c r="M17" s="12"/>
      <c r="N17" s="12"/>
      <c r="O17" s="12"/>
      <c r="P17" s="12"/>
      <c r="Q17" s="12"/>
      <c r="R17" s="12"/>
      <c r="S17" s="12"/>
      <c r="T17" s="12"/>
      <c r="U17" s="12"/>
      <c r="V17" s="12"/>
      <c r="W17" s="12"/>
      <c r="X17" s="12"/>
      <c r="Y17" s="12"/>
      <c r="Z17" s="12"/>
    </row>
    <row r="18" spans="1:26" ht="12.75" customHeight="1">
      <c r="A18" s="13"/>
      <c r="B18" s="14"/>
      <c r="C18" s="14"/>
      <c r="D18" s="14"/>
      <c r="E18" s="14"/>
      <c r="F18" s="14"/>
      <c r="G18" s="14"/>
      <c r="H18" s="14"/>
      <c r="I18" s="14"/>
      <c r="J18" s="15"/>
      <c r="K18" s="12"/>
      <c r="L18" s="12"/>
      <c r="M18" s="12"/>
      <c r="N18" s="12"/>
      <c r="O18" s="12"/>
      <c r="P18" s="12"/>
      <c r="Q18" s="12"/>
      <c r="R18" s="12"/>
      <c r="S18" s="12"/>
      <c r="T18" s="12"/>
      <c r="U18" s="12"/>
      <c r="V18" s="12"/>
      <c r="W18" s="12"/>
      <c r="X18" s="12"/>
      <c r="Y18" s="12"/>
      <c r="Z18" s="12"/>
    </row>
    <row r="19" spans="1:26" ht="12.75" customHeight="1">
      <c r="A19" s="13"/>
      <c r="B19" s="14"/>
      <c r="C19" s="14"/>
      <c r="D19" s="14"/>
      <c r="E19" s="14"/>
      <c r="F19" s="14"/>
      <c r="G19" s="14"/>
      <c r="H19" s="14"/>
      <c r="I19" s="14"/>
      <c r="J19" s="15"/>
      <c r="K19" s="12"/>
      <c r="L19" s="12"/>
      <c r="M19" s="12"/>
      <c r="N19" s="12"/>
      <c r="O19" s="12"/>
      <c r="P19" s="12"/>
      <c r="Q19" s="12"/>
      <c r="R19" s="12"/>
      <c r="S19" s="12"/>
      <c r="T19" s="12"/>
      <c r="U19" s="12"/>
      <c r="V19" s="12"/>
      <c r="W19" s="12"/>
      <c r="X19" s="12"/>
      <c r="Y19" s="12"/>
      <c r="Z19" s="12"/>
    </row>
    <row r="20" spans="1:26" ht="12.75" customHeight="1">
      <c r="A20" s="13"/>
      <c r="B20" s="14"/>
      <c r="C20" s="14"/>
      <c r="D20" s="14"/>
      <c r="E20" s="14"/>
      <c r="F20" s="14"/>
      <c r="G20" s="14"/>
      <c r="H20" s="14"/>
      <c r="I20" s="14"/>
      <c r="J20" s="15"/>
      <c r="K20" s="12"/>
      <c r="L20" s="12"/>
      <c r="M20" s="12"/>
      <c r="N20" s="12"/>
      <c r="O20" s="12"/>
      <c r="P20" s="12"/>
      <c r="Q20" s="12"/>
      <c r="R20" s="12"/>
      <c r="S20" s="12"/>
      <c r="T20" s="12"/>
      <c r="U20" s="12"/>
      <c r="V20" s="12"/>
      <c r="W20" s="12"/>
      <c r="X20" s="12"/>
      <c r="Y20" s="12"/>
      <c r="Z20" s="12"/>
    </row>
    <row r="21" spans="1:26" ht="12.75" customHeight="1">
      <c r="A21" s="23"/>
      <c r="B21" s="24"/>
      <c r="C21" s="24"/>
      <c r="D21" s="24"/>
      <c r="E21" s="24"/>
      <c r="F21" s="24"/>
      <c r="G21" s="24"/>
      <c r="H21" s="24"/>
      <c r="I21" s="24"/>
      <c r="J21" s="25"/>
      <c r="K21" s="12"/>
      <c r="L21" s="12"/>
      <c r="M21" s="12"/>
      <c r="N21" s="12"/>
      <c r="O21" s="12"/>
      <c r="P21" s="12"/>
      <c r="Q21" s="12"/>
      <c r="R21" s="12"/>
      <c r="S21" s="12"/>
      <c r="T21" s="12"/>
      <c r="U21" s="12"/>
      <c r="V21" s="12"/>
      <c r="W21" s="12"/>
      <c r="X21" s="12"/>
      <c r="Y21" s="12"/>
      <c r="Z21" s="12"/>
    </row>
    <row r="22" spans="1:26" ht="12.75" customHeight="1">
      <c r="A22" s="26"/>
      <c r="B22" s="21"/>
      <c r="C22" s="21"/>
      <c r="D22" s="21"/>
      <c r="E22" s="21"/>
      <c r="F22" s="21"/>
      <c r="G22" s="21"/>
      <c r="H22" s="21"/>
      <c r="I22" s="21"/>
      <c r="J22" s="25"/>
      <c r="K22" s="12"/>
      <c r="L22" s="12"/>
      <c r="M22" s="12"/>
      <c r="N22" s="12"/>
      <c r="O22" s="12"/>
      <c r="P22" s="12"/>
      <c r="Q22" s="12"/>
      <c r="R22" s="12"/>
      <c r="S22" s="12"/>
      <c r="T22" s="12"/>
      <c r="U22" s="12"/>
      <c r="V22" s="12"/>
      <c r="W22" s="12"/>
      <c r="X22" s="12"/>
      <c r="Y22" s="12"/>
      <c r="Z22" s="12"/>
    </row>
    <row r="23" spans="1:26" ht="12.75" customHeight="1">
      <c r="A23" s="26"/>
      <c r="B23" s="21"/>
      <c r="C23" s="21"/>
      <c r="D23" s="21"/>
      <c r="E23" s="21"/>
      <c r="F23" s="21"/>
      <c r="G23" s="21"/>
      <c r="H23" s="21"/>
      <c r="I23" s="21"/>
      <c r="J23" s="25"/>
      <c r="K23" s="12"/>
      <c r="L23" s="12"/>
      <c r="M23" s="12"/>
      <c r="N23" s="12"/>
      <c r="O23" s="12"/>
      <c r="P23" s="12"/>
      <c r="Q23" s="12"/>
      <c r="R23" s="12"/>
      <c r="S23" s="12"/>
      <c r="T23" s="12"/>
      <c r="U23" s="12"/>
      <c r="V23" s="12"/>
      <c r="W23" s="12"/>
      <c r="X23" s="12"/>
      <c r="Y23" s="12"/>
      <c r="Z23" s="12"/>
    </row>
    <row r="24" spans="1:26" ht="12.75" customHeight="1">
      <c r="A24" s="26"/>
      <c r="B24" s="21"/>
      <c r="C24" s="21"/>
      <c r="D24" s="21"/>
      <c r="E24" s="21"/>
      <c r="F24" s="21"/>
      <c r="G24" s="21"/>
      <c r="H24" s="21"/>
      <c r="I24" s="21"/>
      <c r="J24" s="25"/>
      <c r="K24" s="12"/>
      <c r="L24" s="12"/>
      <c r="M24" s="12"/>
      <c r="N24" s="12"/>
      <c r="O24" s="12"/>
      <c r="P24" s="12"/>
      <c r="Q24" s="12"/>
      <c r="R24" s="12"/>
      <c r="S24" s="12"/>
      <c r="T24" s="12"/>
      <c r="U24" s="12"/>
      <c r="V24" s="12"/>
      <c r="W24" s="12"/>
      <c r="X24" s="12"/>
      <c r="Y24" s="12"/>
      <c r="Z24" s="12"/>
    </row>
    <row r="25" spans="1:26" ht="12.75" customHeight="1">
      <c r="A25" s="26"/>
      <c r="B25" s="24"/>
      <c r="C25" s="24"/>
      <c r="D25" s="24"/>
      <c r="E25" s="24"/>
      <c r="F25" s="24"/>
      <c r="G25" s="24"/>
      <c r="H25" s="24"/>
      <c r="I25" s="24"/>
      <c r="J25" s="25"/>
      <c r="K25" s="12"/>
      <c r="L25" s="12"/>
      <c r="M25" s="12"/>
      <c r="N25" s="12"/>
      <c r="O25" s="12"/>
      <c r="P25" s="12"/>
      <c r="Q25" s="12"/>
      <c r="R25" s="12"/>
      <c r="S25" s="12"/>
      <c r="T25" s="12"/>
      <c r="U25" s="12"/>
      <c r="V25" s="12"/>
      <c r="W25" s="12"/>
      <c r="X25" s="12"/>
      <c r="Y25" s="12"/>
      <c r="Z25" s="12"/>
    </row>
    <row r="26" spans="1:26" ht="12.75" customHeight="1">
      <c r="A26" s="522"/>
      <c r="B26" s="523"/>
      <c r="C26" s="523"/>
      <c r="D26" s="523"/>
      <c r="E26" s="523"/>
      <c r="F26" s="523"/>
      <c r="G26" s="523"/>
      <c r="H26" s="523"/>
      <c r="I26" s="523"/>
      <c r="J26" s="524"/>
      <c r="K26" s="12"/>
      <c r="L26" s="12"/>
      <c r="M26" s="12"/>
      <c r="N26" s="12"/>
      <c r="O26" s="12"/>
      <c r="P26" s="12"/>
      <c r="Q26" s="12"/>
      <c r="R26" s="12"/>
      <c r="S26" s="12"/>
      <c r="T26" s="12"/>
      <c r="U26" s="12"/>
      <c r="V26" s="12"/>
      <c r="W26" s="12"/>
      <c r="X26" s="12"/>
      <c r="Y26" s="12"/>
      <c r="Z26" s="12"/>
    </row>
    <row r="27" spans="1:26" ht="12.75" customHeight="1">
      <c r="A27" s="525"/>
      <c r="B27" s="523"/>
      <c r="C27" s="523"/>
      <c r="D27" s="523"/>
      <c r="E27" s="523"/>
      <c r="F27" s="523"/>
      <c r="G27" s="523"/>
      <c r="H27" s="523"/>
      <c r="I27" s="523"/>
      <c r="J27" s="524"/>
      <c r="K27" s="12"/>
      <c r="L27" s="12"/>
      <c r="M27" s="12"/>
      <c r="N27" s="12"/>
      <c r="O27" s="12"/>
      <c r="P27" s="12"/>
      <c r="Q27" s="12"/>
      <c r="R27" s="12"/>
      <c r="S27" s="12"/>
      <c r="T27" s="12"/>
      <c r="U27" s="12"/>
      <c r="V27" s="12"/>
      <c r="W27" s="12"/>
      <c r="X27" s="12"/>
      <c r="Y27" s="12"/>
      <c r="Z27" s="12"/>
    </row>
    <row r="28" spans="1:26" ht="12.75" customHeight="1">
      <c r="A28" s="13"/>
      <c r="B28" s="14"/>
      <c r="C28" s="14"/>
      <c r="D28" s="14"/>
      <c r="E28" s="14"/>
      <c r="F28" s="14"/>
      <c r="G28" s="14"/>
      <c r="H28" s="14"/>
      <c r="I28" s="14"/>
      <c r="J28" s="15"/>
      <c r="K28" s="12"/>
      <c r="L28" s="12"/>
      <c r="M28" s="12"/>
      <c r="N28" s="12"/>
      <c r="O28" s="12"/>
      <c r="P28" s="12"/>
      <c r="Q28" s="12"/>
      <c r="R28" s="12"/>
      <c r="S28" s="12"/>
      <c r="T28" s="12"/>
      <c r="U28" s="12"/>
      <c r="V28" s="12"/>
      <c r="W28" s="12"/>
      <c r="X28" s="12"/>
      <c r="Y28" s="12"/>
      <c r="Z28" s="12"/>
    </row>
    <row r="29" spans="1:26" ht="12.75" customHeight="1">
      <c r="A29" s="13"/>
      <c r="B29" s="14"/>
      <c r="C29" s="14"/>
      <c r="D29" s="14"/>
      <c r="E29" s="14"/>
      <c r="F29" s="14"/>
      <c r="G29" s="14"/>
      <c r="H29" s="14"/>
      <c r="I29" s="14"/>
      <c r="J29" s="15"/>
      <c r="K29" s="12"/>
      <c r="L29" s="12"/>
      <c r="M29" s="12"/>
      <c r="N29" s="12"/>
      <c r="O29" s="12"/>
      <c r="P29" s="12"/>
      <c r="Q29" s="12"/>
      <c r="R29" s="12"/>
      <c r="S29" s="12"/>
      <c r="T29" s="12"/>
      <c r="U29" s="12"/>
      <c r="V29" s="12"/>
      <c r="W29" s="12"/>
      <c r="X29" s="12"/>
      <c r="Y29" s="12"/>
      <c r="Z29" s="12"/>
    </row>
    <row r="30" spans="1:26" ht="12.75" customHeight="1">
      <c r="A30" s="13"/>
      <c r="B30" s="14"/>
      <c r="C30" s="14"/>
      <c r="D30" s="14"/>
      <c r="E30" s="14"/>
      <c r="F30" s="14"/>
      <c r="G30" s="14"/>
      <c r="H30" s="14"/>
      <c r="I30" s="14"/>
      <c r="J30" s="15"/>
      <c r="K30" s="12"/>
      <c r="L30" s="12"/>
      <c r="M30" s="12"/>
      <c r="N30" s="12"/>
      <c r="O30" s="12"/>
      <c r="P30" s="12"/>
      <c r="Q30" s="12"/>
      <c r="R30" s="12"/>
      <c r="S30" s="12"/>
      <c r="T30" s="12"/>
      <c r="U30" s="12"/>
      <c r="V30" s="12"/>
      <c r="W30" s="12"/>
      <c r="X30" s="12"/>
      <c r="Y30" s="12"/>
      <c r="Z30" s="12"/>
    </row>
    <row r="31" spans="1:26" ht="12.75" customHeight="1">
      <c r="A31" s="13"/>
      <c r="B31" s="14"/>
      <c r="C31" s="14"/>
      <c r="D31" s="14"/>
      <c r="E31" s="14"/>
      <c r="F31" s="14"/>
      <c r="G31" s="14"/>
      <c r="H31" s="14"/>
      <c r="I31" s="14"/>
      <c r="J31" s="15"/>
      <c r="K31" s="12"/>
      <c r="L31" s="12"/>
      <c r="M31" s="12"/>
      <c r="N31" s="12"/>
      <c r="O31" s="12"/>
      <c r="P31" s="12"/>
      <c r="Q31" s="12"/>
      <c r="R31" s="12"/>
      <c r="S31" s="12"/>
      <c r="T31" s="12"/>
      <c r="U31" s="12"/>
      <c r="V31" s="12"/>
      <c r="W31" s="12"/>
      <c r="X31" s="12"/>
      <c r="Y31" s="12"/>
      <c r="Z31" s="12"/>
    </row>
    <row r="32" spans="1:26" ht="12.75" customHeight="1">
      <c r="A32" s="13"/>
      <c r="B32" s="14"/>
      <c r="C32" s="14"/>
      <c r="D32" s="14"/>
      <c r="E32" s="14"/>
      <c r="F32" s="14"/>
      <c r="G32" s="14"/>
      <c r="H32" s="14"/>
      <c r="I32" s="14"/>
      <c r="J32" s="15"/>
      <c r="K32" s="12"/>
      <c r="L32" s="12"/>
      <c r="M32" s="12"/>
      <c r="N32" s="12"/>
      <c r="O32" s="12"/>
      <c r="P32" s="12"/>
      <c r="Q32" s="12"/>
      <c r="R32" s="12"/>
      <c r="S32" s="12"/>
      <c r="T32" s="12"/>
      <c r="U32" s="12"/>
      <c r="V32" s="12"/>
      <c r="W32" s="12"/>
      <c r="X32" s="12"/>
      <c r="Y32" s="12"/>
      <c r="Z32" s="12"/>
    </row>
    <row r="33" spans="1:26" ht="12.75" customHeight="1">
      <c r="A33" s="13"/>
      <c r="B33" s="14"/>
      <c r="C33" s="14"/>
      <c r="D33" s="14"/>
      <c r="E33" s="14"/>
      <c r="F33" s="14"/>
      <c r="G33" s="14"/>
      <c r="H33" s="14"/>
      <c r="I33" s="14"/>
      <c r="J33" s="15"/>
      <c r="K33" s="12"/>
      <c r="L33" s="12"/>
      <c r="M33" s="12"/>
      <c r="N33" s="12"/>
      <c r="O33" s="12"/>
      <c r="P33" s="12"/>
      <c r="Q33" s="12"/>
      <c r="R33" s="12"/>
      <c r="S33" s="12"/>
      <c r="T33" s="12"/>
      <c r="U33" s="12"/>
      <c r="V33" s="12"/>
      <c r="W33" s="12"/>
      <c r="X33" s="12"/>
      <c r="Y33" s="12"/>
      <c r="Z33" s="12"/>
    </row>
    <row r="34" spans="1:26" ht="12.75" customHeight="1">
      <c r="A34" s="13"/>
      <c r="B34" s="14"/>
      <c r="C34" s="14"/>
      <c r="D34" s="14"/>
      <c r="E34" s="14"/>
      <c r="F34" s="14"/>
      <c r="G34" s="14"/>
      <c r="H34" s="14"/>
      <c r="I34" s="14"/>
      <c r="J34" s="15"/>
      <c r="K34" s="12"/>
      <c r="L34" s="12"/>
      <c r="M34" s="12"/>
      <c r="N34" s="12"/>
      <c r="O34" s="12"/>
      <c r="P34" s="12"/>
      <c r="Q34" s="12"/>
      <c r="R34" s="12"/>
      <c r="S34" s="12"/>
      <c r="T34" s="12"/>
      <c r="U34" s="12"/>
      <c r="V34" s="12"/>
      <c r="W34" s="12"/>
      <c r="X34" s="12"/>
      <c r="Y34" s="12"/>
      <c r="Z34" s="12"/>
    </row>
    <row r="35" spans="1:26" ht="12.75" customHeight="1">
      <c r="A35" s="13"/>
      <c r="B35" s="14"/>
      <c r="C35" s="14"/>
      <c r="D35" s="14"/>
      <c r="E35" s="14"/>
      <c r="F35" s="14"/>
      <c r="G35" s="14"/>
      <c r="H35" s="14"/>
      <c r="I35" s="14"/>
      <c r="J35" s="15"/>
      <c r="K35" s="12"/>
      <c r="L35" s="12"/>
      <c r="M35" s="12"/>
      <c r="N35" s="12"/>
      <c r="O35" s="12"/>
      <c r="P35" s="12"/>
      <c r="Q35" s="12"/>
      <c r="R35" s="12"/>
      <c r="S35" s="12"/>
      <c r="T35" s="12"/>
      <c r="U35" s="12"/>
      <c r="V35" s="12"/>
      <c r="W35" s="12"/>
      <c r="X35" s="12"/>
      <c r="Y35" s="12"/>
      <c r="Z35" s="12"/>
    </row>
    <row r="36" spans="1:26" ht="12.75" customHeight="1">
      <c r="A36" s="526" t="s">
        <v>357</v>
      </c>
      <c r="B36" s="527"/>
      <c r="C36" s="527"/>
      <c r="D36" s="527"/>
      <c r="E36" s="527"/>
      <c r="F36" s="527"/>
      <c r="G36" s="527"/>
      <c r="H36" s="527"/>
      <c r="I36" s="527"/>
      <c r="J36" s="528"/>
      <c r="K36" s="12"/>
      <c r="L36" s="12"/>
      <c r="M36" s="12"/>
      <c r="N36" s="12"/>
      <c r="O36" s="12"/>
      <c r="P36" s="12"/>
      <c r="Q36" s="12"/>
      <c r="R36" s="12"/>
      <c r="S36" s="12"/>
      <c r="T36" s="12"/>
      <c r="U36" s="12"/>
      <c r="V36" s="12"/>
      <c r="W36" s="12"/>
      <c r="X36" s="12"/>
      <c r="Y36" s="12"/>
      <c r="Z36" s="12"/>
    </row>
    <row r="37" spans="1:26" ht="12.75" customHeight="1">
      <c r="A37" s="529"/>
      <c r="B37" s="527"/>
      <c r="C37" s="527"/>
      <c r="D37" s="527"/>
      <c r="E37" s="527"/>
      <c r="F37" s="527"/>
      <c r="G37" s="527"/>
      <c r="H37" s="527"/>
      <c r="I37" s="527"/>
      <c r="J37" s="528"/>
      <c r="K37" s="12"/>
      <c r="L37" s="12"/>
      <c r="M37" s="12"/>
      <c r="N37" s="12"/>
      <c r="O37" s="12"/>
      <c r="P37" s="12"/>
      <c r="Q37" s="12"/>
      <c r="R37" s="12"/>
      <c r="S37" s="12"/>
      <c r="T37" s="12"/>
      <c r="U37" s="12"/>
      <c r="V37" s="12"/>
      <c r="W37" s="12"/>
      <c r="X37" s="12"/>
      <c r="Y37" s="12"/>
      <c r="Z37" s="12"/>
    </row>
    <row r="38" spans="1:26" ht="12.75" customHeight="1">
      <c r="A38" s="13"/>
      <c r="B38" s="14"/>
      <c r="C38" s="14"/>
      <c r="D38" s="14"/>
      <c r="E38" s="14"/>
      <c r="F38" s="14"/>
      <c r="G38" s="14"/>
      <c r="H38" s="14"/>
      <c r="I38" s="14"/>
      <c r="J38" s="15"/>
      <c r="K38" s="12"/>
      <c r="L38" s="12"/>
      <c r="M38" s="12"/>
      <c r="N38" s="12"/>
      <c r="O38" s="12"/>
      <c r="P38" s="12"/>
      <c r="Q38" s="12"/>
      <c r="R38" s="12"/>
      <c r="S38" s="12"/>
      <c r="T38" s="12"/>
      <c r="U38" s="12"/>
      <c r="V38" s="12"/>
      <c r="W38" s="12"/>
      <c r="X38" s="12"/>
      <c r="Y38" s="12"/>
      <c r="Z38" s="12"/>
    </row>
    <row r="39" spans="1:26" ht="12.75" customHeight="1">
      <c r="A39" s="13"/>
      <c r="B39" s="14"/>
      <c r="C39" s="14"/>
      <c r="D39" s="14"/>
      <c r="E39" s="14"/>
      <c r="F39" s="14"/>
      <c r="G39" s="14"/>
      <c r="H39" s="14"/>
      <c r="I39" s="14"/>
      <c r="J39" s="15"/>
      <c r="K39" s="12"/>
      <c r="L39" s="12"/>
      <c r="M39" s="12"/>
      <c r="N39" s="12"/>
      <c r="O39" s="12"/>
      <c r="P39" s="12"/>
      <c r="Q39" s="12"/>
      <c r="R39" s="12"/>
      <c r="S39" s="12"/>
      <c r="T39" s="12"/>
      <c r="U39" s="12"/>
      <c r="V39" s="12"/>
      <c r="W39" s="12"/>
      <c r="X39" s="12"/>
      <c r="Y39" s="12"/>
      <c r="Z39" s="12"/>
    </row>
    <row r="40" spans="1:26" ht="12.75" customHeight="1">
      <c r="A40" s="13"/>
      <c r="B40" s="14"/>
      <c r="C40" s="14"/>
      <c r="D40" s="14"/>
      <c r="E40" s="14"/>
      <c r="F40" s="14"/>
      <c r="G40" s="14"/>
      <c r="H40" s="14"/>
      <c r="I40" s="14"/>
      <c r="J40" s="15"/>
      <c r="K40" s="12"/>
      <c r="L40" s="12"/>
      <c r="M40" s="12"/>
      <c r="N40" s="12"/>
      <c r="O40" s="12"/>
      <c r="P40" s="12"/>
      <c r="Q40" s="12"/>
      <c r="R40" s="12"/>
      <c r="S40" s="12"/>
      <c r="T40" s="12"/>
      <c r="U40" s="12"/>
      <c r="V40" s="12"/>
      <c r="W40" s="12"/>
      <c r="X40" s="12"/>
      <c r="Y40" s="12"/>
      <c r="Z40" s="12"/>
    </row>
    <row r="41" spans="1:26" ht="12.75" customHeight="1">
      <c r="A41" s="13"/>
      <c r="B41" s="14"/>
      <c r="C41" s="14"/>
      <c r="D41" s="14"/>
      <c r="E41" s="14"/>
      <c r="F41" s="14"/>
      <c r="G41" s="14"/>
      <c r="H41" s="14"/>
      <c r="I41" s="14"/>
      <c r="J41" s="15"/>
      <c r="K41" s="12"/>
      <c r="L41" s="12"/>
      <c r="M41" s="12"/>
      <c r="N41" s="12"/>
      <c r="O41" s="12"/>
      <c r="P41" s="12"/>
      <c r="Q41" s="12"/>
      <c r="R41" s="12"/>
      <c r="S41" s="12"/>
      <c r="T41" s="12"/>
      <c r="U41" s="12"/>
      <c r="V41" s="12"/>
      <c r="W41" s="12"/>
      <c r="X41" s="12"/>
      <c r="Y41" s="12"/>
      <c r="Z41" s="12"/>
    </row>
    <row r="42" spans="1:26" ht="12.75" customHeight="1">
      <c r="A42" s="13"/>
      <c r="B42" s="14"/>
      <c r="C42" s="14"/>
      <c r="D42" s="14"/>
      <c r="E42" s="14"/>
      <c r="F42" s="14"/>
      <c r="G42" s="14"/>
      <c r="H42" s="14"/>
      <c r="I42" s="14"/>
      <c r="J42" s="15"/>
      <c r="K42" s="12"/>
      <c r="L42" s="12"/>
      <c r="M42" s="12"/>
      <c r="N42" s="12"/>
      <c r="O42" s="12"/>
      <c r="P42" s="12"/>
      <c r="Q42" s="12"/>
      <c r="R42" s="12"/>
      <c r="S42" s="12"/>
      <c r="T42" s="12"/>
      <c r="U42" s="12"/>
      <c r="V42" s="12"/>
      <c r="W42" s="12"/>
      <c r="X42" s="12"/>
      <c r="Y42" s="12"/>
      <c r="Z42" s="12"/>
    </row>
    <row r="43" spans="1:26" ht="12.75" customHeight="1">
      <c r="A43" s="13"/>
      <c r="B43" s="14"/>
      <c r="C43" s="14"/>
      <c r="D43" s="14"/>
      <c r="E43" s="14"/>
      <c r="F43" s="14"/>
      <c r="G43" s="14"/>
      <c r="H43" s="14"/>
      <c r="I43" s="14"/>
      <c r="J43" s="15"/>
      <c r="K43" s="12"/>
      <c r="L43" s="12"/>
      <c r="M43" s="12"/>
      <c r="N43" s="12"/>
      <c r="O43" s="12"/>
      <c r="P43" s="12"/>
      <c r="Q43" s="12"/>
      <c r="R43" s="12"/>
      <c r="S43" s="12"/>
      <c r="T43" s="12"/>
      <c r="U43" s="12"/>
      <c r="V43" s="12"/>
      <c r="W43" s="12"/>
      <c r="X43" s="12"/>
      <c r="Y43" s="12"/>
      <c r="Z43" s="12"/>
    </row>
    <row r="44" spans="1:26" ht="12.75" customHeight="1">
      <c r="A44" s="13"/>
      <c r="B44" s="14"/>
      <c r="C44" s="14"/>
      <c r="D44" s="14"/>
      <c r="E44" s="14"/>
      <c r="F44" s="14"/>
      <c r="G44" s="14"/>
      <c r="H44" s="14"/>
      <c r="I44" s="14"/>
      <c r="J44" s="15"/>
      <c r="K44" s="12"/>
      <c r="L44" s="12"/>
      <c r="M44" s="12"/>
      <c r="N44" s="12"/>
      <c r="O44" s="12"/>
      <c r="P44" s="12"/>
      <c r="Q44" s="12"/>
      <c r="R44" s="12"/>
      <c r="S44" s="12"/>
      <c r="T44" s="12"/>
      <c r="U44" s="12"/>
      <c r="V44" s="12"/>
      <c r="W44" s="12"/>
      <c r="X44" s="12"/>
      <c r="Y44" s="12"/>
      <c r="Z44" s="12"/>
    </row>
    <row r="45" spans="1:26" ht="12.75" customHeight="1">
      <c r="A45" s="13"/>
      <c r="B45" s="14"/>
      <c r="C45" s="14"/>
      <c r="D45" s="14"/>
      <c r="E45" s="14"/>
      <c r="F45" s="14"/>
      <c r="G45" s="14"/>
      <c r="H45" s="14"/>
      <c r="I45" s="14"/>
      <c r="J45" s="15"/>
      <c r="K45" s="12"/>
      <c r="L45" s="12"/>
      <c r="M45" s="12"/>
      <c r="N45" s="12"/>
      <c r="O45" s="12"/>
      <c r="P45" s="12"/>
      <c r="Q45" s="12"/>
      <c r="R45" s="12"/>
      <c r="S45" s="12"/>
      <c r="T45" s="12"/>
      <c r="U45" s="12"/>
      <c r="V45" s="12"/>
      <c r="W45" s="12"/>
      <c r="X45" s="12"/>
      <c r="Y45" s="12"/>
      <c r="Z45" s="12"/>
    </row>
    <row r="46" spans="1:26" ht="12.75" customHeight="1">
      <c r="A46" s="13"/>
      <c r="B46" s="14"/>
      <c r="C46" s="14"/>
      <c r="D46" s="14"/>
      <c r="E46" s="14"/>
      <c r="F46" s="14"/>
      <c r="G46" s="14"/>
      <c r="H46" s="14"/>
      <c r="I46" s="14"/>
      <c r="J46" s="15"/>
      <c r="K46" s="12"/>
      <c r="L46" s="12"/>
      <c r="M46" s="12"/>
      <c r="N46" s="12"/>
      <c r="O46" s="12"/>
      <c r="P46" s="12"/>
      <c r="Q46" s="12"/>
      <c r="R46" s="12"/>
      <c r="S46" s="12"/>
      <c r="T46" s="12"/>
      <c r="U46" s="12"/>
      <c r="V46" s="12"/>
      <c r="W46" s="12"/>
      <c r="X46" s="12"/>
      <c r="Y46" s="12"/>
      <c r="Z46" s="12"/>
    </row>
    <row r="47" spans="1:26" ht="12.75" customHeight="1">
      <c r="A47" s="13"/>
      <c r="B47" s="14"/>
      <c r="C47" s="14"/>
      <c r="D47" s="14"/>
      <c r="E47" s="14"/>
      <c r="F47" s="14"/>
      <c r="G47" s="14"/>
      <c r="H47" s="14"/>
      <c r="I47" s="14"/>
      <c r="J47" s="15"/>
      <c r="K47" s="12"/>
      <c r="L47" s="12"/>
      <c r="M47" s="12"/>
      <c r="N47" s="12"/>
      <c r="O47" s="12"/>
      <c r="P47" s="12"/>
      <c r="Q47" s="12"/>
      <c r="R47" s="12"/>
      <c r="S47" s="12"/>
      <c r="T47" s="12"/>
      <c r="U47" s="12"/>
      <c r="V47" s="12"/>
      <c r="W47" s="12"/>
      <c r="X47" s="12"/>
      <c r="Y47" s="12"/>
      <c r="Z47" s="12"/>
    </row>
    <row r="48" spans="1:26" ht="12.75" customHeight="1">
      <c r="A48" s="13"/>
      <c r="B48" s="14"/>
      <c r="C48" s="14"/>
      <c r="D48" s="14"/>
      <c r="E48" s="14"/>
      <c r="F48" s="14"/>
      <c r="G48" s="14"/>
      <c r="H48" s="14"/>
      <c r="I48" s="14"/>
      <c r="J48" s="15"/>
      <c r="K48" s="12"/>
      <c r="L48" s="12"/>
      <c r="M48" s="12"/>
      <c r="N48" s="12"/>
      <c r="O48" s="12"/>
      <c r="P48" s="12"/>
      <c r="Q48" s="12"/>
      <c r="R48" s="12"/>
      <c r="S48" s="12"/>
      <c r="T48" s="12"/>
      <c r="U48" s="12"/>
      <c r="V48" s="12"/>
      <c r="W48" s="12"/>
      <c r="X48" s="12"/>
      <c r="Y48" s="12"/>
      <c r="Z48" s="12"/>
    </row>
    <row r="49" spans="1:26" ht="12.75" customHeight="1">
      <c r="A49" s="13"/>
      <c r="B49" s="14"/>
      <c r="C49" s="14"/>
      <c r="D49" s="14"/>
      <c r="E49" s="14"/>
      <c r="F49" s="14"/>
      <c r="G49" s="14"/>
      <c r="H49" s="14"/>
      <c r="I49" s="14"/>
      <c r="J49" s="15"/>
      <c r="K49" s="12"/>
      <c r="L49" s="12"/>
      <c r="M49" s="12"/>
      <c r="N49" s="12"/>
      <c r="O49" s="12"/>
      <c r="P49" s="12"/>
      <c r="Q49" s="12"/>
      <c r="R49" s="12"/>
      <c r="S49" s="12"/>
      <c r="T49" s="12"/>
      <c r="U49" s="12"/>
      <c r="V49" s="12"/>
      <c r="W49" s="12"/>
      <c r="X49" s="12"/>
      <c r="Y49" s="12"/>
      <c r="Z49" s="12"/>
    </row>
    <row r="50" spans="1:26" ht="12.75" customHeight="1">
      <c r="A50" s="13"/>
      <c r="B50" s="14"/>
      <c r="C50" s="14"/>
      <c r="D50" s="14"/>
      <c r="E50" s="14"/>
      <c r="F50" s="14"/>
      <c r="G50" s="14"/>
      <c r="H50" s="14"/>
      <c r="I50" s="14"/>
      <c r="J50" s="15"/>
      <c r="K50" s="12"/>
      <c r="L50" s="12"/>
      <c r="M50" s="12"/>
      <c r="N50" s="12"/>
      <c r="O50" s="12"/>
      <c r="P50" s="12"/>
      <c r="Q50" s="12"/>
      <c r="R50" s="12"/>
      <c r="S50" s="12"/>
      <c r="T50" s="12"/>
      <c r="U50" s="12"/>
      <c r="V50" s="12"/>
      <c r="W50" s="12"/>
      <c r="X50" s="12"/>
      <c r="Y50" s="12"/>
      <c r="Z50" s="12"/>
    </row>
    <row r="51" spans="1:26" ht="12.75" customHeight="1">
      <c r="A51" s="13"/>
      <c r="B51" s="14"/>
      <c r="C51" s="14"/>
      <c r="D51" s="14"/>
      <c r="E51" s="14"/>
      <c r="F51" s="14"/>
      <c r="G51" s="14"/>
      <c r="H51" s="14"/>
      <c r="I51" s="14"/>
      <c r="J51" s="15"/>
      <c r="K51" s="12"/>
      <c r="L51" s="12"/>
      <c r="M51" s="12"/>
      <c r="N51" s="12"/>
      <c r="O51" s="12"/>
      <c r="P51" s="12"/>
      <c r="Q51" s="12"/>
      <c r="R51" s="12"/>
      <c r="S51" s="12"/>
      <c r="T51" s="12"/>
      <c r="U51" s="12"/>
      <c r="V51" s="12"/>
      <c r="W51" s="12"/>
      <c r="X51" s="12"/>
      <c r="Y51" s="12"/>
      <c r="Z51" s="12"/>
    </row>
    <row r="52" spans="1:26" ht="12.75" customHeight="1">
      <c r="A52" s="13"/>
      <c r="B52" s="14"/>
      <c r="C52" s="14"/>
      <c r="D52" s="14"/>
      <c r="E52" s="14"/>
      <c r="F52" s="14"/>
      <c r="G52" s="14"/>
      <c r="H52" s="14"/>
      <c r="I52" s="14"/>
      <c r="J52" s="15"/>
      <c r="K52" s="12"/>
      <c r="L52" s="12"/>
      <c r="M52" s="12"/>
      <c r="N52" s="12"/>
      <c r="O52" s="12"/>
      <c r="P52" s="12"/>
      <c r="Q52" s="12"/>
      <c r="R52" s="12"/>
      <c r="S52" s="12"/>
      <c r="T52" s="12"/>
      <c r="U52" s="12"/>
      <c r="V52" s="12"/>
      <c r="W52" s="12"/>
      <c r="X52" s="12"/>
      <c r="Y52" s="12"/>
      <c r="Z52" s="12"/>
    </row>
    <row r="53" spans="1:26" ht="12.75" customHeight="1">
      <c r="A53" s="13"/>
      <c r="B53" s="14"/>
      <c r="C53" s="14"/>
      <c r="D53" s="14"/>
      <c r="E53" s="14"/>
      <c r="F53" s="14"/>
      <c r="G53" s="14"/>
      <c r="H53" s="14"/>
      <c r="I53" s="14"/>
      <c r="J53" s="15"/>
      <c r="K53" s="12"/>
      <c r="L53" s="12"/>
      <c r="M53" s="12"/>
      <c r="N53" s="12"/>
      <c r="O53" s="12"/>
      <c r="P53" s="12"/>
      <c r="Q53" s="12"/>
      <c r="R53" s="12"/>
      <c r="S53" s="12"/>
      <c r="T53" s="12"/>
      <c r="U53" s="12"/>
      <c r="V53" s="12"/>
      <c r="W53" s="12"/>
      <c r="X53" s="12"/>
      <c r="Y53" s="12"/>
      <c r="Z53" s="12"/>
    </row>
    <row r="54" spans="1:26" ht="12.75" customHeight="1">
      <c r="A54" s="13"/>
      <c r="B54" s="14"/>
      <c r="C54" s="14"/>
      <c r="D54" s="14"/>
      <c r="E54" s="14"/>
      <c r="F54" s="14"/>
      <c r="G54" s="14"/>
      <c r="H54" s="14"/>
      <c r="I54" s="14"/>
      <c r="J54" s="15"/>
      <c r="K54" s="12"/>
      <c r="L54" s="12"/>
      <c r="M54" s="12"/>
      <c r="N54" s="12"/>
      <c r="O54" s="12"/>
      <c r="P54" s="12"/>
      <c r="Q54" s="12"/>
      <c r="R54" s="12"/>
      <c r="S54" s="12"/>
      <c r="T54" s="12"/>
      <c r="U54" s="12"/>
      <c r="V54" s="12"/>
      <c r="W54" s="12"/>
      <c r="X54" s="12"/>
      <c r="Y54" s="12"/>
      <c r="Z54" s="12"/>
    </row>
    <row r="55" spans="1:26" ht="12.75" customHeight="1">
      <c r="A55" s="13"/>
      <c r="B55" s="14"/>
      <c r="C55" s="14"/>
      <c r="D55" s="14"/>
      <c r="E55" s="14"/>
      <c r="F55" s="14"/>
      <c r="G55" s="14"/>
      <c r="H55" s="14"/>
      <c r="I55" s="14"/>
      <c r="J55" s="15"/>
      <c r="K55" s="12"/>
      <c r="L55" s="12"/>
      <c r="M55" s="12"/>
      <c r="N55" s="12"/>
      <c r="O55" s="12"/>
      <c r="P55" s="12"/>
      <c r="Q55" s="12"/>
      <c r="R55" s="12"/>
      <c r="S55" s="12"/>
      <c r="T55" s="12"/>
      <c r="U55" s="12"/>
      <c r="V55" s="12"/>
      <c r="W55" s="12"/>
      <c r="X55" s="12"/>
      <c r="Y55" s="12"/>
      <c r="Z55" s="12"/>
    </row>
    <row r="56" spans="1:26" ht="12.75" customHeight="1">
      <c r="A56" s="13"/>
      <c r="B56" s="14"/>
      <c r="C56" s="14"/>
      <c r="D56" s="14"/>
      <c r="E56" s="14"/>
      <c r="F56" s="14"/>
      <c r="G56" s="14"/>
      <c r="H56" s="14"/>
      <c r="I56" s="14"/>
      <c r="J56" s="15"/>
      <c r="K56" s="12"/>
      <c r="L56" s="12"/>
      <c r="M56" s="12"/>
      <c r="N56" s="12"/>
      <c r="O56" s="12"/>
      <c r="P56" s="12"/>
      <c r="Q56" s="12"/>
      <c r="R56" s="12"/>
      <c r="S56" s="12"/>
      <c r="T56" s="12"/>
      <c r="U56" s="12"/>
      <c r="V56" s="12"/>
      <c r="W56" s="12"/>
      <c r="X56" s="12"/>
      <c r="Y56" s="12"/>
      <c r="Z56" s="12"/>
    </row>
    <row r="57" spans="1:26" ht="12.75" customHeight="1">
      <c r="A57" s="526" t="s">
        <v>654</v>
      </c>
      <c r="B57" s="527"/>
      <c r="C57" s="527"/>
      <c r="D57" s="527"/>
      <c r="E57" s="527"/>
      <c r="F57" s="527"/>
      <c r="G57" s="527"/>
      <c r="H57" s="527"/>
      <c r="I57" s="527"/>
      <c r="J57" s="528"/>
      <c r="K57" s="12"/>
      <c r="L57" s="12"/>
      <c r="M57" s="12"/>
      <c r="N57" s="12"/>
      <c r="O57" s="12"/>
      <c r="P57" s="12"/>
      <c r="Q57" s="12"/>
      <c r="R57" s="12"/>
      <c r="S57" s="12"/>
      <c r="T57" s="12"/>
      <c r="U57" s="12"/>
      <c r="V57" s="12"/>
      <c r="W57" s="12"/>
      <c r="X57" s="12"/>
      <c r="Y57" s="12"/>
      <c r="Z57" s="12"/>
    </row>
    <row r="58" spans="1:26" ht="12.75" customHeight="1">
      <c r="A58" s="529"/>
      <c r="B58" s="527"/>
      <c r="C58" s="527"/>
      <c r="D58" s="527"/>
      <c r="E58" s="527"/>
      <c r="F58" s="527"/>
      <c r="G58" s="527"/>
      <c r="H58" s="527"/>
      <c r="I58" s="527"/>
      <c r="J58" s="528"/>
      <c r="K58" s="12"/>
      <c r="L58" s="12"/>
      <c r="M58" s="12"/>
      <c r="N58" s="12"/>
      <c r="O58" s="12"/>
      <c r="P58" s="12"/>
      <c r="Q58" s="12"/>
      <c r="R58" s="12"/>
      <c r="S58" s="12"/>
      <c r="T58" s="12"/>
      <c r="U58" s="12"/>
      <c r="V58" s="12"/>
      <c r="W58" s="12"/>
      <c r="X58" s="12"/>
      <c r="Y58" s="12"/>
      <c r="Z58" s="12"/>
    </row>
    <row r="59" spans="1:26" ht="13.5" customHeight="1" thickBot="1">
      <c r="A59" s="16"/>
      <c r="B59" s="17"/>
      <c r="C59" s="17"/>
      <c r="D59" s="17"/>
      <c r="E59" s="17"/>
      <c r="F59" s="17"/>
      <c r="G59" s="17"/>
      <c r="H59" s="17"/>
      <c r="I59" s="17"/>
      <c r="J59" s="18"/>
      <c r="K59" s="12"/>
      <c r="L59" s="12"/>
      <c r="M59" s="12"/>
      <c r="N59" s="12"/>
      <c r="O59" s="12"/>
      <c r="P59" s="12"/>
      <c r="Q59" s="12"/>
      <c r="R59" s="12"/>
      <c r="S59" s="12"/>
      <c r="T59" s="12"/>
      <c r="U59" s="12"/>
      <c r="V59" s="12"/>
      <c r="W59" s="12"/>
      <c r="X59" s="12"/>
      <c r="Y59" s="12"/>
      <c r="Z59" s="12"/>
    </row>
    <row r="60" spans="1:26" ht="12.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4">
    <mergeCell ref="A7:J7"/>
    <mergeCell ref="A26:J27"/>
    <mergeCell ref="A36:J37"/>
    <mergeCell ref="A57:J58"/>
  </mergeCells>
  <printOptions horizontalCentered="1" verticalCentered="1"/>
  <pageMargins left="0.51181102362204722" right="0.51181102362204722" top="0.78740157480314965" bottom="0.78740157480314965"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sheetPr>
    <tabColor theme="9" tint="0.39997558519241921"/>
  </sheetPr>
  <dimension ref="A1:T214"/>
  <sheetViews>
    <sheetView showGridLines="0" tabSelected="1" view="pageBreakPreview" zoomScale="110" zoomScaleNormal="70" zoomScaleSheetLayoutView="110" workbookViewId="0">
      <selection activeCell="E13" sqref="E13"/>
    </sheetView>
  </sheetViews>
  <sheetFormatPr defaultColWidth="9.140625" defaultRowHeight="28.5" customHeight="1"/>
  <cols>
    <col min="1" max="1" width="7" style="358" customWidth="1"/>
    <col min="2" max="2" width="31.85546875" style="358" customWidth="1"/>
    <col min="3" max="3" width="7.7109375" style="358" customWidth="1"/>
    <col min="4" max="4" width="6.140625" style="358" customWidth="1"/>
    <col min="5" max="5" width="37.28515625" style="358" customWidth="1"/>
    <col min="6" max="6" width="15.28515625" style="358" customWidth="1"/>
    <col min="7" max="7" width="13.7109375" style="359" bestFit="1" customWidth="1"/>
    <col min="8" max="8" width="15" style="359" customWidth="1"/>
    <col min="9" max="9" width="15" style="358" customWidth="1"/>
    <col min="10" max="10" width="13.7109375" style="360" customWidth="1"/>
    <col min="11" max="11" width="13.5703125" style="360" customWidth="1"/>
    <col min="12" max="12" width="12.5703125" style="361" customWidth="1"/>
    <col min="13" max="13" width="10.7109375" style="361" customWidth="1"/>
    <col min="14" max="14" width="13.85546875" style="361" customWidth="1"/>
    <col min="15" max="15" width="16.42578125" style="358" customWidth="1"/>
    <col min="16" max="18" width="6.7109375" style="358" customWidth="1"/>
    <col min="19" max="19" width="8" style="358" customWidth="1"/>
    <col min="20" max="20" width="9.28515625" style="358" customWidth="1"/>
    <col min="21" max="16384" width="9.140625" style="358"/>
  </cols>
  <sheetData>
    <row r="1" spans="1:20" ht="17.25" customHeight="1">
      <c r="A1" s="862"/>
      <c r="B1" s="862"/>
      <c r="C1" s="862"/>
      <c r="D1" s="862"/>
      <c r="E1" s="862"/>
      <c r="F1" s="862"/>
      <c r="G1" s="862"/>
      <c r="H1" s="862"/>
      <c r="I1" s="862"/>
      <c r="J1" s="862"/>
      <c r="K1" s="862"/>
      <c r="L1" s="862"/>
      <c r="M1" s="862"/>
      <c r="N1" s="862"/>
      <c r="O1" s="863"/>
    </row>
    <row r="2" spans="1:20" ht="17.25" customHeight="1">
      <c r="A2" s="864" t="s">
        <v>24</v>
      </c>
      <c r="B2" s="864"/>
      <c r="C2" s="864"/>
      <c r="D2" s="864"/>
      <c r="E2" s="864"/>
      <c r="F2" s="864"/>
      <c r="G2" s="864"/>
      <c r="H2" s="864"/>
      <c r="I2" s="864"/>
      <c r="J2" s="864"/>
      <c r="K2" s="864"/>
      <c r="L2" s="864"/>
      <c r="M2" s="864"/>
      <c r="N2" s="864"/>
      <c r="O2" s="864"/>
    </row>
    <row r="3" spans="1:20" ht="17.25" customHeight="1">
      <c r="A3" s="864" t="s">
        <v>25</v>
      </c>
      <c r="B3" s="864"/>
      <c r="C3" s="864"/>
      <c r="D3" s="864"/>
      <c r="E3" s="864"/>
      <c r="F3" s="864"/>
      <c r="G3" s="864"/>
      <c r="H3" s="864"/>
      <c r="I3" s="864"/>
      <c r="J3" s="864"/>
      <c r="K3" s="864"/>
      <c r="L3" s="864"/>
      <c r="M3" s="864"/>
      <c r="N3" s="864"/>
      <c r="O3" s="864"/>
    </row>
    <row r="4" spans="1:20" ht="17.25" customHeight="1">
      <c r="A4" s="864" t="s">
        <v>657</v>
      </c>
      <c r="B4" s="864"/>
      <c r="C4" s="864"/>
      <c r="D4" s="864"/>
      <c r="E4" s="864"/>
      <c r="F4" s="864"/>
      <c r="G4" s="864"/>
      <c r="H4" s="864"/>
      <c r="I4" s="864"/>
      <c r="J4" s="864"/>
      <c r="K4" s="864"/>
      <c r="L4" s="864"/>
      <c r="M4" s="864"/>
      <c r="N4" s="864"/>
      <c r="O4" s="864"/>
    </row>
    <row r="5" spans="1:20" ht="17.25" customHeight="1"/>
    <row r="6" spans="1:20" ht="17.25" customHeight="1" thickBot="1">
      <c r="A6" s="362"/>
      <c r="B6" s="362"/>
      <c r="C6" s="362"/>
      <c r="D6" s="362"/>
      <c r="E6" s="362"/>
      <c r="F6" s="362"/>
      <c r="G6" s="362"/>
      <c r="H6" s="362"/>
      <c r="I6" s="362"/>
      <c r="J6" s="363"/>
      <c r="K6" s="362"/>
      <c r="L6" s="362"/>
      <c r="M6" s="362"/>
      <c r="N6" s="362"/>
      <c r="O6" s="364"/>
    </row>
    <row r="7" spans="1:20" ht="41.25" customHeight="1" thickBot="1">
      <c r="A7" s="865" t="s">
        <v>358</v>
      </c>
      <c r="B7" s="866"/>
      <c r="C7" s="866"/>
      <c r="D7" s="866"/>
      <c r="E7" s="866"/>
      <c r="F7" s="866"/>
      <c r="G7" s="866"/>
      <c r="H7" s="866"/>
      <c r="I7" s="866"/>
      <c r="J7" s="866"/>
      <c r="K7" s="866"/>
      <c r="L7" s="866"/>
      <c r="M7" s="866"/>
      <c r="N7" s="866"/>
      <c r="O7" s="867"/>
      <c r="P7" s="365"/>
      <c r="Q7" s="365"/>
      <c r="R7" s="365"/>
      <c r="S7" s="365"/>
      <c r="T7" s="365"/>
    </row>
    <row r="8" spans="1:20" s="359" customFormat="1" ht="42" customHeight="1">
      <c r="A8" s="860" t="s">
        <v>41</v>
      </c>
      <c r="B8" s="860" t="s">
        <v>348</v>
      </c>
      <c r="C8" s="860" t="s">
        <v>254</v>
      </c>
      <c r="D8" s="860" t="s">
        <v>350</v>
      </c>
      <c r="E8" s="870" t="s">
        <v>359</v>
      </c>
      <c r="F8" s="871"/>
      <c r="G8" s="366" t="s">
        <v>351</v>
      </c>
      <c r="H8" s="872" t="s">
        <v>352</v>
      </c>
      <c r="I8" s="872" t="s">
        <v>360</v>
      </c>
      <c r="J8" s="874" t="s">
        <v>353</v>
      </c>
      <c r="K8" s="874" t="s">
        <v>260</v>
      </c>
      <c r="L8" s="858" t="s">
        <v>268</v>
      </c>
      <c r="M8" s="858" t="s">
        <v>349</v>
      </c>
      <c r="N8" s="858" t="s">
        <v>354</v>
      </c>
      <c r="O8" s="868" t="s">
        <v>271</v>
      </c>
      <c r="P8" s="367"/>
      <c r="Q8" s="367"/>
    </row>
    <row r="9" spans="1:20" s="359" customFormat="1" ht="51" customHeight="1">
      <c r="A9" s="861"/>
      <c r="B9" s="861"/>
      <c r="C9" s="861"/>
      <c r="D9" s="861"/>
      <c r="E9" s="368" t="s">
        <v>355</v>
      </c>
      <c r="F9" s="368" t="s">
        <v>265</v>
      </c>
      <c r="G9" s="369" t="s">
        <v>267</v>
      </c>
      <c r="H9" s="873"/>
      <c r="I9" s="873"/>
      <c r="J9" s="875"/>
      <c r="K9" s="875"/>
      <c r="L9" s="859"/>
      <c r="M9" s="859"/>
      <c r="N9" s="859"/>
      <c r="O9" s="869"/>
      <c r="P9" s="370"/>
      <c r="Q9" s="370"/>
      <c r="R9" s="370"/>
      <c r="S9" s="370"/>
    </row>
    <row r="10" spans="1:20" s="374" customFormat="1" ht="24" customHeight="1">
      <c r="A10" s="801">
        <v>1</v>
      </c>
      <c r="B10" s="804" t="s">
        <v>512</v>
      </c>
      <c r="C10" s="801" t="s">
        <v>361</v>
      </c>
      <c r="D10" s="828">
        <v>12</v>
      </c>
      <c r="E10" s="171" t="s">
        <v>511</v>
      </c>
      <c r="F10" s="172">
        <f>689+85.99</f>
        <v>774.99</v>
      </c>
      <c r="G10" s="822">
        <f>ROUNDUP(AVERAGE(F10:F14),2)</f>
        <v>715.47</v>
      </c>
      <c r="H10" s="371">
        <f>IF((F10/G$10)-1&gt;30%,"EXCLUÍDO",IF((F10/G$10)-1&lt;-30%,"EXCLUÍDO",F10))</f>
        <v>774.99</v>
      </c>
      <c r="I10" s="372">
        <f>IF(F10&lt;&gt;0,(F10/$G$10)-1,"")</f>
        <v>8.3190070862509957E-2</v>
      </c>
      <c r="J10" s="822">
        <f>AVERAGE(H10:H14)</f>
        <v>715.46333333333325</v>
      </c>
      <c r="K10" s="825">
        <f>MEDIAN(H10:H14)</f>
        <v>710.19999999999993</v>
      </c>
      <c r="L10" s="822">
        <f>STDEV(H10:H14)</f>
        <v>57.077298756452528</v>
      </c>
      <c r="M10" s="840">
        <f>L10/J10</f>
        <v>7.9776693084368452E-2</v>
      </c>
      <c r="N10" s="822">
        <f>IF(M10&lt;25%,J10,K10)</f>
        <v>715.46333333333325</v>
      </c>
      <c r="O10" s="834">
        <f>N10*D10</f>
        <v>8585.56</v>
      </c>
      <c r="P10" s="373"/>
      <c r="Q10" s="373"/>
      <c r="R10" s="373"/>
      <c r="S10" s="373"/>
    </row>
    <row r="11" spans="1:20" s="374" customFormat="1" ht="24" customHeight="1">
      <c r="A11" s="802"/>
      <c r="B11" s="805"/>
      <c r="C11" s="802"/>
      <c r="D11" s="829"/>
      <c r="E11" s="171" t="s">
        <v>356</v>
      </c>
      <c r="F11" s="172">
        <f>549.9+111.3</f>
        <v>661.19999999999993</v>
      </c>
      <c r="G11" s="823"/>
      <c r="H11" s="371">
        <f>IF((F11/G$10)-1&gt;30%,"EXCLUÍDO",IF((F11/G$10)-1&lt;-30%,"EXCLUÍDO",F11))</f>
        <v>661.19999999999993</v>
      </c>
      <c r="I11" s="372">
        <f>IF(F11&lt;&gt;0,(F11/$G$10)-1,"")</f>
        <v>-7.5852236991068911E-2</v>
      </c>
      <c r="J11" s="823"/>
      <c r="K11" s="826"/>
      <c r="L11" s="823"/>
      <c r="M11" s="841"/>
      <c r="N11" s="823"/>
      <c r="O11" s="835"/>
      <c r="P11" s="373"/>
      <c r="Q11" s="373"/>
      <c r="R11" s="373"/>
      <c r="S11" s="373"/>
    </row>
    <row r="12" spans="1:20" s="374" customFormat="1" ht="24" customHeight="1">
      <c r="A12" s="802"/>
      <c r="B12" s="805"/>
      <c r="C12" s="802"/>
      <c r="D12" s="829"/>
      <c r="E12" s="171" t="s">
        <v>513</v>
      </c>
      <c r="F12" s="172">
        <f>659.9+50.3</f>
        <v>710.19999999999993</v>
      </c>
      <c r="G12" s="823"/>
      <c r="H12" s="371">
        <f>IF((F12/G$10)-1&gt;30%,"EXCLUÍDO",IF((F12/G$10)-1&lt;-30%,"EXCLUÍDO",F12))</f>
        <v>710.19999999999993</v>
      </c>
      <c r="I12" s="372">
        <f>IF(F12&lt;&gt;0,(F12/$G$10)-1,"")</f>
        <v>-7.3657875242848503E-3</v>
      </c>
      <c r="J12" s="823"/>
      <c r="K12" s="826"/>
      <c r="L12" s="823"/>
      <c r="M12" s="841"/>
      <c r="N12" s="823"/>
      <c r="O12" s="835"/>
      <c r="P12" s="373"/>
      <c r="Q12" s="373"/>
      <c r="R12" s="373"/>
      <c r="S12" s="373"/>
    </row>
    <row r="13" spans="1:20" s="374" customFormat="1" ht="24" customHeight="1">
      <c r="A13" s="802"/>
      <c r="B13" s="805"/>
      <c r="C13" s="802"/>
      <c r="D13" s="829"/>
      <c r="E13" s="171"/>
      <c r="F13" s="172"/>
      <c r="G13" s="823"/>
      <c r="H13" s="371" t="str">
        <f>IF((F13/G$10)-1&gt;30%,"EXCLUÍDO",IF((F13/G$10)-1&lt;-30%,"EXCLUÍDO",F13))</f>
        <v>EXCLUÍDO</v>
      </c>
      <c r="I13" s="372" t="str">
        <f>IF(F13&lt;&gt;0,(F13/$G$10)-1,"")</f>
        <v/>
      </c>
      <c r="J13" s="823"/>
      <c r="K13" s="826"/>
      <c r="L13" s="823"/>
      <c r="M13" s="841"/>
      <c r="N13" s="823"/>
      <c r="O13" s="835"/>
      <c r="P13" s="373"/>
      <c r="Q13" s="373"/>
      <c r="R13" s="373"/>
      <c r="S13" s="373"/>
    </row>
    <row r="14" spans="1:20" s="374" customFormat="1" ht="24" customHeight="1">
      <c r="A14" s="803"/>
      <c r="B14" s="806"/>
      <c r="C14" s="803"/>
      <c r="D14" s="830"/>
      <c r="E14" s="171"/>
      <c r="F14" s="172"/>
      <c r="G14" s="824"/>
      <c r="H14" s="371" t="str">
        <f>IF((F14/G$10)-1&gt;30%,"EXCLUÍDO",IF((F14/G$10)-1&lt;-30%,"EXCLUÍDO",F14))</f>
        <v>EXCLUÍDO</v>
      </c>
      <c r="I14" s="372" t="str">
        <f>IF(F14&lt;&gt;0,(F14/$G$10)-1,"")</f>
        <v/>
      </c>
      <c r="J14" s="824"/>
      <c r="K14" s="827"/>
      <c r="L14" s="824"/>
      <c r="M14" s="842"/>
      <c r="N14" s="824"/>
      <c r="O14" s="836"/>
      <c r="P14" s="373"/>
      <c r="Q14" s="373"/>
      <c r="R14" s="373"/>
      <c r="S14" s="373"/>
    </row>
    <row r="15" spans="1:20" s="374" customFormat="1" ht="24" customHeight="1">
      <c r="A15" s="801">
        <v>2</v>
      </c>
      <c r="B15" s="810" t="s">
        <v>718</v>
      </c>
      <c r="C15" s="813" t="s">
        <v>254</v>
      </c>
      <c r="D15" s="852">
        <v>3</v>
      </c>
      <c r="E15" s="171" t="s">
        <v>514</v>
      </c>
      <c r="F15" s="172">
        <f>1529+259.97</f>
        <v>1788.97</v>
      </c>
      <c r="G15" s="816">
        <f>ROUNDUP(AVERAGE(F15:F19),2)</f>
        <v>1659.83</v>
      </c>
      <c r="H15" s="375">
        <f>IF((F15/G$15)-1&gt;30%,"EXCLUÍDO",IF((F15/G$15)-1&lt;-30%,"EXCLUÍDO",F15))</f>
        <v>1788.97</v>
      </c>
      <c r="I15" s="376">
        <f>IF(F15&lt;&gt;0,(F15/$G$15)-1,"")</f>
        <v>7.780314851520953E-2</v>
      </c>
      <c r="J15" s="816">
        <f>AVERAGE(H15:H19)</f>
        <v>1659.8225</v>
      </c>
      <c r="K15" s="819">
        <f>MEDIAN(H15:H19)</f>
        <v>1681.31</v>
      </c>
      <c r="L15" s="816">
        <f>STDEV(H15:H19)</f>
        <v>126.28256316029274</v>
      </c>
      <c r="M15" s="837">
        <f>L15/J15</f>
        <v>7.6081968499820157E-2</v>
      </c>
      <c r="N15" s="816">
        <f>IF(M15&lt;25%,J15,K15)</f>
        <v>1659.8225</v>
      </c>
      <c r="O15" s="831">
        <f>N15*D15</f>
        <v>4979.4674999999997</v>
      </c>
      <c r="P15" s="373"/>
      <c r="Q15" s="373"/>
      <c r="R15" s="373"/>
      <c r="S15" s="373"/>
    </row>
    <row r="16" spans="1:20" s="374" customFormat="1" ht="24" customHeight="1">
      <c r="A16" s="802"/>
      <c r="B16" s="811"/>
      <c r="C16" s="814"/>
      <c r="D16" s="853"/>
      <c r="E16" s="171" t="s">
        <v>362</v>
      </c>
      <c r="F16" s="172">
        <f>1434.99+52.71</f>
        <v>1487.7</v>
      </c>
      <c r="G16" s="817"/>
      <c r="H16" s="375">
        <f>IF((F16/G$15)-1&gt;30%,"EXCLUÍDO",IF((F16/G$15)-1&lt;-30%,"EXCLUÍDO",F16))</f>
        <v>1487.7</v>
      </c>
      <c r="I16" s="376">
        <f>IF(F16&lt;&gt;0,(F16/$G$15)-1,"")</f>
        <v>-0.10370339131115835</v>
      </c>
      <c r="J16" s="817"/>
      <c r="K16" s="820"/>
      <c r="L16" s="817"/>
      <c r="M16" s="838"/>
      <c r="N16" s="817"/>
      <c r="O16" s="832"/>
      <c r="P16" s="373"/>
      <c r="Q16" s="373"/>
      <c r="R16" s="373"/>
      <c r="S16" s="373"/>
    </row>
    <row r="17" spans="1:19" s="374" customFormat="1" ht="24" customHeight="1">
      <c r="A17" s="802"/>
      <c r="B17" s="811"/>
      <c r="C17" s="814"/>
      <c r="D17" s="853"/>
      <c r="E17" s="171" t="s">
        <v>515</v>
      </c>
      <c r="F17" s="172">
        <f>1554.9+108.9</f>
        <v>1663.8000000000002</v>
      </c>
      <c r="G17" s="817"/>
      <c r="H17" s="375">
        <f>IF((F17/G$15)-1&gt;30%,"EXCLUÍDO",IF((F17/G$15)-1&lt;-30%,"EXCLUÍDO",F17))</f>
        <v>1663.8000000000002</v>
      </c>
      <c r="I17" s="376">
        <f>IF(F17&lt;&gt;0,(F17/$G$15)-1,"")</f>
        <v>2.3918112095817623E-3</v>
      </c>
      <c r="J17" s="817"/>
      <c r="K17" s="820"/>
      <c r="L17" s="817"/>
      <c r="M17" s="838"/>
      <c r="N17" s="817"/>
      <c r="O17" s="832"/>
      <c r="P17" s="373"/>
      <c r="Q17" s="373"/>
      <c r="R17" s="373"/>
      <c r="S17" s="373"/>
    </row>
    <row r="18" spans="1:19" s="374" customFormat="1" ht="24" customHeight="1">
      <c r="A18" s="802"/>
      <c r="B18" s="811"/>
      <c r="C18" s="814"/>
      <c r="D18" s="853"/>
      <c r="E18" s="171" t="s">
        <v>364</v>
      </c>
      <c r="F18" s="172">
        <f>1599+99.82</f>
        <v>1698.82</v>
      </c>
      <c r="G18" s="817"/>
      <c r="H18" s="375">
        <f>IF((F18/G$15)-1&gt;30%,"EXCLUÍDO",IF((F18/G$15)-1&lt;-30%,"EXCLUÍDO",F18))</f>
        <v>1698.82</v>
      </c>
      <c r="I18" s="376">
        <f>IF(F18&lt;&gt;0,(F18/$G$15)-1,"")</f>
        <v>2.3490357446244392E-2</v>
      </c>
      <c r="J18" s="817"/>
      <c r="K18" s="820"/>
      <c r="L18" s="817"/>
      <c r="M18" s="838"/>
      <c r="N18" s="817"/>
      <c r="O18" s="832"/>
      <c r="P18" s="373"/>
      <c r="Q18" s="373"/>
      <c r="R18" s="373"/>
      <c r="S18" s="373"/>
    </row>
    <row r="19" spans="1:19" s="374" customFormat="1" ht="24" customHeight="1">
      <c r="A19" s="803"/>
      <c r="B19" s="812"/>
      <c r="C19" s="815"/>
      <c r="D19" s="854"/>
      <c r="E19" s="171"/>
      <c r="F19" s="172"/>
      <c r="G19" s="818"/>
      <c r="H19" s="375" t="str">
        <f>IF((F19/G$15)-1&gt;30%,"EXCLUÍDO",IF((F19/G$15)-1&lt;-30%,"EXCLUÍDO",F19))</f>
        <v>EXCLUÍDO</v>
      </c>
      <c r="I19" s="376" t="str">
        <f>IF(F19&lt;&gt;0,(F19/$G$15)-1,"")</f>
        <v/>
      </c>
      <c r="J19" s="818"/>
      <c r="K19" s="821"/>
      <c r="L19" s="818"/>
      <c r="M19" s="839"/>
      <c r="N19" s="818"/>
      <c r="O19" s="833"/>
      <c r="P19" s="373"/>
      <c r="Q19" s="373"/>
      <c r="R19" s="373"/>
      <c r="S19" s="373"/>
    </row>
    <row r="20" spans="1:19" s="374" customFormat="1" ht="24" customHeight="1">
      <c r="A20" s="801">
        <v>3</v>
      </c>
      <c r="B20" s="804" t="s">
        <v>516</v>
      </c>
      <c r="C20" s="801" t="s">
        <v>254</v>
      </c>
      <c r="D20" s="828">
        <v>4</v>
      </c>
      <c r="E20" s="171" t="s">
        <v>363</v>
      </c>
      <c r="F20" s="172">
        <f>3199.9+233.88</f>
        <v>3433.78</v>
      </c>
      <c r="G20" s="822">
        <f>ROUNDUP(AVERAGE(F20:F24),2)</f>
        <v>3578.53</v>
      </c>
      <c r="H20" s="371">
        <f>IF((F20/G$20)-1&gt;30%,"EXCLUÍDO",IF((F20/G$20)-1&lt;-30%,"EXCLUÍDO",F20))</f>
        <v>3433.78</v>
      </c>
      <c r="I20" s="372">
        <f>IF(F20&lt;&gt;0,(F20/$G$20)-1,"")</f>
        <v>-4.0449570074863161E-2</v>
      </c>
      <c r="J20" s="822">
        <f>AVERAGE(H20:H24)</f>
        <v>3578.5275000000001</v>
      </c>
      <c r="K20" s="825">
        <f>MEDIAN(H20:H24)</f>
        <v>3575.3950000000004</v>
      </c>
      <c r="L20" s="822">
        <f>STDEV(H20:H24)</f>
        <v>188.54876617204377</v>
      </c>
      <c r="M20" s="840">
        <f>L20/J20</f>
        <v>5.2688924752441822E-2</v>
      </c>
      <c r="N20" s="822">
        <f>IF(M20&lt;25%,J20,K20)</f>
        <v>3578.5275000000001</v>
      </c>
      <c r="O20" s="834">
        <f>N20*D20</f>
        <v>14314.11</v>
      </c>
      <c r="P20" s="377"/>
      <c r="Q20" s="378"/>
    </row>
    <row r="21" spans="1:19" s="374" customFormat="1" ht="24" customHeight="1">
      <c r="A21" s="802"/>
      <c r="B21" s="805"/>
      <c r="C21" s="802"/>
      <c r="D21" s="829"/>
      <c r="E21" s="171" t="s">
        <v>364</v>
      </c>
      <c r="F21" s="172">
        <f>3108.98+290.33</f>
        <v>3399.31</v>
      </c>
      <c r="G21" s="823"/>
      <c r="H21" s="371">
        <f>IF((F21/G$20)-1&gt;30%,"EXCLUÍDO",IF((F21/G$20)-1&lt;-30%,"EXCLUÍDO",F21))</f>
        <v>3399.31</v>
      </c>
      <c r="I21" s="372">
        <f>IF(F21&lt;&gt;0,(F21/$G$20)-1,"")</f>
        <v>-5.0082016917561201E-2</v>
      </c>
      <c r="J21" s="823"/>
      <c r="K21" s="826"/>
      <c r="L21" s="823"/>
      <c r="M21" s="841"/>
      <c r="N21" s="823"/>
      <c r="O21" s="835"/>
      <c r="P21" s="377"/>
      <c r="Q21" s="378"/>
    </row>
    <row r="22" spans="1:19" s="374" customFormat="1" ht="24" customHeight="1">
      <c r="A22" s="802"/>
      <c r="B22" s="805"/>
      <c r="C22" s="802"/>
      <c r="D22" s="829"/>
      <c r="E22" s="171"/>
      <c r="F22" s="172"/>
      <c r="G22" s="823"/>
      <c r="H22" s="371" t="str">
        <f>IF((F22/G$20)-1&gt;30%,"EXCLUÍDO",IF((F22/G$20)-1&lt;-30%,"EXCLUÍDO",F22))</f>
        <v>EXCLUÍDO</v>
      </c>
      <c r="I22" s="372" t="str">
        <f>IF(F22&lt;&gt;0,(F22/$G$20)-1,"")</f>
        <v/>
      </c>
      <c r="J22" s="823"/>
      <c r="K22" s="826"/>
      <c r="L22" s="823"/>
      <c r="M22" s="841"/>
      <c r="N22" s="823"/>
      <c r="O22" s="835"/>
      <c r="P22" s="377"/>
      <c r="Q22" s="378"/>
    </row>
    <row r="23" spans="1:19" s="374" customFormat="1" ht="24" customHeight="1">
      <c r="A23" s="802"/>
      <c r="B23" s="805"/>
      <c r="C23" s="802"/>
      <c r="D23" s="829"/>
      <c r="E23" s="171" t="s">
        <v>365</v>
      </c>
      <c r="F23" s="172">
        <f>3398.15+365.86</f>
        <v>3764.01</v>
      </c>
      <c r="G23" s="823"/>
      <c r="H23" s="371">
        <f>IF((F23/G$20)-1&gt;30%,"EXCLUÍDO",IF((F23/G$20)-1&lt;-30%,"EXCLUÍDO",F23))</f>
        <v>3764.01</v>
      </c>
      <c r="I23" s="372">
        <f>IF(F23&lt;&gt;0,(F23/$G$20)-1,"")</f>
        <v>5.1831338566394658E-2</v>
      </c>
      <c r="J23" s="823"/>
      <c r="K23" s="826"/>
      <c r="L23" s="823"/>
      <c r="M23" s="841"/>
      <c r="N23" s="823"/>
      <c r="O23" s="835"/>
      <c r="P23" s="377"/>
      <c r="Q23" s="378"/>
    </row>
    <row r="24" spans="1:19" s="374" customFormat="1" ht="24" customHeight="1">
      <c r="A24" s="803"/>
      <c r="B24" s="806"/>
      <c r="C24" s="803"/>
      <c r="D24" s="830"/>
      <c r="E24" s="171" t="s">
        <v>517</v>
      </c>
      <c r="F24" s="172">
        <f>3470.92+246.09</f>
        <v>3717.01</v>
      </c>
      <c r="G24" s="824"/>
      <c r="H24" s="371">
        <f>IF((F24/G$20)-1&gt;30%,"EXCLUÍDO",IF((F24/G$20)-1&lt;-30%,"EXCLUÍDO",F24))</f>
        <v>3717.01</v>
      </c>
      <c r="I24" s="372">
        <f>IF(F24&lt;&gt;0,(F24/$G$20)-1,"")</f>
        <v>3.8697453982501129E-2</v>
      </c>
      <c r="J24" s="824"/>
      <c r="K24" s="827"/>
      <c r="L24" s="824"/>
      <c r="M24" s="842"/>
      <c r="N24" s="824"/>
      <c r="O24" s="836"/>
      <c r="P24" s="377"/>
      <c r="Q24" s="378"/>
    </row>
    <row r="25" spans="1:19" s="374" customFormat="1" ht="24" customHeight="1">
      <c r="A25" s="801">
        <v>4</v>
      </c>
      <c r="B25" s="810" t="s">
        <v>518</v>
      </c>
      <c r="C25" s="813" t="s">
        <v>254</v>
      </c>
      <c r="D25" s="852">
        <v>8</v>
      </c>
      <c r="E25" s="171" t="s">
        <v>366</v>
      </c>
      <c r="F25" s="172">
        <v>418.85</v>
      </c>
      <c r="G25" s="816">
        <f>ROUNDUP(AVERAGE(F25:F29),2)</f>
        <v>538.1</v>
      </c>
      <c r="H25" s="375">
        <f>IF((F25/G$25)-1&gt;30%,"EXCLUÍDO",IF((F25/G$25)-1&lt;-30%,"EXCLUÍDO",F25))</f>
        <v>418.85</v>
      </c>
      <c r="I25" s="376">
        <f>IF(F25&lt;&gt;0,(F25/$G$25)-1,"")</f>
        <v>-0.22161308307006133</v>
      </c>
      <c r="J25" s="816">
        <f>AVERAGE(H25:H29)</f>
        <v>538.1</v>
      </c>
      <c r="K25" s="819">
        <f>MEDIAN(H25:H29)</f>
        <v>556.875</v>
      </c>
      <c r="L25" s="816">
        <f>STDEV(H25:H29)</f>
        <v>91.48312230497244</v>
      </c>
      <c r="M25" s="837">
        <f>L25/J25</f>
        <v>0.1700113776342175</v>
      </c>
      <c r="N25" s="816">
        <f>IF(M25&lt;25%,J25,K25)</f>
        <v>538.1</v>
      </c>
      <c r="O25" s="831">
        <f>N25*D25</f>
        <v>4304.8</v>
      </c>
      <c r="P25" s="373"/>
      <c r="Q25" s="373"/>
      <c r="R25" s="373"/>
      <c r="S25" s="373"/>
    </row>
    <row r="26" spans="1:19" s="374" customFormat="1" ht="24" customHeight="1">
      <c r="A26" s="802"/>
      <c r="B26" s="811"/>
      <c r="C26" s="814"/>
      <c r="D26" s="853"/>
      <c r="E26" s="171" t="s">
        <v>519</v>
      </c>
      <c r="F26" s="172">
        <v>598.75</v>
      </c>
      <c r="G26" s="817"/>
      <c r="H26" s="375">
        <f>IF((F26/G$25)-1&gt;30%,"EXCLUÍDO",IF((F26/G$25)-1&lt;-30%,"EXCLUÍDO",F26))</f>
        <v>598.75</v>
      </c>
      <c r="I26" s="376">
        <f>IF(F26&lt;&gt;0,(F26/$G$25)-1,"")</f>
        <v>0.11271139193458457</v>
      </c>
      <c r="J26" s="817"/>
      <c r="K26" s="820"/>
      <c r="L26" s="817"/>
      <c r="M26" s="838"/>
      <c r="N26" s="817"/>
      <c r="O26" s="832"/>
      <c r="P26" s="373"/>
      <c r="Q26" s="373"/>
      <c r="R26" s="373"/>
      <c r="S26" s="373"/>
    </row>
    <row r="27" spans="1:19" s="374" customFormat="1" ht="24" customHeight="1">
      <c r="A27" s="802"/>
      <c r="B27" s="811"/>
      <c r="C27" s="814"/>
      <c r="D27" s="853"/>
      <c r="E27" s="171" t="s">
        <v>520</v>
      </c>
      <c r="F27" s="172">
        <v>619.79999999999995</v>
      </c>
      <c r="G27" s="817"/>
      <c r="H27" s="375">
        <f>IF((F27/G$25)-1&gt;30%,"EXCLUÍDO",IF((F27/G$25)-1&lt;-30%,"EXCLUÍDO",F27))</f>
        <v>619.79999999999995</v>
      </c>
      <c r="I27" s="376">
        <f>IF(F27&lt;&gt;0,(F27/$G$25)-1,"")</f>
        <v>0.15183051477420539</v>
      </c>
      <c r="J27" s="817"/>
      <c r="K27" s="820"/>
      <c r="L27" s="817"/>
      <c r="M27" s="838"/>
      <c r="N27" s="817"/>
      <c r="O27" s="832"/>
      <c r="P27" s="373"/>
      <c r="Q27" s="373"/>
      <c r="R27" s="373"/>
      <c r="S27" s="373"/>
    </row>
    <row r="28" spans="1:19" s="374" customFormat="1" ht="24" customHeight="1">
      <c r="A28" s="802"/>
      <c r="B28" s="811"/>
      <c r="C28" s="814"/>
      <c r="D28" s="853"/>
      <c r="E28" s="171" t="s">
        <v>521</v>
      </c>
      <c r="F28" s="172">
        <v>515</v>
      </c>
      <c r="G28" s="817"/>
      <c r="H28" s="375">
        <f>IF((F28/G$25)-1&gt;30%,"EXCLUÍDO",IF((F28/G$25)-1&lt;-30%,"EXCLUÍDO",F28))</f>
        <v>515</v>
      </c>
      <c r="I28" s="376">
        <f>IF(F28&lt;&gt;0,(F28/$G$25)-1,"")</f>
        <v>-4.2928823638728852E-2</v>
      </c>
      <c r="J28" s="817"/>
      <c r="K28" s="820"/>
      <c r="L28" s="817"/>
      <c r="M28" s="838"/>
      <c r="N28" s="817"/>
      <c r="O28" s="832"/>
      <c r="P28" s="373"/>
      <c r="Q28" s="373"/>
      <c r="R28" s="373"/>
      <c r="S28" s="373"/>
    </row>
    <row r="29" spans="1:19" s="374" customFormat="1" ht="24" customHeight="1">
      <c r="A29" s="803"/>
      <c r="B29" s="812"/>
      <c r="C29" s="815"/>
      <c r="D29" s="854"/>
      <c r="E29" s="171"/>
      <c r="F29" s="172"/>
      <c r="G29" s="818"/>
      <c r="H29" s="375" t="str">
        <f>IF((F29/G$25)-1&gt;30%,"EXCLUÍDO",IF((F29/G$25)-1&lt;-30%,"EXCLUÍDO",F29))</f>
        <v>EXCLUÍDO</v>
      </c>
      <c r="I29" s="376" t="str">
        <f>IF(F29&lt;&gt;0,(F29/$G$25)-1,"")</f>
        <v/>
      </c>
      <c r="J29" s="818"/>
      <c r="K29" s="821"/>
      <c r="L29" s="818"/>
      <c r="M29" s="839"/>
      <c r="N29" s="818"/>
      <c r="O29" s="833"/>
      <c r="P29" s="373"/>
      <c r="Q29" s="373"/>
      <c r="R29" s="373"/>
      <c r="S29" s="373"/>
    </row>
    <row r="30" spans="1:19" s="374" customFormat="1" ht="24" customHeight="1">
      <c r="A30" s="801">
        <v>5</v>
      </c>
      <c r="B30" s="804" t="s">
        <v>720</v>
      </c>
      <c r="C30" s="801" t="s">
        <v>254</v>
      </c>
      <c r="D30" s="828">
        <v>6</v>
      </c>
      <c r="E30" s="171" t="s">
        <v>525</v>
      </c>
      <c r="F30" s="172">
        <f>64.5+15.4</f>
        <v>79.900000000000006</v>
      </c>
      <c r="G30" s="822">
        <f>ROUNDUP(AVERAGE(F30:F34),2)</f>
        <v>93.93</v>
      </c>
      <c r="H30" s="371">
        <f>IF((F30/G$30)-1&gt;30%,"EXCLUÍDO",IF((F30/G$30)-1&lt;-30%,"EXCLUÍDO",F30))</f>
        <v>79.900000000000006</v>
      </c>
      <c r="I30" s="372">
        <f>IF(F30&lt;&gt;0,(F30/$G$30)-1,"")</f>
        <v>-0.14936654955818163</v>
      </c>
      <c r="J30" s="822">
        <f>AVERAGE(H30:H34)</f>
        <v>93.922499999999985</v>
      </c>
      <c r="K30" s="825">
        <f>MEDIAN(H30:H34)</f>
        <v>93.9</v>
      </c>
      <c r="L30" s="822">
        <f>STDEV(H30:H34)</f>
        <v>24.14322593054499</v>
      </c>
      <c r="M30" s="840">
        <f>L30/J30</f>
        <v>0.25705476249615367</v>
      </c>
      <c r="N30" s="822">
        <f>IF(M30&lt;25%,J30,K30)</f>
        <v>93.9</v>
      </c>
      <c r="O30" s="882">
        <f>N30*D30</f>
        <v>563.40000000000009</v>
      </c>
      <c r="P30" s="377"/>
      <c r="Q30" s="378"/>
    </row>
    <row r="31" spans="1:19" s="374" customFormat="1" ht="24" customHeight="1">
      <c r="A31" s="802"/>
      <c r="B31" s="805"/>
      <c r="C31" s="802"/>
      <c r="D31" s="829"/>
      <c r="E31" s="171" t="s">
        <v>526</v>
      </c>
      <c r="F31" s="172">
        <v>119.99</v>
      </c>
      <c r="G31" s="823"/>
      <c r="H31" s="371">
        <f>IF((F31/G$30)-1&gt;30%,"EXCLUÍDO",IF((F31/G$30)-1&lt;-30%,"EXCLUÍDO",F31))</f>
        <v>119.99</v>
      </c>
      <c r="I31" s="372">
        <f>IF(F31&lt;&gt;0,(F31/$G$30)-1,"")</f>
        <v>0.2774406472905353</v>
      </c>
      <c r="J31" s="823"/>
      <c r="K31" s="826"/>
      <c r="L31" s="823"/>
      <c r="M31" s="841"/>
      <c r="N31" s="823"/>
      <c r="O31" s="882"/>
      <c r="P31" s="377"/>
      <c r="Q31" s="378"/>
    </row>
    <row r="32" spans="1:19" s="374" customFormat="1" ht="24" customHeight="1">
      <c r="A32" s="802"/>
      <c r="B32" s="805"/>
      <c r="C32" s="802"/>
      <c r="D32" s="829"/>
      <c r="E32" s="171" t="s">
        <v>527</v>
      </c>
      <c r="F32" s="172">
        <v>107.9</v>
      </c>
      <c r="G32" s="823"/>
      <c r="H32" s="371">
        <f>IF((F32/G$30)-1&gt;30%,"EXCLUÍDO",IF((F32/G$30)-1&lt;-30%,"EXCLUÍDO",F32))</f>
        <v>107.9</v>
      </c>
      <c r="I32" s="372">
        <f>IF(F32&lt;&gt;0,(F32/$G$30)-1,"")</f>
        <v>0.1487277760034067</v>
      </c>
      <c r="J32" s="823"/>
      <c r="K32" s="826"/>
      <c r="L32" s="823"/>
      <c r="M32" s="841"/>
      <c r="N32" s="823"/>
      <c r="O32" s="882"/>
      <c r="P32" s="377"/>
      <c r="Q32" s="378"/>
    </row>
    <row r="33" spans="1:19" s="374" customFormat="1" ht="24" customHeight="1">
      <c r="A33" s="802"/>
      <c r="B33" s="805"/>
      <c r="C33" s="802"/>
      <c r="D33" s="829"/>
      <c r="E33" s="171" t="s">
        <v>528</v>
      </c>
      <c r="F33" s="172">
        <v>67.900000000000006</v>
      </c>
      <c r="G33" s="823"/>
      <c r="H33" s="371">
        <f>IF((F33/G$30)-1&gt;30%,"EXCLUÍDO",IF((F33/G$30)-1&lt;-30%,"EXCLUÍDO",F33))</f>
        <v>67.900000000000006</v>
      </c>
      <c r="I33" s="372">
        <f>IF(F33&lt;&gt;0,(F33/$G$30)-1,"")</f>
        <v>-0.27712126051314812</v>
      </c>
      <c r="J33" s="823"/>
      <c r="K33" s="826"/>
      <c r="L33" s="823"/>
      <c r="M33" s="841"/>
      <c r="N33" s="823"/>
      <c r="O33" s="882"/>
      <c r="P33" s="377"/>
      <c r="Q33" s="378"/>
    </row>
    <row r="34" spans="1:19" s="374" customFormat="1" ht="24" customHeight="1">
      <c r="A34" s="803"/>
      <c r="B34" s="806"/>
      <c r="C34" s="803"/>
      <c r="D34" s="830"/>
      <c r="E34" s="171"/>
      <c r="F34" s="172"/>
      <c r="G34" s="824"/>
      <c r="H34" s="371" t="str">
        <f>IF((F34/G$30)-1&gt;30%,"EXCLUÍDO",IF((F34/G$30)-1&lt;-30%,"EXCLUÍDO",F34))</f>
        <v>EXCLUÍDO</v>
      </c>
      <c r="I34" s="372" t="str">
        <f>IF(F34&lt;&gt;0,(F34/$G$30)-1,"")</f>
        <v/>
      </c>
      <c r="J34" s="824"/>
      <c r="K34" s="827"/>
      <c r="L34" s="824"/>
      <c r="M34" s="842"/>
      <c r="N34" s="824"/>
      <c r="O34" s="882"/>
      <c r="P34" s="377"/>
      <c r="Q34" s="378"/>
    </row>
    <row r="35" spans="1:19" s="374" customFormat="1" ht="24" customHeight="1">
      <c r="A35" s="801">
        <v>6</v>
      </c>
      <c r="B35" s="810" t="s">
        <v>524</v>
      </c>
      <c r="C35" s="813" t="s">
        <v>254</v>
      </c>
      <c r="D35" s="852">
        <v>6</v>
      </c>
      <c r="E35" s="171" t="s">
        <v>522</v>
      </c>
      <c r="F35" s="172">
        <v>1428.9</v>
      </c>
      <c r="G35" s="816">
        <f>ROUNDUP(AVERAGE(F35:F39),2)</f>
        <v>1351.84</v>
      </c>
      <c r="H35" s="375">
        <f>IF((F35/G$35)-1&gt;30%,"EXCLUÍDO",IF((F35/G$35)-1&lt;-30%,"EXCLUÍDO",F35))</f>
        <v>1428.9</v>
      </c>
      <c r="I35" s="376">
        <f>IF(F35&lt;&gt;0,(F35/$G$35)-1,"")</f>
        <v>5.7003787430465191E-2</v>
      </c>
      <c r="J35" s="816">
        <f>AVERAGE(H35:H39)</f>
        <v>1351.8366666666668</v>
      </c>
      <c r="K35" s="819">
        <f>MEDIAN(H35:H39)</f>
        <v>1406.02</v>
      </c>
      <c r="L35" s="816">
        <f>STDEV(H35:H39)</f>
        <v>114.23720599407761</v>
      </c>
      <c r="M35" s="837">
        <f>L35/J35</f>
        <v>8.4505183807272774E-2</v>
      </c>
      <c r="N35" s="816">
        <f>IF(M35&lt;25%,J35,K35)</f>
        <v>1351.8366666666668</v>
      </c>
      <c r="O35" s="831">
        <f>N35*D35</f>
        <v>8111.02</v>
      </c>
      <c r="P35" s="373"/>
      <c r="Q35" s="373"/>
      <c r="R35" s="373"/>
      <c r="S35" s="373"/>
    </row>
    <row r="36" spans="1:19" s="374" customFormat="1" ht="24" customHeight="1">
      <c r="A36" s="802"/>
      <c r="B36" s="811"/>
      <c r="C36" s="814"/>
      <c r="D36" s="853"/>
      <c r="E36" s="171" t="s">
        <v>356</v>
      </c>
      <c r="F36" s="172">
        <f>1148.9+71.69</f>
        <v>1220.5900000000001</v>
      </c>
      <c r="G36" s="817"/>
      <c r="H36" s="375">
        <f t="shared" ref="H36:H39" si="0">IF((F36/G$35)-1&gt;30%,"EXCLUÍDO",IF((F36/G$35)-1&lt;-30%,"EXCLUÍDO",F36))</f>
        <v>1220.5900000000001</v>
      </c>
      <c r="I36" s="376">
        <f>IF(F36&lt;&gt;0,(F36/$G$35)-1,"")</f>
        <v>-9.7089892294946023E-2</v>
      </c>
      <c r="J36" s="817"/>
      <c r="K36" s="820"/>
      <c r="L36" s="817"/>
      <c r="M36" s="838"/>
      <c r="N36" s="817"/>
      <c r="O36" s="832"/>
      <c r="P36" s="373"/>
      <c r="Q36" s="373"/>
      <c r="R36" s="373"/>
      <c r="S36" s="373"/>
    </row>
    <row r="37" spans="1:19" s="374" customFormat="1" ht="24" customHeight="1">
      <c r="A37" s="802"/>
      <c r="B37" s="811"/>
      <c r="C37" s="814"/>
      <c r="D37" s="853"/>
      <c r="E37" s="171" t="s">
        <v>523</v>
      </c>
      <c r="F37" s="172">
        <f>1380.99+25.03</f>
        <v>1406.02</v>
      </c>
      <c r="G37" s="817"/>
      <c r="H37" s="375">
        <f t="shared" si="0"/>
        <v>1406.02</v>
      </c>
      <c r="I37" s="376">
        <f>IF(F37&lt;&gt;0,(F37/$G$35)-1,"")</f>
        <v>4.0078707539353831E-2</v>
      </c>
      <c r="J37" s="817"/>
      <c r="K37" s="820"/>
      <c r="L37" s="817"/>
      <c r="M37" s="838"/>
      <c r="N37" s="817"/>
      <c r="O37" s="832"/>
      <c r="P37" s="373"/>
      <c r="Q37" s="373"/>
      <c r="R37" s="373"/>
      <c r="S37" s="373"/>
    </row>
    <row r="38" spans="1:19" s="374" customFormat="1" ht="24" customHeight="1">
      <c r="A38" s="802"/>
      <c r="B38" s="811"/>
      <c r="C38" s="814"/>
      <c r="D38" s="853"/>
      <c r="E38" s="171"/>
      <c r="F38" s="172"/>
      <c r="G38" s="817"/>
      <c r="H38" s="375" t="str">
        <f t="shared" si="0"/>
        <v>EXCLUÍDO</v>
      </c>
      <c r="I38" s="376" t="str">
        <f>IF(F38&lt;&gt;0,(F38/$G$35)-1,"")</f>
        <v/>
      </c>
      <c r="J38" s="817"/>
      <c r="K38" s="820"/>
      <c r="L38" s="817"/>
      <c r="M38" s="838"/>
      <c r="N38" s="817"/>
      <c r="O38" s="832"/>
      <c r="P38" s="373"/>
      <c r="Q38" s="373"/>
      <c r="R38" s="373"/>
      <c r="S38" s="373"/>
    </row>
    <row r="39" spans="1:19" s="374" customFormat="1" ht="24" customHeight="1">
      <c r="A39" s="803"/>
      <c r="B39" s="812"/>
      <c r="C39" s="815"/>
      <c r="D39" s="854"/>
      <c r="E39" s="171"/>
      <c r="F39" s="172"/>
      <c r="G39" s="818"/>
      <c r="H39" s="375" t="str">
        <f t="shared" si="0"/>
        <v>EXCLUÍDO</v>
      </c>
      <c r="I39" s="376" t="str">
        <f>IF(F39&lt;&gt;0,(F39/$G$35)-1,"")</f>
        <v/>
      </c>
      <c r="J39" s="818"/>
      <c r="K39" s="821"/>
      <c r="L39" s="818"/>
      <c r="M39" s="839"/>
      <c r="N39" s="818"/>
      <c r="O39" s="833"/>
      <c r="P39" s="373"/>
      <c r="Q39" s="373"/>
      <c r="R39" s="373"/>
      <c r="S39" s="373"/>
    </row>
    <row r="40" spans="1:19" s="374" customFormat="1" ht="24" customHeight="1">
      <c r="A40" s="801">
        <v>7</v>
      </c>
      <c r="B40" s="804" t="s">
        <v>719</v>
      </c>
      <c r="C40" s="801" t="s">
        <v>254</v>
      </c>
      <c r="D40" s="843">
        <v>2</v>
      </c>
      <c r="E40" s="171" t="s">
        <v>529</v>
      </c>
      <c r="F40" s="172">
        <f>999.9+59.24</f>
        <v>1059.1399999999999</v>
      </c>
      <c r="G40" s="822">
        <f>ROUNDUP(AVERAGE(F40:F44),2)</f>
        <v>995.93</v>
      </c>
      <c r="H40" s="371">
        <f>IF((F40/G$40)-1&gt;30%,"EXCLUÍDO",IF((F40/G$40)-1&lt;-30%,"EXCLUÍDO",F40))</f>
        <v>1059.1399999999999</v>
      </c>
      <c r="I40" s="379">
        <f>IF(F40&lt;&gt;0,(F40/$G$40)-1,"")</f>
        <v>6.3468316046308315E-2</v>
      </c>
      <c r="J40" s="879">
        <f>AVERAGE(H40:H44)</f>
        <v>995.92333333333329</v>
      </c>
      <c r="K40" s="825">
        <f>MEDIAN(H40:H44)</f>
        <v>1050.73</v>
      </c>
      <c r="L40" s="879">
        <f>STDEV(H40:H44)</f>
        <v>102.29766582543968</v>
      </c>
      <c r="M40" s="855">
        <f>L40/J40</f>
        <v>0.10271640637543018</v>
      </c>
      <c r="N40" s="822">
        <f>IF(M40&lt;25%,J40,K40)</f>
        <v>995.92333333333329</v>
      </c>
      <c r="O40" s="876">
        <f>N40*D40</f>
        <v>1991.8466666666666</v>
      </c>
      <c r="P40" s="377"/>
      <c r="Q40" s="378"/>
    </row>
    <row r="41" spans="1:19" s="374" customFormat="1" ht="24" customHeight="1">
      <c r="A41" s="802"/>
      <c r="B41" s="805"/>
      <c r="C41" s="802"/>
      <c r="D41" s="844"/>
      <c r="E41" s="171" t="s">
        <v>530</v>
      </c>
      <c r="F41" s="172">
        <v>877.9</v>
      </c>
      <c r="G41" s="823"/>
      <c r="H41" s="371">
        <f>IF((F41/G$40)-1&gt;30%,"EXCLUÍDO",IF((F41/G$40)-1&lt;-30%,"EXCLUÍDO",F41))</f>
        <v>877.9</v>
      </c>
      <c r="I41" s="379">
        <f>IF(F41&lt;&gt;0,(F41/$G$40)-1,"")</f>
        <v>-0.11851234524514775</v>
      </c>
      <c r="J41" s="880"/>
      <c r="K41" s="826"/>
      <c r="L41" s="880"/>
      <c r="M41" s="856"/>
      <c r="N41" s="823"/>
      <c r="O41" s="877"/>
      <c r="P41" s="377"/>
      <c r="Q41" s="378"/>
    </row>
    <row r="42" spans="1:19" s="374" customFormat="1" ht="24" customHeight="1">
      <c r="A42" s="802"/>
      <c r="B42" s="805"/>
      <c r="C42" s="802"/>
      <c r="D42" s="844"/>
      <c r="E42" s="171" t="s">
        <v>531</v>
      </c>
      <c r="F42" s="172">
        <v>1050.73</v>
      </c>
      <c r="G42" s="823"/>
      <c r="H42" s="371">
        <f>IF((F42/G$40)-1&gt;30%,"EXCLUÍDO",IF((F42/G$40)-1&lt;-30%,"EXCLUÍDO",F42))</f>
        <v>1050.73</v>
      </c>
      <c r="I42" s="379">
        <f>IF(F42&lt;&gt;0,(F42/$G$40)-1,"")</f>
        <v>5.5023947466187551E-2</v>
      </c>
      <c r="J42" s="880"/>
      <c r="K42" s="826"/>
      <c r="L42" s="880"/>
      <c r="M42" s="856"/>
      <c r="N42" s="823"/>
      <c r="O42" s="877"/>
      <c r="P42" s="377"/>
      <c r="Q42" s="378"/>
    </row>
    <row r="43" spans="1:19" s="374" customFormat="1" ht="24" customHeight="1">
      <c r="A43" s="802"/>
      <c r="B43" s="805"/>
      <c r="C43" s="802"/>
      <c r="D43" s="844"/>
      <c r="E43" s="171"/>
      <c r="F43" s="172"/>
      <c r="G43" s="823"/>
      <c r="H43" s="371" t="str">
        <f>IF((F43/G$40)-1&gt;30%,"EXCLUÍDO",IF((F43/G$40)-1&lt;-30%,"EXCLUÍDO",F43))</f>
        <v>EXCLUÍDO</v>
      </c>
      <c r="I43" s="379" t="str">
        <f>IF(F43&lt;&gt;0,(F43/$G$40)-1,"")</f>
        <v/>
      </c>
      <c r="J43" s="880"/>
      <c r="K43" s="826"/>
      <c r="L43" s="880"/>
      <c r="M43" s="856"/>
      <c r="N43" s="823"/>
      <c r="O43" s="877"/>
      <c r="P43" s="377"/>
      <c r="Q43" s="378"/>
    </row>
    <row r="44" spans="1:19" s="374" customFormat="1" ht="24" customHeight="1">
      <c r="A44" s="803"/>
      <c r="B44" s="806"/>
      <c r="C44" s="803"/>
      <c r="D44" s="845"/>
      <c r="E44" s="171"/>
      <c r="F44" s="172"/>
      <c r="G44" s="824"/>
      <c r="H44" s="371" t="str">
        <f>IF((F44/G$40)-1&gt;30%,"EXCLUÍDO",IF((F44/G$40)-1&lt;-30%,"EXCLUÍDO",F44))</f>
        <v>EXCLUÍDO</v>
      </c>
      <c r="I44" s="379" t="str">
        <f>IF(F44&lt;&gt;0,(F44/$G$40)-1,"")</f>
        <v/>
      </c>
      <c r="J44" s="881"/>
      <c r="K44" s="827"/>
      <c r="L44" s="881"/>
      <c r="M44" s="857"/>
      <c r="N44" s="824"/>
      <c r="O44" s="878"/>
      <c r="P44" s="377"/>
      <c r="Q44" s="378"/>
    </row>
    <row r="45" spans="1:19" s="374" customFormat="1" ht="24" customHeight="1">
      <c r="A45" s="801">
        <v>8</v>
      </c>
      <c r="B45" s="810" t="s">
        <v>721</v>
      </c>
      <c r="C45" s="813" t="s">
        <v>254</v>
      </c>
      <c r="D45" s="807">
        <v>8</v>
      </c>
      <c r="E45" s="171" t="s">
        <v>532</v>
      </c>
      <c r="F45" s="172">
        <v>411.88</v>
      </c>
      <c r="G45" s="816">
        <f>ROUNDUP(AVERAGE(F45:F49),2)</f>
        <v>415.5</v>
      </c>
      <c r="H45" s="375">
        <f>IF((F45/G$45)-1&gt;30%,"EXCLUÍDO",IF((F45/G$45)-1&lt;-30%,"EXCLUÍDO",F45))</f>
        <v>411.88</v>
      </c>
      <c r="I45" s="376">
        <f>IF(F45&lt;&gt;0,(F45/$G$45)-1,"")</f>
        <v>-8.7123947051744866E-3</v>
      </c>
      <c r="J45" s="816">
        <f>AVERAGE(H45:H49)</f>
        <v>415.5</v>
      </c>
      <c r="K45" s="819">
        <f>MEDIAN(H45:H49)</f>
        <v>411.88</v>
      </c>
      <c r="L45" s="816">
        <f>STDEV(H45:H49)</f>
        <v>24.888238185938352</v>
      </c>
      <c r="M45" s="837">
        <f>L45/J45</f>
        <v>5.9899490218864863E-2</v>
      </c>
      <c r="N45" s="816">
        <f>IF(M45&lt;25%,J45,K45)</f>
        <v>415.5</v>
      </c>
      <c r="O45" s="831">
        <f>N45*D45</f>
        <v>3324</v>
      </c>
      <c r="P45" s="373"/>
      <c r="Q45" s="373"/>
      <c r="R45" s="373"/>
      <c r="S45" s="373"/>
    </row>
    <row r="46" spans="1:19" s="374" customFormat="1" ht="24" customHeight="1">
      <c r="A46" s="802"/>
      <c r="B46" s="811"/>
      <c r="C46" s="814"/>
      <c r="D46" s="808"/>
      <c r="E46" s="171" t="s">
        <v>356</v>
      </c>
      <c r="F46" s="172">
        <f>283.9+108.72</f>
        <v>392.62</v>
      </c>
      <c r="G46" s="817"/>
      <c r="H46" s="375">
        <f>IF((F46/G$45)-1&gt;30%,"EXCLUÍDO",IF((F46/G$45)-1&lt;-30%,"EXCLUÍDO",F46))</f>
        <v>392.62</v>
      </c>
      <c r="I46" s="376">
        <f>IF(F46&lt;&gt;0,(F46/$G$45)-1,"")</f>
        <v>-5.5066185318892846E-2</v>
      </c>
      <c r="J46" s="817"/>
      <c r="K46" s="820"/>
      <c r="L46" s="817"/>
      <c r="M46" s="838"/>
      <c r="N46" s="817"/>
      <c r="O46" s="832"/>
      <c r="P46" s="373"/>
      <c r="Q46" s="373"/>
      <c r="R46" s="373"/>
      <c r="S46" s="373"/>
    </row>
    <row r="47" spans="1:19" s="374" customFormat="1" ht="24" customHeight="1">
      <c r="A47" s="802"/>
      <c r="B47" s="811"/>
      <c r="C47" s="814"/>
      <c r="D47" s="808"/>
      <c r="E47" s="171" t="s">
        <v>364</v>
      </c>
      <c r="F47" s="172">
        <v>442</v>
      </c>
      <c r="G47" s="817"/>
      <c r="H47" s="375">
        <f>IF((F47/G$45)-1&gt;30%,"EXCLUÍDO",IF((F47/G$45)-1&lt;-30%,"EXCLUÍDO",F47))</f>
        <v>442</v>
      </c>
      <c r="I47" s="376">
        <f>IF(F47&lt;&gt;0,(F47/$G$45)-1,"")</f>
        <v>6.3778580024067333E-2</v>
      </c>
      <c r="J47" s="817"/>
      <c r="K47" s="820"/>
      <c r="L47" s="817"/>
      <c r="M47" s="838"/>
      <c r="N47" s="817"/>
      <c r="O47" s="832"/>
      <c r="P47" s="373"/>
      <c r="Q47" s="373"/>
      <c r="R47" s="373"/>
      <c r="S47" s="373"/>
    </row>
    <row r="48" spans="1:19" s="374" customFormat="1" ht="24" customHeight="1">
      <c r="A48" s="802"/>
      <c r="B48" s="811"/>
      <c r="C48" s="814"/>
      <c r="D48" s="808"/>
      <c r="E48" s="171"/>
      <c r="F48" s="172"/>
      <c r="G48" s="817"/>
      <c r="H48" s="375" t="str">
        <f>IF((F48/G$45)-1&gt;30%,"EXCLUÍDO",IF((F48/G$45)-1&lt;-30%,"EXCLUÍDO",F48))</f>
        <v>EXCLUÍDO</v>
      </c>
      <c r="I48" s="376" t="str">
        <f>IF(F48&lt;&gt;0,(F48/$G$45)-1,"")</f>
        <v/>
      </c>
      <c r="J48" s="817"/>
      <c r="K48" s="820"/>
      <c r="L48" s="817"/>
      <c r="M48" s="838"/>
      <c r="N48" s="817"/>
      <c r="O48" s="832"/>
      <c r="P48" s="373"/>
      <c r="Q48" s="373"/>
      <c r="R48" s="373"/>
      <c r="S48" s="373"/>
    </row>
    <row r="49" spans="1:19" s="374" customFormat="1" ht="24" customHeight="1">
      <c r="A49" s="803"/>
      <c r="B49" s="812"/>
      <c r="C49" s="815"/>
      <c r="D49" s="809"/>
      <c r="E49" s="171"/>
      <c r="F49" s="172"/>
      <c r="G49" s="818"/>
      <c r="H49" s="375" t="str">
        <f>IF((F49/G$45)-1&gt;30%,"EXCLUÍDO",IF((F49/G$45)-1&lt;-30%,"EXCLUÍDO",F49))</f>
        <v>EXCLUÍDO</v>
      </c>
      <c r="I49" s="376" t="str">
        <f>IF(F49&lt;&gt;0,(F49/$G$45)-1,"")</f>
        <v/>
      </c>
      <c r="J49" s="818"/>
      <c r="K49" s="821"/>
      <c r="L49" s="818"/>
      <c r="M49" s="839"/>
      <c r="N49" s="818"/>
      <c r="O49" s="833"/>
      <c r="P49" s="373"/>
      <c r="Q49" s="373"/>
      <c r="R49" s="373"/>
      <c r="S49" s="373"/>
    </row>
    <row r="50" spans="1:19" s="374" customFormat="1" ht="24" customHeight="1">
      <c r="A50" s="801">
        <v>9</v>
      </c>
      <c r="B50" s="804" t="s">
        <v>534</v>
      </c>
      <c r="C50" s="801" t="s">
        <v>254</v>
      </c>
      <c r="D50" s="828">
        <v>17</v>
      </c>
      <c r="E50" s="171" t="s">
        <v>533</v>
      </c>
      <c r="F50" s="172">
        <v>971.1</v>
      </c>
      <c r="G50" s="822">
        <f>ROUNDUP(AVERAGE(F50:F54),2)</f>
        <v>915.96</v>
      </c>
      <c r="H50" s="371">
        <f>IF((F50/G$50)-1&gt;30%,"EXCLUÍDO",IF((F50/G$50)-1&lt;-30%,"EXCLUÍDO",F50))</f>
        <v>971.1</v>
      </c>
      <c r="I50" s="379">
        <f>IF(F50&lt;&gt;0,(F50/$G$50)-1,"")</f>
        <v>6.0199135333420584E-2</v>
      </c>
      <c r="J50" s="879">
        <f>AVERAGE(H50:H54)</f>
        <v>915.96</v>
      </c>
      <c r="K50" s="825">
        <f>MEDIAN(H50:H54)</f>
        <v>927.24</v>
      </c>
      <c r="L50" s="879">
        <f>STDEV(H50:H54)</f>
        <v>61.560029239759167</v>
      </c>
      <c r="M50" s="855">
        <f>L50/J50</f>
        <v>6.7208206952005731E-2</v>
      </c>
      <c r="N50" s="822">
        <f>IF(M50&lt;25%,J50,K50)</f>
        <v>915.96</v>
      </c>
      <c r="O50" s="876">
        <f>N50*D50</f>
        <v>15571.32</v>
      </c>
      <c r="P50" s="377"/>
      <c r="Q50" s="378"/>
    </row>
    <row r="51" spans="1:19" s="374" customFormat="1" ht="24" customHeight="1">
      <c r="A51" s="802"/>
      <c r="B51" s="805"/>
      <c r="C51" s="802"/>
      <c r="D51" s="829"/>
      <c r="E51" s="171" t="s">
        <v>535</v>
      </c>
      <c r="F51" s="172">
        <v>849.54</v>
      </c>
      <c r="G51" s="823"/>
      <c r="H51" s="371">
        <f>IF((F51/G$50)-1&gt;30%,"EXCLUÍDO",IF((F51/G$50)-1&lt;-30%,"EXCLUÍDO",F51))</f>
        <v>849.54</v>
      </c>
      <c r="I51" s="379">
        <f>IF(F51&lt;&gt;0,(F51/$G$50)-1,"")</f>
        <v>-7.2514083584436118E-2</v>
      </c>
      <c r="J51" s="880"/>
      <c r="K51" s="826"/>
      <c r="L51" s="880"/>
      <c r="M51" s="856"/>
      <c r="N51" s="823"/>
      <c r="O51" s="877"/>
      <c r="P51" s="377"/>
      <c r="Q51" s="378"/>
    </row>
    <row r="52" spans="1:19" s="374" customFormat="1" ht="24" customHeight="1">
      <c r="A52" s="802"/>
      <c r="B52" s="805"/>
      <c r="C52" s="802"/>
      <c r="D52" s="829"/>
      <c r="E52" s="171" t="s">
        <v>536</v>
      </c>
      <c r="F52" s="172">
        <f>755.43+171.81</f>
        <v>927.24</v>
      </c>
      <c r="G52" s="823"/>
      <c r="H52" s="371">
        <f>IF((F52/G$50)-1&gt;30%,"EXCLUÍDO",IF((F52/G$50)-1&lt;-30%,"EXCLUÍDO",F52))</f>
        <v>927.24</v>
      </c>
      <c r="I52" s="379">
        <f>IF(F52&lt;&gt;0,(F52/$G$50)-1,"")</f>
        <v>1.2314948251015201E-2</v>
      </c>
      <c r="J52" s="880"/>
      <c r="K52" s="826"/>
      <c r="L52" s="880"/>
      <c r="M52" s="856"/>
      <c r="N52" s="823"/>
      <c r="O52" s="877"/>
      <c r="P52" s="377"/>
      <c r="Q52" s="378"/>
    </row>
    <row r="53" spans="1:19" s="374" customFormat="1" ht="24" customHeight="1">
      <c r="A53" s="802"/>
      <c r="B53" s="805"/>
      <c r="C53" s="802"/>
      <c r="D53" s="829"/>
      <c r="E53" s="171"/>
      <c r="F53" s="172"/>
      <c r="G53" s="823"/>
      <c r="H53" s="371" t="str">
        <f>IF((F53/G$50)-1&gt;30%,"EXCLUÍDO",IF((F53/G$50)-1&lt;-30%,"EXCLUÍDO",F53))</f>
        <v>EXCLUÍDO</v>
      </c>
      <c r="I53" s="379" t="str">
        <f>IF(F53&lt;&gt;0,(F53/$G$50)-1,"")</f>
        <v/>
      </c>
      <c r="J53" s="880"/>
      <c r="K53" s="826"/>
      <c r="L53" s="880"/>
      <c r="M53" s="856"/>
      <c r="N53" s="823"/>
      <c r="O53" s="877"/>
      <c r="P53" s="377"/>
      <c r="Q53" s="378"/>
    </row>
    <row r="54" spans="1:19" s="374" customFormat="1" ht="24" customHeight="1">
      <c r="A54" s="803"/>
      <c r="B54" s="806"/>
      <c r="C54" s="803"/>
      <c r="D54" s="830"/>
      <c r="E54" s="171"/>
      <c r="F54" s="172"/>
      <c r="G54" s="824"/>
      <c r="H54" s="371" t="str">
        <f>IF((F54/G$50)-1&gt;30%,"EXCLUÍDO",IF((F54/G$50)-1&lt;-30%,"EXCLUÍDO",F54))</f>
        <v>EXCLUÍDO</v>
      </c>
      <c r="I54" s="379" t="str">
        <f>IF(F54&lt;&gt;0,(F54/$G$50)-1,"")</f>
        <v/>
      </c>
      <c r="J54" s="881"/>
      <c r="K54" s="827"/>
      <c r="L54" s="881"/>
      <c r="M54" s="857"/>
      <c r="N54" s="824"/>
      <c r="O54" s="878"/>
      <c r="P54" s="377"/>
      <c r="Q54" s="378"/>
    </row>
    <row r="55" spans="1:19" s="374" customFormat="1" ht="24" customHeight="1">
      <c r="A55" s="801">
        <v>10</v>
      </c>
      <c r="B55" s="810" t="s">
        <v>537</v>
      </c>
      <c r="C55" s="813" t="s">
        <v>254</v>
      </c>
      <c r="D55" s="852">
        <v>3</v>
      </c>
      <c r="E55" s="171" t="s">
        <v>513</v>
      </c>
      <c r="F55" s="172">
        <f>520+108.66</f>
        <v>628.66</v>
      </c>
      <c r="G55" s="816">
        <f>ROUNDUP(AVERAGE(F55:F59),2)</f>
        <v>584.30999999999995</v>
      </c>
      <c r="H55" s="375">
        <f>IF((F55/G$55)-1&gt;30%,"EXCLUÍDO",IF((F55/G$55)-1&lt;-30%,"EXCLUÍDO",F55))</f>
        <v>628.66</v>
      </c>
      <c r="I55" s="376">
        <f>IF(F55&lt;&gt;0,(F55/$G$55)-1,"")</f>
        <v>7.5901490647088066E-2</v>
      </c>
      <c r="J55" s="816">
        <f>AVERAGE(H55:H59)</f>
        <v>584.30400000000009</v>
      </c>
      <c r="K55" s="819">
        <f>MEDIAN(H55:H59)</f>
        <v>628.66</v>
      </c>
      <c r="L55" s="816">
        <f>STDEV(H55:H59)</f>
        <v>88.834771795732451</v>
      </c>
      <c r="M55" s="837">
        <f>L55/J55</f>
        <v>0.15203519365900703</v>
      </c>
      <c r="N55" s="816">
        <f>IF(M55&lt;25%,J55,K55)</f>
        <v>584.30400000000009</v>
      </c>
      <c r="O55" s="831">
        <f>N55*D55</f>
        <v>1752.9120000000003</v>
      </c>
      <c r="P55" s="377"/>
      <c r="Q55" s="378"/>
    </row>
    <row r="56" spans="1:19" s="374" customFormat="1" ht="24" customHeight="1">
      <c r="A56" s="802"/>
      <c r="B56" s="811"/>
      <c r="C56" s="814"/>
      <c r="D56" s="853"/>
      <c r="E56" s="171" t="s">
        <v>538</v>
      </c>
      <c r="F56" s="172">
        <f>608+39.99</f>
        <v>647.99</v>
      </c>
      <c r="G56" s="817"/>
      <c r="H56" s="375">
        <f>IF((F56/G$55)-1&gt;30%,"EXCLUÍDO",IF((F56/G$55)-1&lt;-30%,"EXCLUÍDO",F56))</f>
        <v>647.99</v>
      </c>
      <c r="I56" s="376">
        <f>IF(F56&lt;&gt;0,(F56/$G$55)-1,"")</f>
        <v>0.10898324519518754</v>
      </c>
      <c r="J56" s="817"/>
      <c r="K56" s="820"/>
      <c r="L56" s="817"/>
      <c r="M56" s="838"/>
      <c r="N56" s="817"/>
      <c r="O56" s="832"/>
      <c r="P56" s="377"/>
      <c r="Q56" s="378"/>
    </row>
    <row r="57" spans="1:19" s="374" customFormat="1" ht="24" customHeight="1">
      <c r="A57" s="802"/>
      <c r="B57" s="811"/>
      <c r="C57" s="814"/>
      <c r="D57" s="853"/>
      <c r="E57" s="171" t="s">
        <v>539</v>
      </c>
      <c r="F57" s="172">
        <f>598.72+68.99</f>
        <v>667.71</v>
      </c>
      <c r="G57" s="817"/>
      <c r="H57" s="375">
        <f>IF((F57/G$55)-1&gt;30%,"EXCLUÍDO",IF((F57/G$55)-1&lt;-30%,"EXCLUÍDO",F57))</f>
        <v>667.71</v>
      </c>
      <c r="I57" s="376">
        <f>IF(F57&lt;&gt;0,(F57/$G$55)-1,"")</f>
        <v>0.14273245366329523</v>
      </c>
      <c r="J57" s="817"/>
      <c r="K57" s="820"/>
      <c r="L57" s="817"/>
      <c r="M57" s="838"/>
      <c r="N57" s="817"/>
      <c r="O57" s="832"/>
      <c r="P57" s="377"/>
      <c r="Q57" s="378"/>
    </row>
    <row r="58" spans="1:19" s="374" customFormat="1" ht="24" customHeight="1">
      <c r="A58" s="802"/>
      <c r="B58" s="811"/>
      <c r="C58" s="814"/>
      <c r="D58" s="853"/>
      <c r="E58" s="171" t="s">
        <v>540</v>
      </c>
      <c r="F58" s="172">
        <v>499.99</v>
      </c>
      <c r="G58" s="817"/>
      <c r="H58" s="375">
        <f>IF((F58/G$55)-1&gt;30%,"EXCLUÍDO",IF((F58/G$55)-1&lt;-30%,"EXCLUÍDO",F58))</f>
        <v>499.99</v>
      </c>
      <c r="I58" s="376">
        <f>IF(F58&lt;&gt;0,(F58/$G$55)-1,"")</f>
        <v>-0.14430696034639134</v>
      </c>
      <c r="J58" s="817"/>
      <c r="K58" s="820"/>
      <c r="L58" s="817"/>
      <c r="M58" s="838"/>
      <c r="N58" s="817"/>
      <c r="O58" s="832"/>
      <c r="P58" s="377"/>
      <c r="Q58" s="378"/>
    </row>
    <row r="59" spans="1:19" s="374" customFormat="1" ht="24" customHeight="1">
      <c r="A59" s="803"/>
      <c r="B59" s="812"/>
      <c r="C59" s="815"/>
      <c r="D59" s="854"/>
      <c r="E59" s="171" t="s">
        <v>536</v>
      </c>
      <c r="F59" s="172">
        <f>399.5+77.67</f>
        <v>477.17</v>
      </c>
      <c r="G59" s="818"/>
      <c r="H59" s="375">
        <f>IF((F59/G$55)-1&gt;30%,"EXCLUÍDO",IF((F59/G$55)-1&lt;-30%,"EXCLUÍDO",F59))</f>
        <v>477.17</v>
      </c>
      <c r="I59" s="376">
        <f>IF(F59&lt;&gt;0,(F59/$G$55)-1,"")</f>
        <v>-0.1833615717684105</v>
      </c>
      <c r="J59" s="818"/>
      <c r="K59" s="821"/>
      <c r="L59" s="818"/>
      <c r="M59" s="839"/>
      <c r="N59" s="818"/>
      <c r="O59" s="833"/>
      <c r="P59" s="377"/>
      <c r="Q59" s="378"/>
    </row>
    <row r="60" spans="1:19" s="374" customFormat="1" ht="24" customHeight="1">
      <c r="A60" s="801">
        <v>11</v>
      </c>
      <c r="B60" s="804" t="s">
        <v>505</v>
      </c>
      <c r="C60" s="801" t="s">
        <v>254</v>
      </c>
      <c r="D60" s="843">
        <v>30</v>
      </c>
      <c r="E60" s="171" t="s">
        <v>506</v>
      </c>
      <c r="F60" s="172">
        <f>259.99/2</f>
        <v>129.995</v>
      </c>
      <c r="G60" s="822">
        <f>ROUNDUP(AVERAGE(F60:F64),2)</f>
        <v>151.6</v>
      </c>
      <c r="H60" s="371">
        <f>IF((F60/G$60)-1&gt;30%,"EXCLUÍDO",IF((F60/G$60)-1&lt;-30%,"EXCLUÍDO",F60))</f>
        <v>129.995</v>
      </c>
      <c r="I60" s="372">
        <f>IF(F60&lt;&gt;0,(F60/$G$60)-1,"")</f>
        <v>-0.14251319261213713</v>
      </c>
      <c r="J60" s="822">
        <f>AVERAGE(H60:H64)</f>
        <v>151.59935000000002</v>
      </c>
      <c r="K60" s="825">
        <f>MEDIAN(H60:H64)</f>
        <v>153.18800000000002</v>
      </c>
      <c r="L60" s="822">
        <f>STDEV(H60:H64)</f>
        <v>13.392293548436729</v>
      </c>
      <c r="M60" s="840">
        <f>L60/J60</f>
        <v>8.8340045972734899E-2</v>
      </c>
      <c r="N60" s="822">
        <f>IF(M60&lt;25%,J60,K60)</f>
        <v>151.59935000000002</v>
      </c>
      <c r="O60" s="834">
        <f>N60*D60</f>
        <v>4547.9805000000006</v>
      </c>
      <c r="P60" s="377"/>
      <c r="Q60" s="378"/>
    </row>
    <row r="61" spans="1:19" s="374" customFormat="1" ht="24" customHeight="1">
      <c r="A61" s="802"/>
      <c r="B61" s="805"/>
      <c r="C61" s="802"/>
      <c r="D61" s="844"/>
      <c r="E61" s="171" t="s">
        <v>507</v>
      </c>
      <c r="F61" s="172">
        <v>149.99</v>
      </c>
      <c r="G61" s="823"/>
      <c r="H61" s="371">
        <f>IF((F61/G$60)-1&gt;30%,"EXCLUÍDO",IF((F61/G$60)-1&lt;-30%,"EXCLUÍDO",F61))</f>
        <v>149.99</v>
      </c>
      <c r="I61" s="372">
        <f>IF(F61&lt;&gt;0,(F61/$G$60)-1,"")</f>
        <v>-1.0620052770448418E-2</v>
      </c>
      <c r="J61" s="823"/>
      <c r="K61" s="826"/>
      <c r="L61" s="823"/>
      <c r="M61" s="841"/>
      <c r="N61" s="823"/>
      <c r="O61" s="835"/>
      <c r="P61" s="377"/>
      <c r="Q61" s="378"/>
    </row>
    <row r="62" spans="1:19" s="374" customFormat="1" ht="24" customHeight="1">
      <c r="A62" s="802"/>
      <c r="B62" s="805"/>
      <c r="C62" s="802"/>
      <c r="D62" s="844"/>
      <c r="E62" s="171" t="s">
        <v>508</v>
      </c>
      <c r="F62" s="172">
        <v>159.99</v>
      </c>
      <c r="G62" s="823"/>
      <c r="H62" s="371">
        <f>IF((F62/G$60)-1&gt;30%,"EXCLUÍDO",IF((F62/G$60)-1&lt;-30%,"EXCLUÍDO",F62))</f>
        <v>159.99</v>
      </c>
      <c r="I62" s="372">
        <f>IF(F62&lt;&gt;0,(F62/$G$60)-1,"")</f>
        <v>5.5343007915567455E-2</v>
      </c>
      <c r="J62" s="823"/>
      <c r="K62" s="826"/>
      <c r="L62" s="823"/>
      <c r="M62" s="841"/>
      <c r="N62" s="823"/>
      <c r="O62" s="835"/>
      <c r="P62" s="377"/>
      <c r="Q62" s="378"/>
    </row>
    <row r="63" spans="1:19" s="374" customFormat="1" ht="24" customHeight="1">
      <c r="A63" s="802"/>
      <c r="B63" s="805"/>
      <c r="C63" s="802"/>
      <c r="D63" s="844"/>
      <c r="E63" s="171" t="s">
        <v>509</v>
      </c>
      <c r="F63" s="172">
        <f>765.94/5</f>
        <v>153.18800000000002</v>
      </c>
      <c r="G63" s="823"/>
      <c r="H63" s="371">
        <f>IF((F63/G$60)-1&gt;30%,"EXCLUÍDO",IF((F63/G$60)-1&lt;-30%,"EXCLUÍDO",F63))</f>
        <v>153.18800000000002</v>
      </c>
      <c r="I63" s="372">
        <f>IF(F63&lt;&gt;0,(F63/$G$60)-1,"")</f>
        <v>1.0474934036939443E-2</v>
      </c>
      <c r="J63" s="823"/>
      <c r="K63" s="826"/>
      <c r="L63" s="823"/>
      <c r="M63" s="841"/>
      <c r="N63" s="823"/>
      <c r="O63" s="835"/>
      <c r="P63" s="377"/>
      <c r="Q63" s="378"/>
    </row>
    <row r="64" spans="1:19" s="374" customFormat="1" ht="24" customHeight="1">
      <c r="A64" s="803"/>
      <c r="B64" s="806"/>
      <c r="C64" s="803"/>
      <c r="D64" s="845"/>
      <c r="E64" s="171" t="s">
        <v>510</v>
      </c>
      <c r="F64" s="172">
        <f>1318.67/8</f>
        <v>164.83375000000001</v>
      </c>
      <c r="G64" s="824"/>
      <c r="H64" s="371">
        <f>IF((F64/G$60)-1&gt;30%,"EXCLUÍDO",IF((F64/G$60)-1&lt;-30%,"EXCLUÍDO",F64))</f>
        <v>164.83375000000001</v>
      </c>
      <c r="I64" s="372">
        <f>IF(F64&lt;&gt;0,(F64/$G$60)-1,"")</f>
        <v>8.7293865435356333E-2</v>
      </c>
      <c r="J64" s="824"/>
      <c r="K64" s="827"/>
      <c r="L64" s="824"/>
      <c r="M64" s="842"/>
      <c r="N64" s="824"/>
      <c r="O64" s="836"/>
      <c r="P64" s="377"/>
      <c r="Q64" s="378"/>
    </row>
    <row r="65" spans="1:17" s="374" customFormat="1" ht="24" customHeight="1">
      <c r="A65" s="801">
        <v>12</v>
      </c>
      <c r="B65" s="810" t="s">
        <v>544</v>
      </c>
      <c r="C65" s="813" t="s">
        <v>254</v>
      </c>
      <c r="D65" s="852">
        <v>7</v>
      </c>
      <c r="E65" s="171" t="s">
        <v>541</v>
      </c>
      <c r="F65" s="172">
        <f>1039.9+99.67</f>
        <v>1139.5700000000002</v>
      </c>
      <c r="G65" s="816">
        <f>ROUNDUP(AVERAGE(F65:F69),2)</f>
        <v>1165.5</v>
      </c>
      <c r="H65" s="375">
        <f>IF((F65/G$65)-1&gt;30%,"EXCLUÍDO",IF((F65/G$65)-1&lt;-30%,"EXCLUÍDO",F65))</f>
        <v>1139.5700000000002</v>
      </c>
      <c r="I65" s="376">
        <f>IF(F65&lt;&gt;0,(F65/$G$65)-1,"")</f>
        <v>-2.2247962247962105E-2</v>
      </c>
      <c r="J65" s="816">
        <f>AVERAGE(H65:H69)</f>
        <v>1165.4925000000001</v>
      </c>
      <c r="K65" s="819">
        <f>MEDIAN(H65:H69)</f>
        <v>1186.0350000000001</v>
      </c>
      <c r="L65" s="816">
        <f>STDEV(H65:H69)</f>
        <v>96.741881097760981</v>
      </c>
      <c r="M65" s="837">
        <f>L65/J65</f>
        <v>8.3005151125177534E-2</v>
      </c>
      <c r="N65" s="816">
        <f>IF(M65&lt;25%,J65,K65)</f>
        <v>1165.4925000000001</v>
      </c>
      <c r="O65" s="831">
        <f>N65*D65</f>
        <v>8158.4475000000002</v>
      </c>
      <c r="P65" s="377"/>
      <c r="Q65" s="378"/>
    </row>
    <row r="66" spans="1:17" s="374" customFormat="1" ht="24" customHeight="1">
      <c r="A66" s="802"/>
      <c r="B66" s="811"/>
      <c r="C66" s="814"/>
      <c r="D66" s="853"/>
      <c r="E66" s="171" t="s">
        <v>542</v>
      </c>
      <c r="F66" s="172">
        <v>1250</v>
      </c>
      <c r="G66" s="817"/>
      <c r="H66" s="375">
        <f>IF((F66/G$65)-1&gt;30%,"EXCLUÍDO",IF((F66/G$65)-1&lt;-30%,"EXCLUÍDO",F66))</f>
        <v>1250</v>
      </c>
      <c r="I66" s="376">
        <f>IF(F66&lt;&gt;0,(F66/$G$65)-1,"")</f>
        <v>7.2501072501072406E-2</v>
      </c>
      <c r="J66" s="817"/>
      <c r="K66" s="820"/>
      <c r="L66" s="817"/>
      <c r="M66" s="838"/>
      <c r="N66" s="817"/>
      <c r="O66" s="832"/>
      <c r="P66" s="377"/>
      <c r="Q66" s="378"/>
    </row>
    <row r="67" spans="1:17" s="374" customFormat="1" ht="24" customHeight="1">
      <c r="A67" s="802"/>
      <c r="B67" s="811"/>
      <c r="C67" s="814"/>
      <c r="D67" s="853"/>
      <c r="E67" s="171" t="s">
        <v>366</v>
      </c>
      <c r="F67" s="172">
        <v>1039.9000000000001</v>
      </c>
      <c r="G67" s="817"/>
      <c r="H67" s="375">
        <f>IF((F67/G$65)-1&gt;30%,"EXCLUÍDO",IF((F67/G$65)-1&lt;-30%,"EXCLUÍDO",F67))</f>
        <v>1039.9000000000001</v>
      </c>
      <c r="I67" s="376">
        <f>IF(F67&lt;&gt;0,(F67/$G$65)-1,"")</f>
        <v>-0.10776490776490766</v>
      </c>
      <c r="J67" s="817"/>
      <c r="K67" s="820"/>
      <c r="L67" s="817"/>
      <c r="M67" s="838"/>
      <c r="N67" s="817"/>
      <c r="O67" s="832"/>
      <c r="P67" s="377"/>
      <c r="Q67" s="378"/>
    </row>
    <row r="68" spans="1:17" s="374" customFormat="1" ht="24" customHeight="1">
      <c r="A68" s="802"/>
      <c r="B68" s="811"/>
      <c r="C68" s="814"/>
      <c r="D68" s="853"/>
      <c r="E68" s="171" t="s">
        <v>519</v>
      </c>
      <c r="F68" s="172">
        <v>1232.5</v>
      </c>
      <c r="G68" s="817"/>
      <c r="H68" s="375">
        <f>IF((F68/G$65)-1&gt;30%,"EXCLUÍDO",IF((F68/G$65)-1&lt;-30%,"EXCLUÍDO",F68))</f>
        <v>1232.5</v>
      </c>
      <c r="I68" s="376">
        <f>IF(F68&lt;&gt;0,(F68/$G$65)-1,"")</f>
        <v>5.7486057486057396E-2</v>
      </c>
      <c r="J68" s="817"/>
      <c r="K68" s="820"/>
      <c r="L68" s="817"/>
      <c r="M68" s="838"/>
      <c r="N68" s="817"/>
      <c r="O68" s="832"/>
      <c r="P68" s="377"/>
      <c r="Q68" s="378"/>
    </row>
    <row r="69" spans="1:17" s="374" customFormat="1" ht="24" customHeight="1">
      <c r="A69" s="803"/>
      <c r="B69" s="812"/>
      <c r="C69" s="815"/>
      <c r="D69" s="854"/>
      <c r="E69" s="171"/>
      <c r="F69" s="172"/>
      <c r="G69" s="818"/>
      <c r="H69" s="375" t="str">
        <f>IF((F69/G$65)-1&gt;30%,"EXCLUÍDO",IF((F69/G$65)-1&lt;-30%,"EXCLUÍDO",F69))</f>
        <v>EXCLUÍDO</v>
      </c>
      <c r="I69" s="376" t="str">
        <f>IF(F69&lt;&gt;0,(F69/$G$65)-1,"")</f>
        <v/>
      </c>
      <c r="J69" s="818"/>
      <c r="K69" s="821"/>
      <c r="L69" s="818"/>
      <c r="M69" s="839"/>
      <c r="N69" s="818"/>
      <c r="O69" s="833"/>
      <c r="P69" s="377"/>
      <c r="Q69" s="378"/>
    </row>
    <row r="70" spans="1:17" s="374" customFormat="1" ht="27" customHeight="1">
      <c r="A70" s="801">
        <v>13</v>
      </c>
      <c r="B70" s="804" t="s">
        <v>543</v>
      </c>
      <c r="C70" s="801" t="s">
        <v>254</v>
      </c>
      <c r="D70" s="843">
        <v>2</v>
      </c>
      <c r="E70" s="171" t="s">
        <v>545</v>
      </c>
      <c r="F70" s="172">
        <v>1499</v>
      </c>
      <c r="G70" s="822">
        <f>ROUNDUP(AVERAGE(F70:F74),2)</f>
        <v>1438.1</v>
      </c>
      <c r="H70" s="371">
        <f>IF((F70/G$70)-1&gt;30%,"EXCLUÍDO",IF((F70/G$70)-1&lt;-30%,"EXCLUÍDO",F70))</f>
        <v>1499</v>
      </c>
      <c r="I70" s="372">
        <f>IF(F70&lt;&gt;0,(F70/$G$70)-1,"")</f>
        <v>4.2347541895556784E-2</v>
      </c>
      <c r="J70" s="822">
        <f>AVERAGE(H70:H74)</f>
        <v>1438.0975000000001</v>
      </c>
      <c r="K70" s="825">
        <f>MEDIAN(H70:H74)</f>
        <v>1449.44</v>
      </c>
      <c r="L70" s="822">
        <f>STDEV(H70:H74)</f>
        <v>72.722478127467568</v>
      </c>
      <c r="M70" s="840">
        <f>L70/J70</f>
        <v>5.0568531081840812E-2</v>
      </c>
      <c r="N70" s="822">
        <f>IF(M70&lt;25%,J70,K70)</f>
        <v>1438.0975000000001</v>
      </c>
      <c r="O70" s="834">
        <f>N70*D70</f>
        <v>2876.1950000000002</v>
      </c>
      <c r="P70" s="377"/>
      <c r="Q70" s="378"/>
    </row>
    <row r="71" spans="1:17" s="374" customFormat="1" ht="24" customHeight="1">
      <c r="A71" s="802"/>
      <c r="B71" s="805"/>
      <c r="C71" s="802"/>
      <c r="D71" s="844"/>
      <c r="E71" s="171" t="s">
        <v>546</v>
      </c>
      <c r="F71" s="172">
        <f>1358.5+41.38</f>
        <v>1399.88</v>
      </c>
      <c r="G71" s="823"/>
      <c r="H71" s="371">
        <f>IF((F71/G$70)-1&gt;30%,"EXCLUÍDO",IF((F71/G$70)-1&lt;-30%,"EXCLUÍDO",F71))</f>
        <v>1399.88</v>
      </c>
      <c r="I71" s="372">
        <f>IF(F71&lt;&gt;0,(F71/$G$70)-1,"")</f>
        <v>-2.6576733189625057E-2</v>
      </c>
      <c r="J71" s="823"/>
      <c r="K71" s="826"/>
      <c r="L71" s="823"/>
      <c r="M71" s="841"/>
      <c r="N71" s="823"/>
      <c r="O71" s="835"/>
      <c r="P71" s="377"/>
      <c r="Q71" s="378"/>
    </row>
    <row r="72" spans="1:17" s="374" customFormat="1" ht="24" customHeight="1">
      <c r="A72" s="802"/>
      <c r="B72" s="805"/>
      <c r="C72" s="802"/>
      <c r="D72" s="844"/>
      <c r="E72" s="171" t="s">
        <v>547</v>
      </c>
      <c r="F72" s="172">
        <v>1499</v>
      </c>
      <c r="G72" s="823"/>
      <c r="H72" s="371">
        <f>IF((F72/G$70)-1&gt;30%,"EXCLUÍDO",IF((F72/G$70)-1&lt;-30%,"EXCLUÍDO",F72))</f>
        <v>1499</v>
      </c>
      <c r="I72" s="372">
        <f>IF(F72&lt;&gt;0,(F72/$G$70)-1,"")</f>
        <v>4.2347541895556784E-2</v>
      </c>
      <c r="J72" s="823"/>
      <c r="K72" s="826"/>
      <c r="L72" s="823"/>
      <c r="M72" s="841"/>
      <c r="N72" s="823"/>
      <c r="O72" s="835"/>
      <c r="P72" s="377"/>
      <c r="Q72" s="378"/>
    </row>
    <row r="73" spans="1:17" s="374" customFormat="1" ht="24" customHeight="1">
      <c r="A73" s="802"/>
      <c r="B73" s="805"/>
      <c r="C73" s="802"/>
      <c r="D73" s="844"/>
      <c r="E73" s="171" t="s">
        <v>548</v>
      </c>
      <c r="F73" s="172">
        <f>1259.1+95.41</f>
        <v>1354.51</v>
      </c>
      <c r="G73" s="823"/>
      <c r="H73" s="371">
        <f>IF((F73/G$70)-1&gt;30%,"EXCLUÍDO",IF((F73/G$70)-1&lt;-30%,"EXCLUÍDO",F73))</f>
        <v>1354.51</v>
      </c>
      <c r="I73" s="372">
        <f>IF(F73&lt;&gt;0,(F73/$G$70)-1,"")</f>
        <v>-5.8125304220846941E-2</v>
      </c>
      <c r="J73" s="823"/>
      <c r="K73" s="826"/>
      <c r="L73" s="823"/>
      <c r="M73" s="841"/>
      <c r="N73" s="823"/>
      <c r="O73" s="835"/>
      <c r="P73" s="377"/>
      <c r="Q73" s="378"/>
    </row>
    <row r="74" spans="1:17" s="374" customFormat="1" ht="24" customHeight="1">
      <c r="A74" s="803"/>
      <c r="B74" s="806"/>
      <c r="C74" s="803"/>
      <c r="D74" s="845"/>
      <c r="E74" s="171"/>
      <c r="F74" s="172"/>
      <c r="G74" s="824"/>
      <c r="H74" s="371" t="str">
        <f>IF((F74/G$70)-1&gt;30%,"EXCLUÍDO",IF((F74/G$70)-1&lt;-30%,"EXCLUÍDO",F74))</f>
        <v>EXCLUÍDO</v>
      </c>
      <c r="I74" s="372" t="str">
        <f>IF(F74&lt;&gt;0,(F74/$G$70)-1,"")</f>
        <v/>
      </c>
      <c r="J74" s="824"/>
      <c r="K74" s="827"/>
      <c r="L74" s="824"/>
      <c r="M74" s="842"/>
      <c r="N74" s="824"/>
      <c r="O74" s="836"/>
      <c r="P74" s="377"/>
      <c r="Q74" s="378"/>
    </row>
    <row r="75" spans="1:17" s="374" customFormat="1" ht="24" customHeight="1">
      <c r="A75" s="801">
        <v>14</v>
      </c>
      <c r="B75" s="810" t="s">
        <v>722</v>
      </c>
      <c r="C75" s="813" t="s">
        <v>254</v>
      </c>
      <c r="D75" s="807">
        <v>2</v>
      </c>
      <c r="E75" s="171" t="s">
        <v>549</v>
      </c>
      <c r="F75" s="172">
        <f>1222.21+299.99</f>
        <v>1522.2</v>
      </c>
      <c r="G75" s="816">
        <f>ROUNDUP(AVERAGE(F75:F79),2)</f>
        <v>1438.83</v>
      </c>
      <c r="H75" s="375">
        <f>IF((F75/G$75)-1&gt;30%,"EXCLUÍDO",IF((F75/G$75)-1&lt;-30%,"EXCLUÍDO",F75))</f>
        <v>1522.2</v>
      </c>
      <c r="I75" s="376">
        <f>IF(F75&lt;&gt;0,(F75/$G$75)-1,"")</f>
        <v>5.7942911949292242E-2</v>
      </c>
      <c r="J75" s="816">
        <f>AVERAGE(H75:H79)</f>
        <v>1438.8225000000002</v>
      </c>
      <c r="K75" s="819">
        <f>MEDIAN(H75:H79)</f>
        <v>1510.6</v>
      </c>
      <c r="L75" s="816">
        <f>STDEV(H75:H79)</f>
        <v>243.47457093435042</v>
      </c>
      <c r="M75" s="837">
        <f>L75/J75</f>
        <v>0.16921793406368776</v>
      </c>
      <c r="N75" s="816">
        <f>IF(M75&lt;25%,J75,K75)</f>
        <v>1438.8225000000002</v>
      </c>
      <c r="O75" s="831">
        <f>N75*D75</f>
        <v>2877.6450000000004</v>
      </c>
      <c r="P75" s="377"/>
      <c r="Q75" s="378"/>
    </row>
    <row r="76" spans="1:17" s="374" customFormat="1" ht="24" customHeight="1">
      <c r="A76" s="802"/>
      <c r="B76" s="811"/>
      <c r="C76" s="814"/>
      <c r="D76" s="808"/>
      <c r="E76" s="171" t="s">
        <v>550</v>
      </c>
      <c r="F76" s="172">
        <f>997+89.9</f>
        <v>1086.9000000000001</v>
      </c>
      <c r="G76" s="817"/>
      <c r="H76" s="375">
        <f>IF((F76/G$75)-1&gt;30%,"EXCLUÍDO",IF((F76/G$75)-1&lt;-30%,"EXCLUÍDO",F76))</f>
        <v>1086.9000000000001</v>
      </c>
      <c r="I76" s="376">
        <f>IF(F76&lt;&gt;0,(F76/$G$75)-1,"")</f>
        <v>-0.24459456641854826</v>
      </c>
      <c r="J76" s="817"/>
      <c r="K76" s="820"/>
      <c r="L76" s="817"/>
      <c r="M76" s="838"/>
      <c r="N76" s="817"/>
      <c r="O76" s="832"/>
      <c r="P76" s="377"/>
      <c r="Q76" s="378"/>
    </row>
    <row r="77" spans="1:17" s="374" customFormat="1" ht="24" customHeight="1">
      <c r="A77" s="802"/>
      <c r="B77" s="811"/>
      <c r="C77" s="814"/>
      <c r="D77" s="808"/>
      <c r="E77" s="171" t="s">
        <v>551</v>
      </c>
      <c r="F77" s="172">
        <f>1499</f>
        <v>1499</v>
      </c>
      <c r="G77" s="817"/>
      <c r="H77" s="375">
        <f>IF((F77/G$75)-1&gt;30%,"EXCLUÍDO",IF((F77/G$75)-1&lt;-30%,"EXCLUÍDO",F77))</f>
        <v>1499</v>
      </c>
      <c r="I77" s="376">
        <f>IF(F77&lt;&gt;0,(F77/$G$75)-1,"")</f>
        <v>4.1818699915904034E-2</v>
      </c>
      <c r="J77" s="817"/>
      <c r="K77" s="820"/>
      <c r="L77" s="817"/>
      <c r="M77" s="838"/>
      <c r="N77" s="817"/>
      <c r="O77" s="832"/>
      <c r="P77" s="377"/>
      <c r="Q77" s="378"/>
    </row>
    <row r="78" spans="1:17" s="374" customFormat="1" ht="24" customHeight="1">
      <c r="A78" s="802"/>
      <c r="B78" s="811"/>
      <c r="C78" s="814"/>
      <c r="D78" s="808"/>
      <c r="E78" s="171" t="s">
        <v>552</v>
      </c>
      <c r="F78" s="172">
        <f>1347.2+299.99</f>
        <v>1647.19</v>
      </c>
      <c r="G78" s="817"/>
      <c r="H78" s="375">
        <f>IF((F78/G$75)-1&gt;30%,"EXCLUÍDO",IF((F78/G$75)-1&lt;-30%,"EXCLUÍDO",F78))</f>
        <v>1647.19</v>
      </c>
      <c r="I78" s="376">
        <f>IF(F78&lt;&gt;0,(F78/$G$75)-1,"")</f>
        <v>0.14481210427917146</v>
      </c>
      <c r="J78" s="817"/>
      <c r="K78" s="820"/>
      <c r="L78" s="817"/>
      <c r="M78" s="838"/>
      <c r="N78" s="817"/>
      <c r="O78" s="832"/>
      <c r="P78" s="377"/>
      <c r="Q78" s="378"/>
    </row>
    <row r="79" spans="1:17" s="374" customFormat="1" ht="26.25" customHeight="1">
      <c r="A79" s="803"/>
      <c r="B79" s="812"/>
      <c r="C79" s="815"/>
      <c r="D79" s="809"/>
      <c r="E79" s="171"/>
      <c r="F79" s="172"/>
      <c r="G79" s="818"/>
      <c r="H79" s="375" t="str">
        <f>IF((F79/G$75)-1&gt;30%,"EXCLUÍDO",IF((F79/G$75)-1&lt;-30%,"EXCLUÍDO",F79))</f>
        <v>EXCLUÍDO</v>
      </c>
      <c r="I79" s="376" t="str">
        <f>IF(F79&lt;&gt;0,(F79/$G$75)-1,"")</f>
        <v/>
      </c>
      <c r="J79" s="818"/>
      <c r="K79" s="821"/>
      <c r="L79" s="818"/>
      <c r="M79" s="839"/>
      <c r="N79" s="818"/>
      <c r="O79" s="833"/>
      <c r="P79" s="377"/>
      <c r="Q79" s="378"/>
    </row>
    <row r="80" spans="1:17" s="374" customFormat="1" ht="24" customHeight="1">
      <c r="A80" s="801">
        <v>15</v>
      </c>
      <c r="B80" s="804" t="s">
        <v>723</v>
      </c>
      <c r="C80" s="801" t="s">
        <v>254</v>
      </c>
      <c r="D80" s="843">
        <v>1</v>
      </c>
      <c r="E80" s="171" t="s">
        <v>553</v>
      </c>
      <c r="F80" s="172">
        <f>2435+222.99</f>
        <v>2657.99</v>
      </c>
      <c r="G80" s="822">
        <f>ROUNDUP(AVERAGE(F80:F84),2)</f>
        <v>2434.6200000000003</v>
      </c>
      <c r="H80" s="371">
        <f>IF((F80/G$80)-1&gt;30%,"EXCLUÍDO",IF((F80/G$80)-1&lt;-30%,"EXCLUÍDO",F80))</f>
        <v>2657.99</v>
      </c>
      <c r="I80" s="372">
        <f>IF(F80&lt;&gt;0,(F80/$G$80)-1,"")</f>
        <v>9.174737741413419E-2</v>
      </c>
      <c r="J80" s="822">
        <f>AVERAGE(H80:H84)</f>
        <v>2434.6149999999998</v>
      </c>
      <c r="K80" s="825">
        <f>MEDIAN(H80:H84)</f>
        <v>2557.1899999999996</v>
      </c>
      <c r="L80" s="822">
        <f>STDEV(H80:H84)</f>
        <v>402.28174442795699</v>
      </c>
      <c r="M80" s="840">
        <f>L80/J80</f>
        <v>0.16523423392526418</v>
      </c>
      <c r="N80" s="822">
        <f>IF(M80&lt;25%,J80,K80)</f>
        <v>2434.6149999999998</v>
      </c>
      <c r="O80" s="834">
        <f>N80*D80</f>
        <v>2434.6149999999998</v>
      </c>
      <c r="P80" s="377"/>
      <c r="Q80" s="378"/>
    </row>
    <row r="81" spans="1:17" s="374" customFormat="1" ht="24" customHeight="1">
      <c r="A81" s="802"/>
      <c r="B81" s="805"/>
      <c r="C81" s="802"/>
      <c r="D81" s="844"/>
      <c r="E81" s="171" t="s">
        <v>554</v>
      </c>
      <c r="F81" s="172">
        <v>1862</v>
      </c>
      <c r="G81" s="823"/>
      <c r="H81" s="371">
        <f>IF((F81/G$80)-1&gt;30%,"EXCLUÍDO",IF((F81/G$80)-1&lt;-30%,"EXCLUÍDO",F81))</f>
        <v>1862</v>
      </c>
      <c r="I81" s="372">
        <f>IF(F81&lt;&gt;0,(F81/$G$80)-1,"")</f>
        <v>-0.23519892221373362</v>
      </c>
      <c r="J81" s="823"/>
      <c r="K81" s="826"/>
      <c r="L81" s="823"/>
      <c r="M81" s="841"/>
      <c r="N81" s="823"/>
      <c r="O81" s="835"/>
      <c r="P81" s="377"/>
      <c r="Q81" s="378"/>
    </row>
    <row r="82" spans="1:17" s="374" customFormat="1" ht="24" customHeight="1">
      <c r="A82" s="802"/>
      <c r="B82" s="805"/>
      <c r="C82" s="802"/>
      <c r="D82" s="844"/>
      <c r="E82" s="171" t="s">
        <v>556</v>
      </c>
      <c r="F82" s="172">
        <f>2356.49+99.9</f>
        <v>2456.39</v>
      </c>
      <c r="G82" s="823"/>
      <c r="H82" s="371">
        <f>IF((F82/G$80)-1&gt;30%,"EXCLUÍDO",IF((F82/G$80)-1&lt;-30%,"EXCLUÍDO",F82))</f>
        <v>2456.39</v>
      </c>
      <c r="I82" s="372">
        <f>IF(F82&lt;&gt;0,(F82/$G$80)-1,"")</f>
        <v>8.9418471876512307E-3</v>
      </c>
      <c r="J82" s="823"/>
      <c r="K82" s="826"/>
      <c r="L82" s="823"/>
      <c r="M82" s="841"/>
      <c r="N82" s="823"/>
      <c r="O82" s="835"/>
      <c r="P82" s="377"/>
      <c r="Q82" s="378"/>
    </row>
    <row r="83" spans="1:17" s="374" customFormat="1" ht="24" customHeight="1">
      <c r="A83" s="802"/>
      <c r="B83" s="805"/>
      <c r="C83" s="802"/>
      <c r="D83" s="844"/>
      <c r="E83" s="171" t="s">
        <v>555</v>
      </c>
      <c r="F83" s="172">
        <f>2542.09+219.99</f>
        <v>2762.08</v>
      </c>
      <c r="G83" s="823"/>
      <c r="H83" s="371">
        <f>IF((F83/G$80)-1&gt;30%,"EXCLUÍDO",IF((F83/G$80)-1&lt;-30%,"EXCLUÍDO",F83))</f>
        <v>2762.08</v>
      </c>
      <c r="I83" s="372">
        <f>IF(F83&lt;&gt;0,(F83/$G$80)-1,"")</f>
        <v>0.13450148277759966</v>
      </c>
      <c r="J83" s="823"/>
      <c r="K83" s="826"/>
      <c r="L83" s="823"/>
      <c r="M83" s="841"/>
      <c r="N83" s="823"/>
      <c r="O83" s="835"/>
      <c r="P83" s="377"/>
      <c r="Q83" s="378"/>
    </row>
    <row r="84" spans="1:17" s="374" customFormat="1" ht="24" customHeight="1">
      <c r="A84" s="803"/>
      <c r="B84" s="806"/>
      <c r="C84" s="803"/>
      <c r="D84" s="845"/>
      <c r="E84" s="171"/>
      <c r="F84" s="172"/>
      <c r="G84" s="824"/>
      <c r="H84" s="371" t="str">
        <f>IF((F84/G$80)-1&gt;30%,"EXCLUÍDO",IF((F84/G$80)-1&lt;-30%,"EXCLUÍDO",F84))</f>
        <v>EXCLUÍDO</v>
      </c>
      <c r="I84" s="372" t="str">
        <f>IF(F84&lt;&gt;0,(F84/$G$80)-1,"")</f>
        <v/>
      </c>
      <c r="J84" s="824"/>
      <c r="K84" s="827"/>
      <c r="L84" s="824"/>
      <c r="M84" s="842"/>
      <c r="N84" s="824"/>
      <c r="O84" s="836"/>
      <c r="P84" s="377"/>
      <c r="Q84" s="378"/>
    </row>
    <row r="85" spans="1:17" s="374" customFormat="1" ht="24" customHeight="1">
      <c r="A85" s="801">
        <v>16</v>
      </c>
      <c r="B85" s="810" t="s">
        <v>557</v>
      </c>
      <c r="C85" s="813" t="s">
        <v>254</v>
      </c>
      <c r="D85" s="807">
        <v>2</v>
      </c>
      <c r="E85" s="171" t="s">
        <v>558</v>
      </c>
      <c r="F85" s="172">
        <v>2125</v>
      </c>
      <c r="G85" s="816">
        <f>ROUNDUP(AVERAGE(F85:F89),2)</f>
        <v>1701.46</v>
      </c>
      <c r="H85" s="375">
        <f>IF((F85/G$85)-1&gt;30%,"EXCLUÍDO",IF((F85/G$85)-1&lt;-30%,"EXCLUÍDO",F85))</f>
        <v>2125</v>
      </c>
      <c r="I85" s="376">
        <f>IF(F85&lt;&gt;0,(F85/$G$85)-1,"")</f>
        <v>0.24892739176942147</v>
      </c>
      <c r="J85" s="816">
        <f>AVERAGE(H85:H89)</f>
        <v>1701.4525000000001</v>
      </c>
      <c r="K85" s="819">
        <f>MEDIAN(H85:H89)</f>
        <v>1687.085</v>
      </c>
      <c r="L85" s="816">
        <f>STDEV(H85:H89)</f>
        <v>334.81830270312133</v>
      </c>
      <c r="M85" s="837">
        <f>L85/J85</f>
        <v>0.19678380836557077</v>
      </c>
      <c r="N85" s="816">
        <f>IF(M85&lt;25%,J85,K85)</f>
        <v>1701.4525000000001</v>
      </c>
      <c r="O85" s="831">
        <f>N85*D85</f>
        <v>3402.9050000000002</v>
      </c>
      <c r="P85" s="377"/>
      <c r="Q85" s="378"/>
    </row>
    <row r="86" spans="1:17" s="374" customFormat="1" ht="24" customHeight="1">
      <c r="A86" s="802"/>
      <c r="B86" s="811"/>
      <c r="C86" s="814"/>
      <c r="D86" s="808"/>
      <c r="E86" s="171" t="s">
        <v>559</v>
      </c>
      <c r="F86" s="172">
        <f>1530+174.8</f>
        <v>1704.8</v>
      </c>
      <c r="G86" s="817"/>
      <c r="H86" s="375">
        <f>IF((F86/G$85)-1&gt;30%,"EXCLUÍDO",IF((F86/G$85)-1&lt;-30%,"EXCLUÍDO",F86))</f>
        <v>1704.8</v>
      </c>
      <c r="I86" s="376">
        <f>IF(F86&lt;&gt;0,(F86/$G$85)-1,"")</f>
        <v>1.9630199945928073E-3</v>
      </c>
      <c r="J86" s="817"/>
      <c r="K86" s="820"/>
      <c r="L86" s="817"/>
      <c r="M86" s="838"/>
      <c r="N86" s="817"/>
      <c r="O86" s="832"/>
      <c r="P86" s="377"/>
      <c r="Q86" s="378"/>
    </row>
    <row r="87" spans="1:17" s="374" customFormat="1" ht="24" customHeight="1">
      <c r="A87" s="802"/>
      <c r="B87" s="811"/>
      <c r="C87" s="814"/>
      <c r="D87" s="808"/>
      <c r="E87" s="171" t="s">
        <v>356</v>
      </c>
      <c r="F87" s="172">
        <f>1199.91+106.73</f>
        <v>1306.6400000000001</v>
      </c>
      <c r="G87" s="817"/>
      <c r="H87" s="375">
        <f>IF((F87/G$85)-1&gt;30%,"EXCLUÍDO",IF((F87/G$85)-1&lt;-30%,"EXCLUÍDO",F87))</f>
        <v>1306.6400000000001</v>
      </c>
      <c r="I87" s="376">
        <f>IF(F87&lt;&gt;0,(F87/$G$85)-1,"")</f>
        <v>-0.23204777073807192</v>
      </c>
      <c r="J87" s="817"/>
      <c r="K87" s="820"/>
      <c r="L87" s="817"/>
      <c r="M87" s="838"/>
      <c r="N87" s="817"/>
      <c r="O87" s="832"/>
      <c r="P87" s="377"/>
      <c r="Q87" s="378"/>
    </row>
    <row r="88" spans="1:17" s="374" customFormat="1" ht="24" customHeight="1">
      <c r="A88" s="802"/>
      <c r="B88" s="811"/>
      <c r="C88" s="814"/>
      <c r="D88" s="808"/>
      <c r="E88" s="171" t="s">
        <v>560</v>
      </c>
      <c r="F88" s="172">
        <f>1549+120.37</f>
        <v>1669.37</v>
      </c>
      <c r="G88" s="817"/>
      <c r="H88" s="375">
        <f>IF((F88/G$85)-1&gt;30%,"EXCLUÍDO",IF((F88/G$85)-1&lt;-30%,"EXCLUÍDO",F88))</f>
        <v>1669.37</v>
      </c>
      <c r="I88" s="376">
        <f>IF(F88&lt;&gt;0,(F88/$G$85)-1,"")</f>
        <v>-1.8860272942061607E-2</v>
      </c>
      <c r="J88" s="817"/>
      <c r="K88" s="820"/>
      <c r="L88" s="817"/>
      <c r="M88" s="838"/>
      <c r="N88" s="817"/>
      <c r="O88" s="832"/>
      <c r="P88" s="377"/>
      <c r="Q88" s="378"/>
    </row>
    <row r="89" spans="1:17" s="374" customFormat="1" ht="24" customHeight="1">
      <c r="A89" s="803"/>
      <c r="B89" s="812"/>
      <c r="C89" s="815"/>
      <c r="D89" s="809"/>
      <c r="E89" s="171"/>
      <c r="F89" s="172"/>
      <c r="G89" s="818"/>
      <c r="H89" s="375" t="str">
        <f>IF((F89/G$85)-1&gt;30%,"EXCLUÍDO",IF((F89/G$85)-1&lt;-30%,"EXCLUÍDO",F89))</f>
        <v>EXCLUÍDO</v>
      </c>
      <c r="I89" s="376" t="str">
        <f>IF(F89&lt;&gt;0,(F89/$G$85)-1,"")</f>
        <v/>
      </c>
      <c r="J89" s="818"/>
      <c r="K89" s="821"/>
      <c r="L89" s="818"/>
      <c r="M89" s="839"/>
      <c r="N89" s="818"/>
      <c r="O89" s="833"/>
      <c r="P89" s="377"/>
      <c r="Q89" s="378"/>
    </row>
    <row r="90" spans="1:17" s="374" customFormat="1" ht="24" customHeight="1">
      <c r="A90" s="801">
        <v>17</v>
      </c>
      <c r="B90" s="804" t="s">
        <v>562</v>
      </c>
      <c r="C90" s="801" t="s">
        <v>254</v>
      </c>
      <c r="D90" s="843">
        <v>2</v>
      </c>
      <c r="E90" s="171" t="s">
        <v>561</v>
      </c>
      <c r="F90" s="172">
        <f>684.59+24.31</f>
        <v>708.9</v>
      </c>
      <c r="G90" s="822">
        <f>ROUNDUP(AVERAGE(F90:F94),2)</f>
        <v>767.81</v>
      </c>
      <c r="H90" s="371">
        <f>IF((F90/G$90)-1&gt;30%,"EXCLUÍDO",IF((F90/G$90)-1&lt;-30%,"EXCLUÍDO",F90))</f>
        <v>708.9</v>
      </c>
      <c r="I90" s="372">
        <f>IF(F90&lt;&gt;0,(F90/$G$90)-1,"")</f>
        <v>-7.6724710540368002E-2</v>
      </c>
      <c r="J90" s="822">
        <f>AVERAGE(H90:H94)</f>
        <v>767.81000000000006</v>
      </c>
      <c r="K90" s="825">
        <f>MEDIAN(H90:H94)</f>
        <v>750.97</v>
      </c>
      <c r="L90" s="822">
        <f>STDEV(H90:H94)</f>
        <v>68.891349964999264</v>
      </c>
      <c r="M90" s="840">
        <f>L90/J90</f>
        <v>8.9724476061785158E-2</v>
      </c>
      <c r="N90" s="822">
        <f>IF(M90&lt;25%,J90,K90)</f>
        <v>767.81000000000006</v>
      </c>
      <c r="O90" s="834">
        <f>N90*D90</f>
        <v>1535.6200000000001</v>
      </c>
      <c r="P90" s="377"/>
      <c r="Q90" s="378"/>
    </row>
    <row r="91" spans="1:17" s="374" customFormat="1" ht="24" customHeight="1">
      <c r="A91" s="802"/>
      <c r="B91" s="805"/>
      <c r="C91" s="802"/>
      <c r="D91" s="844"/>
      <c r="E91" s="171" t="s">
        <v>563</v>
      </c>
      <c r="F91" s="172">
        <f>782.99+60.57</f>
        <v>843.56000000000006</v>
      </c>
      <c r="G91" s="823"/>
      <c r="H91" s="371">
        <f>IF((F91/G$90)-1&gt;30%,"EXCLUÍDO",IF((F91/G$90)-1&lt;-30%,"EXCLUÍDO",F91))</f>
        <v>843.56000000000006</v>
      </c>
      <c r="I91" s="372">
        <f>IF(F91&lt;&gt;0,(F91/$G$90)-1,"")</f>
        <v>9.8657219885127878E-2</v>
      </c>
      <c r="J91" s="823"/>
      <c r="K91" s="826"/>
      <c r="L91" s="823"/>
      <c r="M91" s="841"/>
      <c r="N91" s="823"/>
      <c r="O91" s="835"/>
      <c r="P91" s="377"/>
      <c r="Q91" s="378"/>
    </row>
    <row r="92" spans="1:17" s="374" customFormat="1" ht="24" customHeight="1">
      <c r="A92" s="802"/>
      <c r="B92" s="805"/>
      <c r="C92" s="802"/>
      <c r="D92" s="844"/>
      <c r="E92" s="171" t="s">
        <v>564</v>
      </c>
      <c r="F92" s="172">
        <v>750.97</v>
      </c>
      <c r="G92" s="823"/>
      <c r="H92" s="371">
        <f>IF((F92/G$90)-1&gt;30%,"EXCLUÍDO",IF((F92/G$90)-1&lt;-30%,"EXCLUÍDO",F92))</f>
        <v>750.97</v>
      </c>
      <c r="I92" s="372">
        <f>IF(F92&lt;&gt;0,(F92/$G$90)-1,"")</f>
        <v>-2.1932509344759654E-2</v>
      </c>
      <c r="J92" s="823"/>
      <c r="K92" s="826"/>
      <c r="L92" s="823"/>
      <c r="M92" s="841"/>
      <c r="N92" s="823"/>
      <c r="O92" s="835"/>
      <c r="P92" s="377"/>
      <c r="Q92" s="378"/>
    </row>
    <row r="93" spans="1:17" s="374" customFormat="1" ht="24" customHeight="1">
      <c r="A93" s="802"/>
      <c r="B93" s="805"/>
      <c r="C93" s="802"/>
      <c r="D93" s="844"/>
      <c r="E93" s="171"/>
      <c r="F93" s="172"/>
      <c r="G93" s="823"/>
      <c r="H93" s="371" t="str">
        <f>IF((F93/G$90)-1&gt;30%,"EXCLUÍDO",IF((F93/G$90)-1&lt;-30%,"EXCLUÍDO",F93))</f>
        <v>EXCLUÍDO</v>
      </c>
      <c r="I93" s="372" t="str">
        <f>IF(F93&lt;&gt;0,(F93/$G$90)-1,"")</f>
        <v/>
      </c>
      <c r="J93" s="823"/>
      <c r="K93" s="826"/>
      <c r="L93" s="823"/>
      <c r="M93" s="841"/>
      <c r="N93" s="823"/>
      <c r="O93" s="835"/>
      <c r="P93" s="377"/>
      <c r="Q93" s="378"/>
    </row>
    <row r="94" spans="1:17" s="374" customFormat="1" ht="24" customHeight="1">
      <c r="A94" s="803"/>
      <c r="B94" s="806"/>
      <c r="C94" s="803"/>
      <c r="D94" s="845"/>
      <c r="E94" s="171"/>
      <c r="F94" s="172"/>
      <c r="G94" s="824"/>
      <c r="H94" s="371" t="str">
        <f>IF((F94/G$90)-1&gt;30%,"EXCLUÍDO",IF((F94/G$90)-1&lt;-30%,"EXCLUÍDO",F94))</f>
        <v>EXCLUÍDO</v>
      </c>
      <c r="I94" s="372" t="str">
        <f>IF(F94&lt;&gt;0,(F94/$G$90)-1,"")</f>
        <v/>
      </c>
      <c r="J94" s="824"/>
      <c r="K94" s="827"/>
      <c r="L94" s="824"/>
      <c r="M94" s="842"/>
      <c r="N94" s="824"/>
      <c r="O94" s="836"/>
      <c r="P94" s="377"/>
      <c r="Q94" s="378"/>
    </row>
    <row r="95" spans="1:17" s="374" customFormat="1" ht="24" customHeight="1">
      <c r="A95" s="801">
        <v>18</v>
      </c>
      <c r="B95" s="810" t="s">
        <v>565</v>
      </c>
      <c r="C95" s="813" t="s">
        <v>254</v>
      </c>
      <c r="D95" s="852">
        <v>13</v>
      </c>
      <c r="E95" s="171" t="s">
        <v>566</v>
      </c>
      <c r="F95" s="172">
        <v>119</v>
      </c>
      <c r="G95" s="816">
        <f>ROUNDUP(AVERAGE(F95:F99),2)</f>
        <v>108.35000000000001</v>
      </c>
      <c r="H95" s="375">
        <f>IF((F95/G$95)-1&gt;30%,"EXCLUÍDO",IF((F95/G$95)-1&lt;-30%,"EXCLUÍDO",F95))</f>
        <v>119</v>
      </c>
      <c r="I95" s="376">
        <f>IF(F95&lt;&gt;0,(F95/$G$95)-1,"")</f>
        <v>9.8292570373788468E-2</v>
      </c>
      <c r="J95" s="816">
        <f>AVERAGE(H95:H99)</f>
        <v>108.3475</v>
      </c>
      <c r="K95" s="819">
        <f>MEDIAN(H95:H99)</f>
        <v>114.52000000000001</v>
      </c>
      <c r="L95" s="816">
        <f>STDEV(H95:H99)</f>
        <v>20.54832576310454</v>
      </c>
      <c r="M95" s="837">
        <f>L95/J95</f>
        <v>0.18965205254486298</v>
      </c>
      <c r="N95" s="816">
        <f>IF(M95&lt;25%,J95,K95)</f>
        <v>108.3475</v>
      </c>
      <c r="O95" s="831">
        <f>N95*D95</f>
        <v>1408.5174999999999</v>
      </c>
      <c r="P95" s="377"/>
      <c r="Q95" s="378"/>
    </row>
    <row r="96" spans="1:17" s="374" customFormat="1" ht="24" customHeight="1">
      <c r="A96" s="802"/>
      <c r="B96" s="811"/>
      <c r="C96" s="814"/>
      <c r="D96" s="853"/>
      <c r="E96" s="171" t="s">
        <v>568</v>
      </c>
      <c r="F96" s="172">
        <v>79</v>
      </c>
      <c r="G96" s="817"/>
      <c r="H96" s="375">
        <f>IF((F96/G$95)-1&gt;30%,"EXCLUÍDO",IF((F96/G$95)-1&lt;-30%,"EXCLUÍDO",F96))</f>
        <v>79</v>
      </c>
      <c r="I96" s="376">
        <f>IF(F96&lt;&gt;0,(F96/$G$95)-1,"")</f>
        <v>-0.2708814028610983</v>
      </c>
      <c r="J96" s="817"/>
      <c r="K96" s="820"/>
      <c r="L96" s="817"/>
      <c r="M96" s="838"/>
      <c r="N96" s="817"/>
      <c r="O96" s="832"/>
      <c r="P96" s="377"/>
      <c r="Q96" s="378"/>
    </row>
    <row r="97" spans="1:17" s="374" customFormat="1" ht="24" customHeight="1">
      <c r="A97" s="802"/>
      <c r="B97" s="811"/>
      <c r="C97" s="814"/>
      <c r="D97" s="853"/>
      <c r="E97" s="171" t="s">
        <v>567</v>
      </c>
      <c r="F97" s="172">
        <v>110.04</v>
      </c>
      <c r="G97" s="817"/>
      <c r="H97" s="375">
        <f>IF((F97/G$95)-1&gt;30%,"EXCLUÍDO",IF((F97/G$95)-1&lt;-30%,"EXCLUÍDO",F97))</f>
        <v>110.04</v>
      </c>
      <c r="I97" s="376">
        <f>IF(F97&lt;&gt;0,(F97/$G$95)-1,"")</f>
        <v>1.5597600369174014E-2</v>
      </c>
      <c r="J97" s="817"/>
      <c r="K97" s="820"/>
      <c r="L97" s="817"/>
      <c r="M97" s="838"/>
      <c r="N97" s="817"/>
      <c r="O97" s="832"/>
      <c r="P97" s="377"/>
      <c r="Q97" s="378"/>
    </row>
    <row r="98" spans="1:17" s="374" customFormat="1" ht="24" customHeight="1">
      <c r="A98" s="802"/>
      <c r="B98" s="811"/>
      <c r="C98" s="814"/>
      <c r="D98" s="853"/>
      <c r="E98" s="171" t="s">
        <v>569</v>
      </c>
      <c r="F98" s="172">
        <v>125.35</v>
      </c>
      <c r="G98" s="817"/>
      <c r="H98" s="375">
        <f>IF((F98/G$95)-1&gt;30%,"EXCLUÍDO",IF((F98/G$95)-1&lt;-30%,"EXCLUÍDO",F98))</f>
        <v>125.35</v>
      </c>
      <c r="I98" s="376">
        <f>IF(F98&lt;&gt;0,(F98/$G$95)-1,"")</f>
        <v>0.15689893862482673</v>
      </c>
      <c r="J98" s="817"/>
      <c r="K98" s="820"/>
      <c r="L98" s="817"/>
      <c r="M98" s="838"/>
      <c r="N98" s="817"/>
      <c r="O98" s="832"/>
      <c r="P98" s="377"/>
      <c r="Q98" s="378"/>
    </row>
    <row r="99" spans="1:17" s="374" customFormat="1" ht="24" customHeight="1">
      <c r="A99" s="803"/>
      <c r="B99" s="812"/>
      <c r="C99" s="815"/>
      <c r="D99" s="854"/>
      <c r="E99" s="171"/>
      <c r="F99" s="172"/>
      <c r="G99" s="818"/>
      <c r="H99" s="375" t="str">
        <f>IF((F99/G$95)-1&gt;30%,"EXCLUÍDO",IF((F99/G$95)-1&lt;-30%,"EXCLUÍDO",F99))</f>
        <v>EXCLUÍDO</v>
      </c>
      <c r="I99" s="376" t="str">
        <f>IF(F99&lt;&gt;0,(F99/$G$95)-1,"")</f>
        <v/>
      </c>
      <c r="J99" s="818"/>
      <c r="K99" s="821"/>
      <c r="L99" s="818"/>
      <c r="M99" s="839"/>
      <c r="N99" s="818"/>
      <c r="O99" s="833"/>
      <c r="P99" s="377"/>
      <c r="Q99" s="378"/>
    </row>
    <row r="100" spans="1:17" s="374" customFormat="1" ht="24" customHeight="1">
      <c r="A100" s="801">
        <v>19</v>
      </c>
      <c r="B100" s="804" t="s">
        <v>573</v>
      </c>
      <c r="C100" s="801" t="s">
        <v>254</v>
      </c>
      <c r="D100" s="828">
        <v>40</v>
      </c>
      <c r="E100" s="171" t="s">
        <v>570</v>
      </c>
      <c r="F100" s="172">
        <f>199.99+34.57</f>
        <v>234.56</v>
      </c>
      <c r="G100" s="822">
        <f>ROUNDUP(AVERAGE(F100:F104),2)</f>
        <v>247.52</v>
      </c>
      <c r="H100" s="371">
        <f>IF((F100/G$100)-1&gt;30%,"EXCLUÍDO",IF((F100/G$100)-1&lt;-30%,"EXCLUÍDO",F100))</f>
        <v>234.56</v>
      </c>
      <c r="I100" s="372">
        <f>IF(F100&lt;&gt;0,(F100/$G$100)-1,"")</f>
        <v>-5.2359405300581807E-2</v>
      </c>
      <c r="J100" s="822">
        <f>AVERAGE(H100:H104)</f>
        <v>247.51999999999998</v>
      </c>
      <c r="K100" s="825">
        <f>MEDIAN(H100:H104)</f>
        <v>234.56</v>
      </c>
      <c r="L100" s="822">
        <f>STDEV(H100:H104)</f>
        <v>42.508483859107635</v>
      </c>
      <c r="M100" s="840">
        <f>L100/J100</f>
        <v>0.17173757215218019</v>
      </c>
      <c r="N100" s="822">
        <f>IF(M100&lt;25%,J100,K100)</f>
        <v>247.51999999999998</v>
      </c>
      <c r="O100" s="834">
        <f>N100*D100</f>
        <v>9900.7999999999993</v>
      </c>
      <c r="P100" s="377"/>
      <c r="Q100" s="378"/>
    </row>
    <row r="101" spans="1:17" s="374" customFormat="1" ht="24" customHeight="1">
      <c r="A101" s="802"/>
      <c r="B101" s="805"/>
      <c r="C101" s="802"/>
      <c r="D101" s="829"/>
      <c r="E101" s="171" t="s">
        <v>571</v>
      </c>
      <c r="F101" s="172">
        <v>295</v>
      </c>
      <c r="G101" s="823"/>
      <c r="H101" s="371">
        <f>IF((F101/G$100)-1&gt;30%,"EXCLUÍDO",IF((F101/G$100)-1&lt;-30%,"EXCLUÍDO",F101))</f>
        <v>295</v>
      </c>
      <c r="I101" s="372">
        <f>IF(F101&lt;&gt;0,(F101/$G$100)-1,"")</f>
        <v>0.19182288299935357</v>
      </c>
      <c r="J101" s="823"/>
      <c r="K101" s="826"/>
      <c r="L101" s="823"/>
      <c r="M101" s="841"/>
      <c r="N101" s="823"/>
      <c r="O101" s="835"/>
      <c r="P101" s="377"/>
      <c r="Q101" s="378"/>
    </row>
    <row r="102" spans="1:17" s="374" customFormat="1" ht="24" customHeight="1">
      <c r="A102" s="802"/>
      <c r="B102" s="805"/>
      <c r="C102" s="802"/>
      <c r="D102" s="829"/>
      <c r="E102" s="171" t="s">
        <v>572</v>
      </c>
      <c r="F102" s="172">
        <v>213</v>
      </c>
      <c r="G102" s="823"/>
      <c r="H102" s="371">
        <f>IF((F102/G$100)-1&gt;30%,"EXCLUÍDO",IF((F102/G$100)-1&lt;-30%,"EXCLUÍDO",F102))</f>
        <v>213</v>
      </c>
      <c r="I102" s="372">
        <f>IF(F102&lt;&gt;0,(F102/$G$100)-1,"")</f>
        <v>-0.13946347769877188</v>
      </c>
      <c r="J102" s="823"/>
      <c r="K102" s="826"/>
      <c r="L102" s="823"/>
      <c r="M102" s="841"/>
      <c r="N102" s="823"/>
      <c r="O102" s="835"/>
      <c r="P102" s="377"/>
      <c r="Q102" s="378"/>
    </row>
    <row r="103" spans="1:17" s="374" customFormat="1" ht="24" customHeight="1">
      <c r="A103" s="802"/>
      <c r="B103" s="805"/>
      <c r="C103" s="802"/>
      <c r="D103" s="829"/>
      <c r="E103" s="171"/>
      <c r="F103" s="172"/>
      <c r="G103" s="823"/>
      <c r="H103" s="371" t="str">
        <f>IF((F103/G$100)-1&gt;30%,"EXCLUÍDO",IF((F103/G$100)-1&lt;-30%,"EXCLUÍDO",F103))</f>
        <v>EXCLUÍDO</v>
      </c>
      <c r="I103" s="372" t="str">
        <f>IF(F103&lt;&gt;0,(F103/$G$100)-1,"")</f>
        <v/>
      </c>
      <c r="J103" s="823"/>
      <c r="K103" s="826"/>
      <c r="L103" s="823"/>
      <c r="M103" s="841"/>
      <c r="N103" s="823"/>
      <c r="O103" s="835"/>
      <c r="P103" s="377"/>
      <c r="Q103" s="378"/>
    </row>
    <row r="104" spans="1:17" s="374" customFormat="1" ht="24" customHeight="1">
      <c r="A104" s="803"/>
      <c r="B104" s="806"/>
      <c r="C104" s="803"/>
      <c r="D104" s="830"/>
      <c r="E104" s="171"/>
      <c r="F104" s="172"/>
      <c r="G104" s="824"/>
      <c r="H104" s="371" t="str">
        <f>IF((F104/G$100)-1&gt;30%,"EXCLUÍDO",IF((F104/G$100)-1&lt;-30%,"EXCLUÍDO",F104))</f>
        <v>EXCLUÍDO</v>
      </c>
      <c r="I104" s="372" t="str">
        <f>IF(F104&lt;&gt;0,(F104/$G$100)-1,"")</f>
        <v/>
      </c>
      <c r="J104" s="824"/>
      <c r="K104" s="827"/>
      <c r="L104" s="824"/>
      <c r="M104" s="842"/>
      <c r="N104" s="824"/>
      <c r="O104" s="836"/>
      <c r="P104" s="377"/>
      <c r="Q104" s="378"/>
    </row>
    <row r="105" spans="1:17" s="374" customFormat="1" ht="24" customHeight="1">
      <c r="A105" s="801">
        <v>20</v>
      </c>
      <c r="B105" s="810" t="s">
        <v>586</v>
      </c>
      <c r="C105" s="813" t="s">
        <v>254</v>
      </c>
      <c r="D105" s="807">
        <v>22</v>
      </c>
      <c r="E105" s="171" t="s">
        <v>574</v>
      </c>
      <c r="F105" s="172">
        <v>76.989999999999995</v>
      </c>
      <c r="G105" s="816">
        <f>ROUNDUP(AVERAGE(F105:F109),2)</f>
        <v>67.37</v>
      </c>
      <c r="H105" s="375">
        <f>IF((F105/G$105)-1&gt;30%,"EXCLUÍDO",IF((F105/G$105)-1&lt;-30%,"EXCLUÍDO",F105))</f>
        <v>76.989999999999995</v>
      </c>
      <c r="I105" s="376">
        <f>IF(F105&lt;&gt;0,(F105/$G$105)-1,"")</f>
        <v>0.14279352827668079</v>
      </c>
      <c r="J105" s="816">
        <f>AVERAGE(H105:H109)</f>
        <v>67.36333333333333</v>
      </c>
      <c r="K105" s="819">
        <f>MEDIAN(H105:H109)</f>
        <v>73.099999999999994</v>
      </c>
      <c r="L105" s="816">
        <f>STDEV(H105:H109)</f>
        <v>13.446450584943692</v>
      </c>
      <c r="M105" s="837">
        <f>L105/J105</f>
        <v>0.19961082564615309</v>
      </c>
      <c r="N105" s="816">
        <f>IF(M105&lt;25%,J105,K105)</f>
        <v>67.36333333333333</v>
      </c>
      <c r="O105" s="831">
        <f>N105*D105</f>
        <v>1481.9933333333333</v>
      </c>
      <c r="P105" s="377"/>
      <c r="Q105" s="378"/>
    </row>
    <row r="106" spans="1:17" s="374" customFormat="1" ht="24" customHeight="1">
      <c r="A106" s="802"/>
      <c r="B106" s="811"/>
      <c r="C106" s="814"/>
      <c r="D106" s="808"/>
      <c r="E106" s="171" t="s">
        <v>575</v>
      </c>
      <c r="F106" s="172">
        <v>52</v>
      </c>
      <c r="G106" s="817"/>
      <c r="H106" s="375">
        <f>IF((F106/G$105)-1&gt;30%,"EXCLUÍDO",IF((F106/G$105)-1&lt;-30%,"EXCLUÍDO",F106))</f>
        <v>52</v>
      </c>
      <c r="I106" s="376">
        <f>IF(F106&lt;&gt;0,(F106/$G$105)-1,"")</f>
        <v>-0.22814309039631886</v>
      </c>
      <c r="J106" s="817"/>
      <c r="K106" s="820"/>
      <c r="L106" s="817"/>
      <c r="M106" s="838"/>
      <c r="N106" s="817"/>
      <c r="O106" s="832"/>
      <c r="P106" s="377"/>
      <c r="Q106" s="378"/>
    </row>
    <row r="107" spans="1:17" s="374" customFormat="1" ht="24" customHeight="1">
      <c r="A107" s="802"/>
      <c r="B107" s="811"/>
      <c r="C107" s="814"/>
      <c r="D107" s="808"/>
      <c r="E107" s="171" t="s">
        <v>576</v>
      </c>
      <c r="F107" s="172">
        <v>73.099999999999994</v>
      </c>
      <c r="G107" s="817"/>
      <c r="H107" s="375">
        <f>IF((F107/G$105)-1&gt;30%,"EXCLUÍDO",IF((F107/G$105)-1&lt;-30%,"EXCLUÍDO",F107))</f>
        <v>73.099999999999994</v>
      </c>
      <c r="I107" s="376">
        <f>IF(F107&lt;&gt;0,(F107/$G$105)-1,"")</f>
        <v>8.5052694077482505E-2</v>
      </c>
      <c r="J107" s="817"/>
      <c r="K107" s="820"/>
      <c r="L107" s="817"/>
      <c r="M107" s="838"/>
      <c r="N107" s="817"/>
      <c r="O107" s="832"/>
      <c r="P107" s="377"/>
      <c r="Q107" s="378"/>
    </row>
    <row r="108" spans="1:17" s="374" customFormat="1" ht="24" customHeight="1">
      <c r="A108" s="802"/>
      <c r="B108" s="811"/>
      <c r="C108" s="814"/>
      <c r="D108" s="808"/>
      <c r="E108" s="171"/>
      <c r="F108" s="172"/>
      <c r="G108" s="817"/>
      <c r="H108" s="375" t="str">
        <f>IF((F108/G$105)-1&gt;30%,"EXCLUÍDO",IF((F108/G$105)-1&lt;-30%,"EXCLUÍDO",F108))</f>
        <v>EXCLUÍDO</v>
      </c>
      <c r="I108" s="376" t="str">
        <f>IF(F108&lt;&gt;0,(F108/$G$105)-1,"")</f>
        <v/>
      </c>
      <c r="J108" s="817"/>
      <c r="K108" s="820"/>
      <c r="L108" s="817"/>
      <c r="M108" s="838"/>
      <c r="N108" s="817"/>
      <c r="O108" s="832"/>
      <c r="P108" s="377"/>
      <c r="Q108" s="378"/>
    </row>
    <row r="109" spans="1:17" s="374" customFormat="1" ht="24" customHeight="1">
      <c r="A109" s="803"/>
      <c r="B109" s="812"/>
      <c r="C109" s="815"/>
      <c r="D109" s="809"/>
      <c r="E109" s="171"/>
      <c r="F109" s="172"/>
      <c r="G109" s="818"/>
      <c r="H109" s="375" t="str">
        <f>IF((F109/G$105)-1&gt;30%,"EXCLUÍDO",IF((F109/G$105)-1&lt;-30%,"EXCLUÍDO",F109))</f>
        <v>EXCLUÍDO</v>
      </c>
      <c r="I109" s="376" t="str">
        <f>IF(F109&lt;&gt;0,(F109/$G$105)-1,"")</f>
        <v/>
      </c>
      <c r="J109" s="818"/>
      <c r="K109" s="821"/>
      <c r="L109" s="818"/>
      <c r="M109" s="839"/>
      <c r="N109" s="818"/>
      <c r="O109" s="833"/>
      <c r="P109" s="377"/>
      <c r="Q109" s="378"/>
    </row>
    <row r="110" spans="1:17" s="374" customFormat="1" ht="24" customHeight="1">
      <c r="A110" s="801">
        <v>21</v>
      </c>
      <c r="B110" s="849" t="s">
        <v>577</v>
      </c>
      <c r="C110" s="801" t="s">
        <v>254</v>
      </c>
      <c r="D110" s="828">
        <v>6</v>
      </c>
      <c r="E110" s="171" t="s">
        <v>578</v>
      </c>
      <c r="F110" s="172">
        <v>499</v>
      </c>
      <c r="G110" s="822">
        <f>ROUNDUP(AVERAGE(F110:F114),2)</f>
        <v>399.64</v>
      </c>
      <c r="H110" s="371">
        <f>IF((F110/G$110)-1&gt;30%,"EXCLUÍDO",IF((F110/G$110)-1&lt;-30%,"EXCLUÍDO",F110))</f>
        <v>499</v>
      </c>
      <c r="I110" s="372">
        <f>IF(F110&lt;&gt;0,(F110/$G$110)-1,"")</f>
        <v>0.24862376138524667</v>
      </c>
      <c r="J110" s="822">
        <f>AVERAGE(H110:H114)</f>
        <v>399.63333333333338</v>
      </c>
      <c r="K110" s="825">
        <f>MEDIAN(H110:H114)</f>
        <v>350</v>
      </c>
      <c r="L110" s="822">
        <f>STDEV(H110:H114)</f>
        <v>86.054072148465551</v>
      </c>
      <c r="M110" s="840">
        <f>L110/J110</f>
        <v>0.21533256855900962</v>
      </c>
      <c r="N110" s="822">
        <f>IF(M110&lt;25%,J110,K110)</f>
        <v>399.63333333333338</v>
      </c>
      <c r="O110" s="834">
        <f>N110*D110</f>
        <v>2397.8000000000002</v>
      </c>
      <c r="P110" s="377"/>
      <c r="Q110" s="378"/>
    </row>
    <row r="111" spans="1:17" s="374" customFormat="1" ht="24" customHeight="1">
      <c r="A111" s="802"/>
      <c r="B111" s="850"/>
      <c r="C111" s="802"/>
      <c r="D111" s="829"/>
      <c r="E111" s="171" t="s">
        <v>559</v>
      </c>
      <c r="F111" s="172">
        <v>350</v>
      </c>
      <c r="G111" s="823"/>
      <c r="H111" s="371">
        <f>IF((F111/G$110)-1&gt;30%,"EXCLUÍDO",IF((F111/G$110)-1&lt;-30%,"EXCLUÍDO",F111))</f>
        <v>350</v>
      </c>
      <c r="I111" s="372">
        <f>IF(F111&lt;&gt;0,(F111/$G$110)-1,"")</f>
        <v>-0.12421179061155041</v>
      </c>
      <c r="J111" s="823"/>
      <c r="K111" s="826"/>
      <c r="L111" s="823"/>
      <c r="M111" s="841"/>
      <c r="N111" s="823"/>
      <c r="O111" s="835"/>
      <c r="P111" s="377"/>
      <c r="Q111" s="378"/>
    </row>
    <row r="112" spans="1:17" s="374" customFormat="1" ht="24" customHeight="1">
      <c r="A112" s="802"/>
      <c r="B112" s="850"/>
      <c r="C112" s="802"/>
      <c r="D112" s="829"/>
      <c r="E112" s="171" t="s">
        <v>579</v>
      </c>
      <c r="F112" s="172">
        <v>349.9</v>
      </c>
      <c r="G112" s="823"/>
      <c r="H112" s="371">
        <f>IF((F112/G$110)-1&gt;30%,"EXCLUÍDO",IF((F112/G$110)-1&lt;-30%,"EXCLUÍDO",F112))</f>
        <v>349.9</v>
      </c>
      <c r="I112" s="372">
        <f>IF(F112&lt;&gt;0,(F112/$G$110)-1,"")</f>
        <v>-0.12446201581423288</v>
      </c>
      <c r="J112" s="823"/>
      <c r="K112" s="826"/>
      <c r="L112" s="823"/>
      <c r="M112" s="841"/>
      <c r="N112" s="823"/>
      <c r="O112" s="835"/>
      <c r="P112" s="377"/>
      <c r="Q112" s="378"/>
    </row>
    <row r="113" spans="1:17" s="374" customFormat="1" ht="24" customHeight="1">
      <c r="A113" s="802"/>
      <c r="B113" s="850"/>
      <c r="C113" s="802"/>
      <c r="D113" s="829"/>
      <c r="E113" s="171"/>
      <c r="F113" s="172"/>
      <c r="G113" s="823"/>
      <c r="H113" s="371" t="str">
        <f>IF((F113/G$110)-1&gt;30%,"EXCLUÍDO",IF((F113/G$110)-1&lt;-30%,"EXCLUÍDO",F113))</f>
        <v>EXCLUÍDO</v>
      </c>
      <c r="I113" s="372" t="str">
        <f>IF(F113&lt;&gt;0,(F113/$G$110)-1,"")</f>
        <v/>
      </c>
      <c r="J113" s="823"/>
      <c r="K113" s="826"/>
      <c r="L113" s="823"/>
      <c r="M113" s="841"/>
      <c r="N113" s="823"/>
      <c r="O113" s="835"/>
      <c r="P113" s="377"/>
      <c r="Q113" s="378"/>
    </row>
    <row r="114" spans="1:17" s="374" customFormat="1" ht="24" customHeight="1">
      <c r="A114" s="803"/>
      <c r="B114" s="851"/>
      <c r="C114" s="803"/>
      <c r="D114" s="830"/>
      <c r="E114" s="171"/>
      <c r="F114" s="172"/>
      <c r="G114" s="824"/>
      <c r="H114" s="371" t="str">
        <f>IF((F114/G$110)-1&gt;30%,"EXCLUÍDO",IF((F114/G$110)-1&lt;-30%,"EXCLUÍDO",F114))</f>
        <v>EXCLUÍDO</v>
      </c>
      <c r="I114" s="372" t="str">
        <f>IF(F114&lt;&gt;0,(F114/$G$110)-1,"")</f>
        <v/>
      </c>
      <c r="J114" s="824"/>
      <c r="K114" s="827"/>
      <c r="L114" s="824"/>
      <c r="M114" s="842"/>
      <c r="N114" s="824"/>
      <c r="O114" s="836"/>
      <c r="P114" s="377"/>
      <c r="Q114" s="378"/>
    </row>
    <row r="115" spans="1:17" s="374" customFormat="1" ht="24" customHeight="1">
      <c r="A115" s="801">
        <v>22</v>
      </c>
      <c r="B115" s="810" t="s">
        <v>580</v>
      </c>
      <c r="C115" s="813" t="s">
        <v>254</v>
      </c>
      <c r="D115" s="807">
        <v>5</v>
      </c>
      <c r="E115" s="171" t="s">
        <v>581</v>
      </c>
      <c r="F115" s="172">
        <f>246+35.99</f>
        <v>281.99</v>
      </c>
      <c r="G115" s="816">
        <f>ROUNDUP(AVERAGE(F115:F119),2)</f>
        <v>211.1</v>
      </c>
      <c r="H115" s="375" t="str">
        <f>IF((F115/G$115)-1&gt;30%,"EXCLUÍDO",IF((F115/G$115)-1&lt;-30%,"EXCLUÍDO",F115))</f>
        <v>EXCLUÍDO</v>
      </c>
      <c r="I115" s="376">
        <f>IF(F115&lt;&gt;0,(F115/$G$115)-1,"")</f>
        <v>0.33581241117953575</v>
      </c>
      <c r="J115" s="816">
        <f>AVERAGE(H115:H119)</f>
        <v>193.36750000000001</v>
      </c>
      <c r="K115" s="819">
        <f>MEDIAN(H115:H119)</f>
        <v>180.29500000000002</v>
      </c>
      <c r="L115" s="816">
        <f>STDEV(H115:H119)</f>
        <v>31.608933731884512</v>
      </c>
      <c r="M115" s="837">
        <f>L115/J115</f>
        <v>0.16346559650346884</v>
      </c>
      <c r="N115" s="816">
        <f>IF(M115&lt;25%,J115,K115)</f>
        <v>193.36750000000001</v>
      </c>
      <c r="O115" s="831">
        <f>N115*D115</f>
        <v>966.83750000000009</v>
      </c>
      <c r="P115" s="377"/>
      <c r="Q115" s="378"/>
    </row>
    <row r="116" spans="1:17" s="374" customFormat="1" ht="24" customHeight="1">
      <c r="A116" s="802"/>
      <c r="B116" s="811"/>
      <c r="C116" s="814"/>
      <c r="D116" s="808"/>
      <c r="E116" s="171" t="s">
        <v>582</v>
      </c>
      <c r="F116" s="172">
        <f>159.9+25.99</f>
        <v>185.89000000000001</v>
      </c>
      <c r="G116" s="817"/>
      <c r="H116" s="375">
        <f>IF((F116/G$115)-1&gt;30%,"EXCLUÍDO",IF((F116/G$115)-1&lt;-30%,"EXCLUÍDO",F116))</f>
        <v>185.89000000000001</v>
      </c>
      <c r="I116" s="376">
        <f>IF(F116&lt;&gt;0,(F116/$G$115)-1,"")</f>
        <v>-0.11942207484604439</v>
      </c>
      <c r="J116" s="817"/>
      <c r="K116" s="820"/>
      <c r="L116" s="817"/>
      <c r="M116" s="838"/>
      <c r="N116" s="817"/>
      <c r="O116" s="832"/>
      <c r="P116" s="377"/>
      <c r="Q116" s="378"/>
    </row>
    <row r="117" spans="1:17" s="374" customFormat="1" ht="24" customHeight="1">
      <c r="A117" s="802"/>
      <c r="B117" s="811"/>
      <c r="C117" s="814"/>
      <c r="D117" s="808"/>
      <c r="E117" s="171" t="s">
        <v>583</v>
      </c>
      <c r="F117" s="172">
        <f>159+80.99</f>
        <v>239.99</v>
      </c>
      <c r="G117" s="817"/>
      <c r="H117" s="375">
        <f>IF((F117/G$115)-1&gt;30%,"EXCLUÍDO",IF((F117/G$115)-1&lt;-30%,"EXCLUÍDO",F117))</f>
        <v>239.99</v>
      </c>
      <c r="I117" s="376">
        <f>IF(F117&lt;&gt;0,(F117/$G$115)-1,"")</f>
        <v>0.13685457129322609</v>
      </c>
      <c r="J117" s="817"/>
      <c r="K117" s="820"/>
      <c r="L117" s="817"/>
      <c r="M117" s="838"/>
      <c r="N117" s="817"/>
      <c r="O117" s="832"/>
      <c r="P117" s="377"/>
      <c r="Q117" s="378"/>
    </row>
    <row r="118" spans="1:17" s="374" customFormat="1" ht="24" customHeight="1">
      <c r="A118" s="802"/>
      <c r="B118" s="811"/>
      <c r="C118" s="814"/>
      <c r="D118" s="808"/>
      <c r="E118" s="171" t="s">
        <v>584</v>
      </c>
      <c r="F118" s="172">
        <f>129.99+44.71</f>
        <v>174.70000000000002</v>
      </c>
      <c r="G118" s="817"/>
      <c r="H118" s="375">
        <f>IF((F118/G$115)-1&gt;30%,"EXCLUÍDO",IF((F118/G$115)-1&lt;-30%,"EXCLUÍDO",F118))</f>
        <v>174.70000000000002</v>
      </c>
      <c r="I118" s="376">
        <f>IF(F118&lt;&gt;0,(F118/$G$115)-1,"")</f>
        <v>-0.17243012790146839</v>
      </c>
      <c r="J118" s="817"/>
      <c r="K118" s="820"/>
      <c r="L118" s="817"/>
      <c r="M118" s="838"/>
      <c r="N118" s="817"/>
      <c r="O118" s="832"/>
      <c r="P118" s="377"/>
      <c r="Q118" s="378"/>
    </row>
    <row r="119" spans="1:17" s="374" customFormat="1" ht="24" customHeight="1">
      <c r="A119" s="803"/>
      <c r="B119" s="812"/>
      <c r="C119" s="815"/>
      <c r="D119" s="809"/>
      <c r="E119" s="171" t="s">
        <v>585</v>
      </c>
      <c r="F119" s="172">
        <f>149.9+22.99</f>
        <v>172.89000000000001</v>
      </c>
      <c r="G119" s="818"/>
      <c r="H119" s="375">
        <f>IF((F119/G$115)-1&gt;30%,"EXCLUÍDO",IF((F119/G$115)-1&lt;-30%,"EXCLUÍDO",F119))</f>
        <v>172.89000000000001</v>
      </c>
      <c r="I119" s="376">
        <f>IF(F119&lt;&gt;0,(F119/$G$115)-1,"")</f>
        <v>-0.18100426338228315</v>
      </c>
      <c r="J119" s="818"/>
      <c r="K119" s="821"/>
      <c r="L119" s="818"/>
      <c r="M119" s="839"/>
      <c r="N119" s="818"/>
      <c r="O119" s="833"/>
      <c r="P119" s="377"/>
      <c r="Q119" s="378"/>
    </row>
    <row r="120" spans="1:17" s="374" customFormat="1" ht="24" customHeight="1">
      <c r="A120" s="801">
        <v>23</v>
      </c>
      <c r="B120" s="804" t="s">
        <v>724</v>
      </c>
      <c r="C120" s="801" t="s">
        <v>254</v>
      </c>
      <c r="D120" s="828">
        <v>4</v>
      </c>
      <c r="E120" s="171" t="s">
        <v>366</v>
      </c>
      <c r="F120" s="172">
        <v>42.99</v>
      </c>
      <c r="G120" s="822">
        <f>ROUNDUP(AVERAGE(F120:F124),2)</f>
        <v>53.66</v>
      </c>
      <c r="H120" s="371">
        <f>IF((F120/G$120)-1&gt;30%,"EXCLUÍDO",IF((F120/G$120)-1&lt;-30%,"EXCLUÍDO",F120))</f>
        <v>42.99</v>
      </c>
      <c r="I120" s="372">
        <f>IF(F120&lt;&gt;0,(F120/$G$120)-1,"")</f>
        <v>-0.19884457696608271</v>
      </c>
      <c r="J120" s="822">
        <f>AVERAGE(H120:H124)</f>
        <v>53.660000000000004</v>
      </c>
      <c r="K120" s="825">
        <f>MEDIAN(H120:H124)</f>
        <v>51.849999999999994</v>
      </c>
      <c r="L120" s="822">
        <f>STDEV(H120:H124)</f>
        <v>10.677237470432116</v>
      </c>
      <c r="M120" s="840">
        <f>L120/J120</f>
        <v>0.19897945341841439</v>
      </c>
      <c r="N120" s="822">
        <f>IF(M120&lt;25%,J120,K120)</f>
        <v>53.660000000000004</v>
      </c>
      <c r="O120" s="834">
        <f>N120*D120</f>
        <v>214.64000000000001</v>
      </c>
      <c r="P120" s="377"/>
      <c r="Q120" s="378"/>
    </row>
    <row r="121" spans="1:17" s="374" customFormat="1" ht="24" customHeight="1">
      <c r="A121" s="802"/>
      <c r="B121" s="805"/>
      <c r="C121" s="802"/>
      <c r="D121" s="829"/>
      <c r="E121" s="171" t="s">
        <v>578</v>
      </c>
      <c r="F121" s="172">
        <f>35.9+18.9</f>
        <v>54.8</v>
      </c>
      <c r="G121" s="823"/>
      <c r="H121" s="371">
        <f t="shared" ref="H121:H124" si="1">IF((F121/G$120)-1&gt;30%,"EXCLUÍDO",IF((F121/G$120)-1&lt;-30%,"EXCLUÍDO",F121))</f>
        <v>54.8</v>
      </c>
      <c r="I121" s="372">
        <f t="shared" ref="I121:I124" si="2">IF(F121&lt;&gt;0,(F121/$G$120)-1,"")</f>
        <v>2.1244875139768915E-2</v>
      </c>
      <c r="J121" s="823"/>
      <c r="K121" s="826"/>
      <c r="L121" s="823"/>
      <c r="M121" s="841"/>
      <c r="N121" s="823"/>
      <c r="O121" s="835"/>
      <c r="P121" s="377"/>
      <c r="Q121" s="378"/>
    </row>
    <row r="122" spans="1:17" s="374" customFormat="1" ht="24" customHeight="1">
      <c r="A122" s="802"/>
      <c r="B122" s="805"/>
      <c r="C122" s="802"/>
      <c r="D122" s="829"/>
      <c r="E122" s="171" t="s">
        <v>587</v>
      </c>
      <c r="F122" s="172">
        <f>42.99+24.96</f>
        <v>67.95</v>
      </c>
      <c r="G122" s="823"/>
      <c r="H122" s="371">
        <f t="shared" si="1"/>
        <v>67.95</v>
      </c>
      <c r="I122" s="372">
        <f t="shared" si="2"/>
        <v>0.26630637346254216</v>
      </c>
      <c r="J122" s="823"/>
      <c r="K122" s="826"/>
      <c r="L122" s="823"/>
      <c r="M122" s="841"/>
      <c r="N122" s="823"/>
      <c r="O122" s="835"/>
      <c r="P122" s="377"/>
      <c r="Q122" s="378"/>
    </row>
    <row r="123" spans="1:17" s="374" customFormat="1" ht="24" customHeight="1">
      <c r="A123" s="802"/>
      <c r="B123" s="805"/>
      <c r="C123" s="802"/>
      <c r="D123" s="829"/>
      <c r="E123" s="171" t="s">
        <v>588</v>
      </c>
      <c r="F123" s="172">
        <v>48.9</v>
      </c>
      <c r="G123" s="823"/>
      <c r="H123" s="371">
        <f t="shared" si="1"/>
        <v>48.9</v>
      </c>
      <c r="I123" s="372">
        <f t="shared" si="2"/>
        <v>-8.8706671636228029E-2</v>
      </c>
      <c r="J123" s="823"/>
      <c r="K123" s="826"/>
      <c r="L123" s="823"/>
      <c r="M123" s="841"/>
      <c r="N123" s="823"/>
      <c r="O123" s="835"/>
      <c r="P123" s="377"/>
      <c r="Q123" s="378"/>
    </row>
    <row r="124" spans="1:17" s="374" customFormat="1" ht="24" customHeight="1">
      <c r="A124" s="803"/>
      <c r="B124" s="806"/>
      <c r="C124" s="803"/>
      <c r="D124" s="830"/>
      <c r="E124" s="171"/>
      <c r="F124" s="172"/>
      <c r="G124" s="824"/>
      <c r="H124" s="371" t="str">
        <f t="shared" si="1"/>
        <v>EXCLUÍDO</v>
      </c>
      <c r="I124" s="372" t="str">
        <f t="shared" si="2"/>
        <v/>
      </c>
      <c r="J124" s="824"/>
      <c r="K124" s="827"/>
      <c r="L124" s="824"/>
      <c r="M124" s="842"/>
      <c r="N124" s="824"/>
      <c r="O124" s="836"/>
      <c r="P124" s="377"/>
      <c r="Q124" s="378"/>
    </row>
    <row r="125" spans="1:17" s="359" customFormat="1" ht="26.25" customHeight="1">
      <c r="A125" s="801">
        <v>24</v>
      </c>
      <c r="B125" s="810" t="s">
        <v>725</v>
      </c>
      <c r="C125" s="813" t="s">
        <v>254</v>
      </c>
      <c r="D125" s="807">
        <v>4</v>
      </c>
      <c r="E125" s="171" t="s">
        <v>589</v>
      </c>
      <c r="F125" s="172">
        <v>46.82</v>
      </c>
      <c r="G125" s="816">
        <f>ROUNDUP(AVERAGE(F125:F129),2)</f>
        <v>33.5</v>
      </c>
      <c r="H125" s="375" t="str">
        <f>IF((F125/G$125)-1&gt;30%,"EXCLUÍDO",IF((F125/G$125)-1&lt;-30%,"EXCLUÍDO",F125))</f>
        <v>EXCLUÍDO</v>
      </c>
      <c r="I125" s="376">
        <f>IF(F125&lt;&gt;0,(F125/$G$125)-1,"")</f>
        <v>0.39761194029850744</v>
      </c>
      <c r="J125" s="816">
        <f>AVERAGE(H125:H129)</f>
        <v>33.229999999999997</v>
      </c>
      <c r="K125" s="819">
        <f>MEDIAN(H125:H129)</f>
        <v>34.9</v>
      </c>
      <c r="L125" s="816">
        <f>STDEV(H125:H129)</f>
        <v>5.5951496852184492</v>
      </c>
      <c r="M125" s="837">
        <f>L125/J125</f>
        <v>0.16837645757503611</v>
      </c>
      <c r="N125" s="816">
        <f>IF(M125&lt;25%,J125,K125)</f>
        <v>33.229999999999997</v>
      </c>
      <c r="O125" s="831">
        <f>N125*D125</f>
        <v>132.91999999999999</v>
      </c>
      <c r="P125" s="380"/>
      <c r="Q125" s="381"/>
    </row>
    <row r="126" spans="1:17" s="359" customFormat="1" ht="26.25" customHeight="1">
      <c r="A126" s="802"/>
      <c r="B126" s="811"/>
      <c r="C126" s="814"/>
      <c r="D126" s="808"/>
      <c r="E126" s="171" t="s">
        <v>590</v>
      </c>
      <c r="F126" s="172">
        <v>37.799999999999997</v>
      </c>
      <c r="G126" s="817"/>
      <c r="H126" s="375">
        <f t="shared" ref="H126:H129" si="3">IF((F126/G$125)-1&gt;30%,"EXCLUÍDO",IF((F126/G$125)-1&lt;-30%,"EXCLUÍDO",F126))</f>
        <v>37.799999999999997</v>
      </c>
      <c r="I126" s="376">
        <f t="shared" ref="I126:I129" si="4">IF(F126&lt;&gt;0,(F126/$G$125)-1,"")</f>
        <v>0.12835820895522376</v>
      </c>
      <c r="J126" s="817"/>
      <c r="K126" s="820"/>
      <c r="L126" s="817"/>
      <c r="M126" s="838"/>
      <c r="N126" s="817"/>
      <c r="O126" s="832"/>
      <c r="P126" s="380"/>
      <c r="Q126" s="381"/>
    </row>
    <row r="127" spans="1:17" s="359" customFormat="1" ht="26.25" customHeight="1">
      <c r="A127" s="802"/>
      <c r="B127" s="811"/>
      <c r="C127" s="814"/>
      <c r="D127" s="808"/>
      <c r="E127" s="171" t="s">
        <v>591</v>
      </c>
      <c r="F127" s="172">
        <v>34.9</v>
      </c>
      <c r="G127" s="817"/>
      <c r="H127" s="375">
        <f t="shared" si="3"/>
        <v>34.9</v>
      </c>
      <c r="I127" s="376">
        <f t="shared" si="4"/>
        <v>4.179104477611939E-2</v>
      </c>
      <c r="J127" s="817"/>
      <c r="K127" s="820"/>
      <c r="L127" s="817"/>
      <c r="M127" s="838"/>
      <c r="N127" s="817"/>
      <c r="O127" s="832"/>
      <c r="P127" s="380"/>
      <c r="Q127" s="381"/>
    </row>
    <row r="128" spans="1:17" s="359" customFormat="1" ht="26.25" customHeight="1">
      <c r="A128" s="802"/>
      <c r="B128" s="811"/>
      <c r="C128" s="814"/>
      <c r="D128" s="808"/>
      <c r="E128" s="171" t="s">
        <v>592</v>
      </c>
      <c r="F128" s="172">
        <v>20.96</v>
      </c>
      <c r="G128" s="817"/>
      <c r="H128" s="375" t="str">
        <f t="shared" si="3"/>
        <v>EXCLUÍDO</v>
      </c>
      <c r="I128" s="376">
        <f t="shared" si="4"/>
        <v>-0.37432835820895516</v>
      </c>
      <c r="J128" s="817"/>
      <c r="K128" s="820"/>
      <c r="L128" s="817"/>
      <c r="M128" s="838"/>
      <c r="N128" s="817"/>
      <c r="O128" s="832"/>
      <c r="P128" s="380"/>
      <c r="Q128" s="381"/>
    </row>
    <row r="129" spans="1:17" s="359" customFormat="1" ht="26.25" customHeight="1">
      <c r="A129" s="803"/>
      <c r="B129" s="812"/>
      <c r="C129" s="815"/>
      <c r="D129" s="809"/>
      <c r="E129" s="171" t="s">
        <v>593</v>
      </c>
      <c r="F129" s="172">
        <v>26.99</v>
      </c>
      <c r="G129" s="818"/>
      <c r="H129" s="375">
        <f t="shared" si="3"/>
        <v>26.99</v>
      </c>
      <c r="I129" s="376">
        <f t="shared" si="4"/>
        <v>-0.19432835820895522</v>
      </c>
      <c r="J129" s="818"/>
      <c r="K129" s="821"/>
      <c r="L129" s="818"/>
      <c r="M129" s="839"/>
      <c r="N129" s="818"/>
      <c r="O129" s="833"/>
      <c r="P129" s="380"/>
      <c r="Q129" s="381"/>
    </row>
    <row r="130" spans="1:17" s="359" customFormat="1" ht="24" customHeight="1">
      <c r="A130" s="801">
        <v>25</v>
      </c>
      <c r="B130" s="804" t="s">
        <v>726</v>
      </c>
      <c r="C130" s="801" t="s">
        <v>254</v>
      </c>
      <c r="D130" s="828">
        <v>4</v>
      </c>
      <c r="E130" s="171" t="s">
        <v>578</v>
      </c>
      <c r="F130" s="172">
        <f>11.9+16.8</f>
        <v>28.700000000000003</v>
      </c>
      <c r="G130" s="822">
        <f>ROUNDUP(AVERAGE(F130:F134),2)</f>
        <v>18.96</v>
      </c>
      <c r="H130" s="371" t="str">
        <f>IF((F130/G$130)-1&gt;30%,"EXCLUÍDO",IF((F130/G$130)-1&lt;-30%,"EXCLUÍDO",F130))</f>
        <v>EXCLUÍDO</v>
      </c>
      <c r="I130" s="372">
        <f>IF(F130&lt;&gt;0,(F130/$G$130)-1,"")</f>
        <v>0.51371308016877637</v>
      </c>
      <c r="J130" s="822">
        <f>AVERAGE(H130:H134)</f>
        <v>18.399999999999999</v>
      </c>
      <c r="K130" s="825">
        <f>MEDIAN(H130:H134)</f>
        <v>18.399999999999999</v>
      </c>
      <c r="L130" s="822">
        <f>STDEV(H130:H134)</f>
        <v>2.2627416997969516</v>
      </c>
      <c r="M130" s="840">
        <f>L130/J130</f>
        <v>0.12297509238026912</v>
      </c>
      <c r="N130" s="822">
        <f>IF(M130&lt;25%,J130,K130)</f>
        <v>18.399999999999999</v>
      </c>
      <c r="O130" s="834">
        <f>N130*D130</f>
        <v>73.599999999999994</v>
      </c>
      <c r="P130" s="380"/>
      <c r="Q130" s="381"/>
    </row>
    <row r="131" spans="1:17" s="359" customFormat="1" ht="24" customHeight="1">
      <c r="A131" s="802"/>
      <c r="B131" s="805"/>
      <c r="C131" s="802"/>
      <c r="D131" s="829"/>
      <c r="E131" s="171" t="s">
        <v>594</v>
      </c>
      <c r="F131" s="172">
        <v>10.32</v>
      </c>
      <c r="G131" s="823"/>
      <c r="H131" s="371" t="str">
        <f t="shared" ref="H131:H134" si="5">IF((F131/G$130)-1&gt;30%,"EXCLUÍDO",IF((F131/G$130)-1&lt;-30%,"EXCLUÍDO",F131))</f>
        <v>EXCLUÍDO</v>
      </c>
      <c r="I131" s="372">
        <f t="shared" ref="I131:I134" si="6">IF(F131&lt;&gt;0,(F131/$G$130)-1,"")</f>
        <v>-0.45569620253164556</v>
      </c>
      <c r="J131" s="823"/>
      <c r="K131" s="826"/>
      <c r="L131" s="823"/>
      <c r="M131" s="841"/>
      <c r="N131" s="823"/>
      <c r="O131" s="835"/>
      <c r="P131" s="380"/>
      <c r="Q131" s="381"/>
    </row>
    <row r="132" spans="1:17" s="359" customFormat="1" ht="24" customHeight="1">
      <c r="A132" s="802"/>
      <c r="B132" s="805"/>
      <c r="C132" s="802"/>
      <c r="D132" s="829"/>
      <c r="E132" s="171" t="s">
        <v>595</v>
      </c>
      <c r="F132" s="172">
        <v>16.8</v>
      </c>
      <c r="G132" s="823"/>
      <c r="H132" s="371">
        <f t="shared" si="5"/>
        <v>16.8</v>
      </c>
      <c r="I132" s="372">
        <f t="shared" si="6"/>
        <v>-0.11392405063291144</v>
      </c>
      <c r="J132" s="823"/>
      <c r="K132" s="826"/>
      <c r="L132" s="823"/>
      <c r="M132" s="841"/>
      <c r="N132" s="823"/>
      <c r="O132" s="835"/>
      <c r="P132" s="380"/>
      <c r="Q132" s="381"/>
    </row>
    <row r="133" spans="1:17" s="359" customFormat="1" ht="24" customHeight="1">
      <c r="A133" s="802"/>
      <c r="B133" s="805"/>
      <c r="C133" s="802"/>
      <c r="D133" s="829"/>
      <c r="E133" s="171" t="s">
        <v>596</v>
      </c>
      <c r="F133" s="172">
        <v>20</v>
      </c>
      <c r="G133" s="823"/>
      <c r="H133" s="371">
        <f t="shared" si="5"/>
        <v>20</v>
      </c>
      <c r="I133" s="372">
        <f t="shared" si="6"/>
        <v>5.4852320675105481E-2</v>
      </c>
      <c r="J133" s="823"/>
      <c r="K133" s="826"/>
      <c r="L133" s="823"/>
      <c r="M133" s="841"/>
      <c r="N133" s="823"/>
      <c r="O133" s="835"/>
      <c r="P133" s="380"/>
      <c r="Q133" s="381"/>
    </row>
    <row r="134" spans="1:17" s="359" customFormat="1" ht="24" customHeight="1">
      <c r="A134" s="803"/>
      <c r="B134" s="806"/>
      <c r="C134" s="803"/>
      <c r="D134" s="830"/>
      <c r="E134" s="171"/>
      <c r="F134" s="172"/>
      <c r="G134" s="824"/>
      <c r="H134" s="371" t="str">
        <f t="shared" si="5"/>
        <v>EXCLUÍDO</v>
      </c>
      <c r="I134" s="372" t="str">
        <f t="shared" si="6"/>
        <v/>
      </c>
      <c r="J134" s="824"/>
      <c r="K134" s="827"/>
      <c r="L134" s="824"/>
      <c r="M134" s="842"/>
      <c r="N134" s="824"/>
      <c r="O134" s="836"/>
      <c r="P134" s="380"/>
      <c r="Q134" s="381"/>
    </row>
    <row r="135" spans="1:17" s="359" customFormat="1" ht="24" customHeight="1">
      <c r="A135" s="801">
        <v>26</v>
      </c>
      <c r="B135" s="810" t="s">
        <v>727</v>
      </c>
      <c r="C135" s="813" t="s">
        <v>254</v>
      </c>
      <c r="D135" s="807">
        <v>3</v>
      </c>
      <c r="E135" s="171" t="s">
        <v>597</v>
      </c>
      <c r="F135" s="172">
        <v>47.99</v>
      </c>
      <c r="G135" s="816">
        <f>ROUNDUP(AVERAGE(F135:F139),2)</f>
        <v>49.86</v>
      </c>
      <c r="H135" s="375">
        <f>IF((F135/G$135)-1&gt;30%,"EXCLUÍDO",IF((F135/G$135)-1&lt;-30%,"EXCLUÍDO",F135))</f>
        <v>47.99</v>
      </c>
      <c r="I135" s="376">
        <f>IF(F135&lt;&gt;0,(F135/$G$135)-1,"")</f>
        <v>-3.7505014039310058E-2</v>
      </c>
      <c r="J135" s="816">
        <f>AVERAGE(H135:H139)</f>
        <v>49.858000000000004</v>
      </c>
      <c r="K135" s="819">
        <f>MEDIAN(H135:H139)</f>
        <v>47.99</v>
      </c>
      <c r="L135" s="816">
        <f>STDEV(H135:H139)</f>
        <v>7.2857614564298681</v>
      </c>
      <c r="M135" s="837">
        <f>L135/J135</f>
        <v>0.14613023900737832</v>
      </c>
      <c r="N135" s="816">
        <f>IF(M135&lt;25%,J135,K135)</f>
        <v>49.858000000000004</v>
      </c>
      <c r="O135" s="831">
        <f>N135*D135</f>
        <v>149.57400000000001</v>
      </c>
      <c r="P135" s="380"/>
      <c r="Q135" s="381"/>
    </row>
    <row r="136" spans="1:17" s="359" customFormat="1" ht="24" customHeight="1">
      <c r="A136" s="802"/>
      <c r="B136" s="811"/>
      <c r="C136" s="814"/>
      <c r="D136" s="808"/>
      <c r="E136" s="171" t="s">
        <v>578</v>
      </c>
      <c r="F136" s="172">
        <f>29.9+26.2</f>
        <v>56.099999999999994</v>
      </c>
      <c r="G136" s="817"/>
      <c r="H136" s="375">
        <f t="shared" ref="H136:H139" si="7">IF((F136/G$135)-1&gt;30%,"EXCLUÍDO",IF((F136/G$135)-1&lt;-30%,"EXCLUÍDO",F136))</f>
        <v>56.099999999999994</v>
      </c>
      <c r="I136" s="376">
        <f t="shared" ref="I136:I139" si="8">IF(F136&lt;&gt;0,(F136/$G$135)-1,"")</f>
        <v>0.12515042117930197</v>
      </c>
      <c r="J136" s="817"/>
      <c r="K136" s="820"/>
      <c r="L136" s="817"/>
      <c r="M136" s="838"/>
      <c r="N136" s="817"/>
      <c r="O136" s="832"/>
      <c r="P136" s="380"/>
      <c r="Q136" s="381"/>
    </row>
    <row r="137" spans="1:17" s="359" customFormat="1" ht="24" customHeight="1">
      <c r="A137" s="802"/>
      <c r="B137" s="811"/>
      <c r="C137" s="814"/>
      <c r="D137" s="808"/>
      <c r="E137" s="171" t="s">
        <v>366</v>
      </c>
      <c r="F137" s="172">
        <v>57.9</v>
      </c>
      <c r="G137" s="817"/>
      <c r="H137" s="375">
        <f t="shared" si="7"/>
        <v>57.9</v>
      </c>
      <c r="I137" s="376">
        <f t="shared" si="8"/>
        <v>0.16125150421179302</v>
      </c>
      <c r="J137" s="817"/>
      <c r="K137" s="820"/>
      <c r="L137" s="817"/>
      <c r="M137" s="838"/>
      <c r="N137" s="817"/>
      <c r="O137" s="832"/>
      <c r="P137" s="380"/>
      <c r="Q137" s="381"/>
    </row>
    <row r="138" spans="1:17" s="359" customFormat="1" ht="24" customHeight="1">
      <c r="A138" s="802"/>
      <c r="B138" s="811"/>
      <c r="C138" s="814"/>
      <c r="D138" s="808"/>
      <c r="E138" s="171" t="s">
        <v>598</v>
      </c>
      <c r="F138" s="172">
        <v>39.9</v>
      </c>
      <c r="G138" s="817"/>
      <c r="H138" s="375">
        <f t="shared" si="7"/>
        <v>39.9</v>
      </c>
      <c r="I138" s="376">
        <f t="shared" si="8"/>
        <v>-0.19975932611311675</v>
      </c>
      <c r="J138" s="817"/>
      <c r="K138" s="820"/>
      <c r="L138" s="817"/>
      <c r="M138" s="838"/>
      <c r="N138" s="817"/>
      <c r="O138" s="832"/>
      <c r="P138" s="380"/>
      <c r="Q138" s="381"/>
    </row>
    <row r="139" spans="1:17" s="359" customFormat="1" ht="24" customHeight="1">
      <c r="A139" s="803"/>
      <c r="B139" s="812"/>
      <c r="C139" s="815"/>
      <c r="D139" s="809"/>
      <c r="E139" s="171" t="s">
        <v>599</v>
      </c>
      <c r="F139" s="172">
        <v>47.4</v>
      </c>
      <c r="G139" s="818"/>
      <c r="H139" s="375">
        <f t="shared" si="7"/>
        <v>47.4</v>
      </c>
      <c r="I139" s="376">
        <f t="shared" si="8"/>
        <v>-4.9338146811071071E-2</v>
      </c>
      <c r="J139" s="818"/>
      <c r="K139" s="821"/>
      <c r="L139" s="818"/>
      <c r="M139" s="839"/>
      <c r="N139" s="818"/>
      <c r="O139" s="833"/>
      <c r="P139" s="380"/>
      <c r="Q139" s="381"/>
    </row>
    <row r="140" spans="1:17" s="359" customFormat="1" ht="24" customHeight="1">
      <c r="A140" s="801">
        <v>27</v>
      </c>
      <c r="B140" s="804" t="s">
        <v>728</v>
      </c>
      <c r="C140" s="801" t="s">
        <v>254</v>
      </c>
      <c r="D140" s="828">
        <v>4</v>
      </c>
      <c r="E140" s="171" t="s">
        <v>600</v>
      </c>
      <c r="F140" s="172">
        <v>38.9</v>
      </c>
      <c r="G140" s="822">
        <f>ROUNDUP(AVERAGE(F140:F144),2)</f>
        <v>48.71</v>
      </c>
      <c r="H140" s="371">
        <f>IF((F140/G$140)-1&gt;30%,"EXCLUÍDO",IF((F140/G$140)-1&lt;-30%,"EXCLUÍDO",F140))</f>
        <v>38.9</v>
      </c>
      <c r="I140" s="372">
        <f>IF(F140&lt;&gt;0,(F140/$G$140)-1,"")</f>
        <v>-0.20139601724491896</v>
      </c>
      <c r="J140" s="822">
        <f>AVERAGE(H140:H144)</f>
        <v>48.705999999999996</v>
      </c>
      <c r="K140" s="825">
        <f>MEDIAN(H140:H144)</f>
        <v>48.85</v>
      </c>
      <c r="L140" s="822">
        <f>STDEV(H140:H144)</f>
        <v>7.0319862059023679</v>
      </c>
      <c r="M140" s="840">
        <f>L140/J140</f>
        <v>0.14437617964732002</v>
      </c>
      <c r="N140" s="822">
        <f>IF(M140&lt;25%,J140,K140)</f>
        <v>48.705999999999996</v>
      </c>
      <c r="O140" s="834">
        <f>N140*D140</f>
        <v>194.82399999999998</v>
      </c>
      <c r="P140" s="380"/>
      <c r="Q140" s="381"/>
    </row>
    <row r="141" spans="1:17" s="359" customFormat="1" ht="24" customHeight="1">
      <c r="A141" s="802"/>
      <c r="B141" s="805"/>
      <c r="C141" s="802"/>
      <c r="D141" s="829"/>
      <c r="E141" s="171" t="s">
        <v>601</v>
      </c>
      <c r="F141" s="172">
        <v>45.9</v>
      </c>
      <c r="G141" s="823"/>
      <c r="H141" s="371">
        <f t="shared" ref="H141:H144" si="9">IF((F141/G$140)-1&gt;30%,"EXCLUÍDO",IF((F141/G$140)-1&lt;-30%,"EXCLUÍDO",F141))</f>
        <v>45.9</v>
      </c>
      <c r="I141" s="372">
        <f t="shared" ref="I141:I144" si="10">IF(F141&lt;&gt;0,(F141/$G$140)-1,"")</f>
        <v>-5.7688359679737289E-2</v>
      </c>
      <c r="J141" s="823"/>
      <c r="K141" s="826"/>
      <c r="L141" s="823"/>
      <c r="M141" s="841"/>
      <c r="N141" s="823"/>
      <c r="O141" s="835"/>
      <c r="P141" s="380"/>
      <c r="Q141" s="381"/>
    </row>
    <row r="142" spans="1:17" s="359" customFormat="1" ht="24" customHeight="1">
      <c r="A142" s="802"/>
      <c r="B142" s="805"/>
      <c r="C142" s="802"/>
      <c r="D142" s="829"/>
      <c r="E142" s="171" t="s">
        <v>366</v>
      </c>
      <c r="F142" s="172">
        <v>57.77</v>
      </c>
      <c r="G142" s="823"/>
      <c r="H142" s="371">
        <f t="shared" si="9"/>
        <v>57.77</v>
      </c>
      <c r="I142" s="372">
        <f t="shared" si="10"/>
        <v>0.1859987682200781</v>
      </c>
      <c r="J142" s="823"/>
      <c r="K142" s="826"/>
      <c r="L142" s="823"/>
      <c r="M142" s="841"/>
      <c r="N142" s="823"/>
      <c r="O142" s="835"/>
      <c r="P142" s="380"/>
      <c r="Q142" s="381"/>
    </row>
    <row r="143" spans="1:17" s="359" customFormat="1" ht="24" customHeight="1">
      <c r="A143" s="802"/>
      <c r="B143" s="805"/>
      <c r="C143" s="802"/>
      <c r="D143" s="829"/>
      <c r="E143" s="171" t="s">
        <v>602</v>
      </c>
      <c r="F143" s="172">
        <f>31.87+16.98</f>
        <v>48.85</v>
      </c>
      <c r="G143" s="823"/>
      <c r="H143" s="371">
        <f t="shared" si="9"/>
        <v>48.85</v>
      </c>
      <c r="I143" s="372">
        <f t="shared" si="10"/>
        <v>2.8741531513036822E-3</v>
      </c>
      <c r="J143" s="823"/>
      <c r="K143" s="826"/>
      <c r="L143" s="823"/>
      <c r="M143" s="841"/>
      <c r="N143" s="823"/>
      <c r="O143" s="835"/>
      <c r="P143" s="380"/>
      <c r="Q143" s="381"/>
    </row>
    <row r="144" spans="1:17" s="359" customFormat="1" ht="24" customHeight="1">
      <c r="A144" s="803"/>
      <c r="B144" s="806"/>
      <c r="C144" s="803"/>
      <c r="D144" s="830"/>
      <c r="E144" s="171" t="s">
        <v>366</v>
      </c>
      <c r="F144" s="172">
        <v>52.11</v>
      </c>
      <c r="G144" s="824"/>
      <c r="H144" s="371">
        <f t="shared" si="9"/>
        <v>52.11</v>
      </c>
      <c r="I144" s="372">
        <f t="shared" si="10"/>
        <v>6.9800862245945394E-2</v>
      </c>
      <c r="J144" s="824"/>
      <c r="K144" s="827"/>
      <c r="L144" s="824"/>
      <c r="M144" s="842"/>
      <c r="N144" s="824"/>
      <c r="O144" s="836"/>
      <c r="P144" s="380"/>
      <c r="Q144" s="381"/>
    </row>
    <row r="145" spans="1:17" s="359" customFormat="1" ht="24" customHeight="1">
      <c r="A145" s="801">
        <v>28</v>
      </c>
      <c r="B145" s="810" t="s">
        <v>729</v>
      </c>
      <c r="C145" s="813" t="s">
        <v>254</v>
      </c>
      <c r="D145" s="807">
        <v>4</v>
      </c>
      <c r="E145" s="171" t="s">
        <v>603</v>
      </c>
      <c r="F145" s="172">
        <v>48.5</v>
      </c>
      <c r="G145" s="816">
        <f>ROUNDUP(AVERAGE(F145:F149),2)</f>
        <v>45.12</v>
      </c>
      <c r="H145" s="375">
        <f>IF((F145/G$145)-1&gt;30%,"EXCLUÍDO",IF((F145/G$145)-1&lt;-30%,"EXCLUÍDO",F145))</f>
        <v>48.5</v>
      </c>
      <c r="I145" s="376">
        <f>IF(F145&lt;&gt;0,(F145/$G$145)-1,"")</f>
        <v>7.4911347517730542E-2</v>
      </c>
      <c r="J145" s="816">
        <f>AVERAGE(H145:H149)</f>
        <v>45.120000000000005</v>
      </c>
      <c r="K145" s="819">
        <f>MEDIAN(H145:H149)</f>
        <v>45.55</v>
      </c>
      <c r="L145" s="816">
        <f>STDEV(H145:H149)</f>
        <v>6.6370073577378212</v>
      </c>
      <c r="M145" s="837">
        <f>L145/J145</f>
        <v>0.14709679427610417</v>
      </c>
      <c r="N145" s="816">
        <f>IF(M145&lt;25%,J145,K145)</f>
        <v>45.120000000000005</v>
      </c>
      <c r="O145" s="831">
        <f>N145*D145</f>
        <v>180.48000000000002</v>
      </c>
      <c r="P145" s="380"/>
      <c r="Q145" s="381"/>
    </row>
    <row r="146" spans="1:17" s="359" customFormat="1" ht="24" customHeight="1">
      <c r="A146" s="802"/>
      <c r="B146" s="811"/>
      <c r="C146" s="814"/>
      <c r="D146" s="808"/>
      <c r="E146" s="171" t="s">
        <v>599</v>
      </c>
      <c r="F146" s="172">
        <v>52.24</v>
      </c>
      <c r="G146" s="817"/>
      <c r="H146" s="375">
        <f t="shared" ref="H146:H149" si="11">IF((F146/G$145)-1&gt;30%,"EXCLUÍDO",IF((F146/G$145)-1&lt;-30%,"EXCLUÍDO",F146))</f>
        <v>52.24</v>
      </c>
      <c r="I146" s="376">
        <f t="shared" ref="I146:I149" si="12">IF(F146&lt;&gt;0,(F146/$G$145)-1,"")</f>
        <v>0.15780141843971651</v>
      </c>
      <c r="J146" s="817"/>
      <c r="K146" s="820"/>
      <c r="L146" s="817"/>
      <c r="M146" s="838"/>
      <c r="N146" s="817"/>
      <c r="O146" s="832"/>
      <c r="P146" s="380"/>
      <c r="Q146" s="381"/>
    </row>
    <row r="147" spans="1:17" s="359" customFormat="1" ht="24" customHeight="1">
      <c r="A147" s="802"/>
      <c r="B147" s="811"/>
      <c r="C147" s="814"/>
      <c r="D147" s="808"/>
      <c r="E147" s="171" t="s">
        <v>366</v>
      </c>
      <c r="F147" s="172">
        <v>42.6</v>
      </c>
      <c r="G147" s="817"/>
      <c r="H147" s="375">
        <f t="shared" si="11"/>
        <v>42.6</v>
      </c>
      <c r="I147" s="376">
        <f t="shared" si="12"/>
        <v>-5.5851063829787106E-2</v>
      </c>
      <c r="J147" s="817"/>
      <c r="K147" s="820"/>
      <c r="L147" s="817"/>
      <c r="M147" s="838"/>
      <c r="N147" s="817"/>
      <c r="O147" s="832"/>
      <c r="P147" s="380"/>
      <c r="Q147" s="381"/>
    </row>
    <row r="148" spans="1:17" s="359" customFormat="1" ht="24" customHeight="1">
      <c r="A148" s="802"/>
      <c r="B148" s="811"/>
      <c r="C148" s="814"/>
      <c r="D148" s="808"/>
      <c r="E148" s="171" t="s">
        <v>604</v>
      </c>
      <c r="F148" s="172">
        <v>37.14</v>
      </c>
      <c r="G148" s="817"/>
      <c r="H148" s="375">
        <f t="shared" si="11"/>
        <v>37.14</v>
      </c>
      <c r="I148" s="376">
        <f t="shared" si="12"/>
        <v>-0.1768617021276595</v>
      </c>
      <c r="J148" s="817"/>
      <c r="K148" s="820"/>
      <c r="L148" s="817"/>
      <c r="M148" s="838"/>
      <c r="N148" s="817"/>
      <c r="O148" s="832"/>
      <c r="P148" s="380"/>
      <c r="Q148" s="381"/>
    </row>
    <row r="149" spans="1:17" s="359" customFormat="1" ht="24" customHeight="1">
      <c r="A149" s="803"/>
      <c r="B149" s="812"/>
      <c r="C149" s="815"/>
      <c r="D149" s="809"/>
      <c r="E149" s="171"/>
      <c r="F149" s="172"/>
      <c r="G149" s="818"/>
      <c r="H149" s="375" t="str">
        <f t="shared" si="11"/>
        <v>EXCLUÍDO</v>
      </c>
      <c r="I149" s="376" t="str">
        <f t="shared" si="12"/>
        <v/>
      </c>
      <c r="J149" s="818"/>
      <c r="K149" s="821"/>
      <c r="L149" s="818"/>
      <c r="M149" s="839"/>
      <c r="N149" s="818"/>
      <c r="O149" s="833"/>
      <c r="P149" s="380"/>
      <c r="Q149" s="381"/>
    </row>
    <row r="150" spans="1:17" s="359" customFormat="1" ht="24" customHeight="1">
      <c r="A150" s="801">
        <v>29</v>
      </c>
      <c r="B150" s="804" t="s">
        <v>730</v>
      </c>
      <c r="C150" s="801" t="s">
        <v>254</v>
      </c>
      <c r="D150" s="828">
        <v>4</v>
      </c>
      <c r="E150" s="171" t="s">
        <v>578</v>
      </c>
      <c r="F150" s="172">
        <v>84.9</v>
      </c>
      <c r="G150" s="822">
        <f>ROUNDUP(AVERAGE(F150:F154),2)</f>
        <v>73.88000000000001</v>
      </c>
      <c r="H150" s="371">
        <f>IF((F150/G$150)-1&gt;30%,"EXCLUÍDO",IF((F150/G$150)-1&lt;-30%,"EXCLUÍDO",F150))</f>
        <v>84.9</v>
      </c>
      <c r="I150" s="372">
        <f>IF(F150&lt;&gt;0,(F150/$G$150)-1,"")</f>
        <v>0.14916080129940434</v>
      </c>
      <c r="J150" s="822">
        <f>AVERAGE(H150:H154)</f>
        <v>73.876000000000005</v>
      </c>
      <c r="K150" s="825">
        <f>MEDIAN(H150:H154)</f>
        <v>78.2</v>
      </c>
      <c r="L150" s="822">
        <f>STDEV(H150:H154)</f>
        <v>11.625374402573067</v>
      </c>
      <c r="M150" s="840">
        <f>L150/J150</f>
        <v>0.15736334401663687</v>
      </c>
      <c r="N150" s="822">
        <f>IF(M150&lt;25%,J150,K150)</f>
        <v>73.876000000000005</v>
      </c>
      <c r="O150" s="834">
        <f>N150*D150</f>
        <v>295.50400000000002</v>
      </c>
      <c r="P150" s="380"/>
      <c r="Q150" s="381"/>
    </row>
    <row r="151" spans="1:17" s="359" customFormat="1" ht="24" customHeight="1">
      <c r="A151" s="802"/>
      <c r="B151" s="805"/>
      <c r="C151" s="802"/>
      <c r="D151" s="829"/>
      <c r="E151" s="171" t="s">
        <v>605</v>
      </c>
      <c r="F151" s="172">
        <v>71.290000000000006</v>
      </c>
      <c r="G151" s="823"/>
      <c r="H151" s="371">
        <f t="shared" ref="H151:H154" si="13">IF((F151/G$150)-1&gt;30%,"EXCLUÍDO",IF((F151/G$150)-1&lt;-30%,"EXCLUÍDO",F151))</f>
        <v>71.290000000000006</v>
      </c>
      <c r="I151" s="372">
        <f t="shared" ref="I151:I154" si="14">IF(F151&lt;&gt;0,(F151/$G$150)-1,"")</f>
        <v>-3.5056848944233887E-2</v>
      </c>
      <c r="J151" s="823"/>
      <c r="K151" s="826"/>
      <c r="L151" s="823"/>
      <c r="M151" s="841"/>
      <c r="N151" s="823"/>
      <c r="O151" s="835"/>
      <c r="P151" s="380"/>
      <c r="Q151" s="381"/>
    </row>
    <row r="152" spans="1:17" s="359" customFormat="1" ht="24" customHeight="1">
      <c r="A152" s="802"/>
      <c r="B152" s="805"/>
      <c r="C152" s="802"/>
      <c r="D152" s="829"/>
      <c r="E152" s="171" t="s">
        <v>606</v>
      </c>
      <c r="F152" s="172">
        <v>55</v>
      </c>
      <c r="G152" s="823"/>
      <c r="H152" s="371">
        <f t="shared" si="13"/>
        <v>55</v>
      </c>
      <c r="I152" s="372">
        <f t="shared" si="14"/>
        <v>-0.25554953979426109</v>
      </c>
      <c r="J152" s="823"/>
      <c r="K152" s="826"/>
      <c r="L152" s="823"/>
      <c r="M152" s="841"/>
      <c r="N152" s="823"/>
      <c r="O152" s="835"/>
      <c r="P152" s="380"/>
      <c r="Q152" s="381"/>
    </row>
    <row r="153" spans="1:17" s="359" customFormat="1" ht="24" customHeight="1">
      <c r="A153" s="802"/>
      <c r="B153" s="805"/>
      <c r="C153" s="802"/>
      <c r="D153" s="829"/>
      <c r="E153" s="171" t="s">
        <v>366</v>
      </c>
      <c r="F153" s="172">
        <v>78.2</v>
      </c>
      <c r="G153" s="823"/>
      <c r="H153" s="371">
        <f t="shared" si="13"/>
        <v>78.2</v>
      </c>
      <c r="I153" s="372">
        <f t="shared" si="14"/>
        <v>5.8473199783432461E-2</v>
      </c>
      <c r="J153" s="823"/>
      <c r="K153" s="826"/>
      <c r="L153" s="823"/>
      <c r="M153" s="841"/>
      <c r="N153" s="823"/>
      <c r="O153" s="835"/>
      <c r="P153" s="380"/>
      <c r="Q153" s="381"/>
    </row>
    <row r="154" spans="1:17" s="359" customFormat="1" ht="24" customHeight="1">
      <c r="A154" s="803"/>
      <c r="B154" s="806"/>
      <c r="C154" s="803"/>
      <c r="D154" s="830"/>
      <c r="E154" s="171" t="s">
        <v>366</v>
      </c>
      <c r="F154" s="172">
        <v>79.989999999999995</v>
      </c>
      <c r="G154" s="824"/>
      <c r="H154" s="371">
        <f t="shared" si="13"/>
        <v>79.989999999999995</v>
      </c>
      <c r="I154" s="372">
        <f t="shared" si="14"/>
        <v>8.2701678397401057E-2</v>
      </c>
      <c r="J154" s="824"/>
      <c r="K154" s="827"/>
      <c r="L154" s="824"/>
      <c r="M154" s="842"/>
      <c r="N154" s="824"/>
      <c r="O154" s="836"/>
      <c r="P154" s="380"/>
      <c r="Q154" s="381"/>
    </row>
    <row r="155" spans="1:17" s="359" customFormat="1" ht="24" customHeight="1">
      <c r="A155" s="801">
        <v>30</v>
      </c>
      <c r="B155" s="810" t="s">
        <v>731</v>
      </c>
      <c r="C155" s="813" t="s">
        <v>254</v>
      </c>
      <c r="D155" s="807">
        <v>2</v>
      </c>
      <c r="E155" s="171" t="s">
        <v>607</v>
      </c>
      <c r="F155" s="172">
        <v>58.9</v>
      </c>
      <c r="G155" s="816">
        <f>ROUNDUP(AVERAGE(F155:F159),2)</f>
        <v>82.440000000000012</v>
      </c>
      <c r="H155" s="375">
        <f>IF((F155/G$155)-1&gt;30%,"EXCLUÍDO",IF((F155/G$155)-1&lt;-30%,"EXCLUÍDO",F155))</f>
        <v>58.9</v>
      </c>
      <c r="I155" s="376">
        <f>IF(F155&lt;&gt;0,(F155/$G$155)-1,"")</f>
        <v>-0.28554099951479872</v>
      </c>
      <c r="J155" s="816">
        <f>AVERAGE(H155:H159)</f>
        <v>82.432500000000005</v>
      </c>
      <c r="K155" s="819">
        <f>MEDIAN(H155:H159)</f>
        <v>82.925000000000011</v>
      </c>
      <c r="L155" s="816">
        <f>STDEV(H155:H159)</f>
        <v>23.373451285593212</v>
      </c>
      <c r="M155" s="837">
        <f>L155/J155</f>
        <v>0.28354655367231629</v>
      </c>
      <c r="N155" s="816">
        <f>IF(M155&lt;25%,J155,K155)</f>
        <v>82.925000000000011</v>
      </c>
      <c r="O155" s="831">
        <f>N155*D155</f>
        <v>165.85000000000002</v>
      </c>
      <c r="P155" s="380"/>
      <c r="Q155" s="381"/>
    </row>
    <row r="156" spans="1:17" s="359" customFormat="1" ht="24" customHeight="1">
      <c r="A156" s="802"/>
      <c r="B156" s="811"/>
      <c r="C156" s="814"/>
      <c r="D156" s="808"/>
      <c r="E156" s="171" t="s">
        <v>608</v>
      </c>
      <c r="F156" s="172">
        <v>65.95</v>
      </c>
      <c r="G156" s="817"/>
      <c r="H156" s="375">
        <f t="shared" ref="H156:H159" si="15">IF((F156/G$155)-1&gt;30%,"EXCLUÍDO",IF((F156/G$155)-1&lt;-30%,"EXCLUÍDO",F156))</f>
        <v>65.95</v>
      </c>
      <c r="I156" s="376">
        <f t="shared" ref="I156:I159" si="16">IF(F156&lt;&gt;0,(F156/$G$155)-1,"")</f>
        <v>-0.20002426006792828</v>
      </c>
      <c r="J156" s="817"/>
      <c r="K156" s="820"/>
      <c r="L156" s="817"/>
      <c r="M156" s="838"/>
      <c r="N156" s="817"/>
      <c r="O156" s="832"/>
      <c r="P156" s="380"/>
      <c r="Q156" s="381"/>
    </row>
    <row r="157" spans="1:17" s="359" customFormat="1" ht="24" customHeight="1">
      <c r="A157" s="802"/>
      <c r="B157" s="811"/>
      <c r="C157" s="814"/>
      <c r="D157" s="808"/>
      <c r="E157" s="171" t="s">
        <v>609</v>
      </c>
      <c r="F157" s="172">
        <v>104.98</v>
      </c>
      <c r="G157" s="817"/>
      <c r="H157" s="375">
        <f t="shared" si="15"/>
        <v>104.98</v>
      </c>
      <c r="I157" s="376">
        <f t="shared" si="16"/>
        <v>0.27341096555070332</v>
      </c>
      <c r="J157" s="817"/>
      <c r="K157" s="820"/>
      <c r="L157" s="817"/>
      <c r="M157" s="838"/>
      <c r="N157" s="817"/>
      <c r="O157" s="832"/>
      <c r="P157" s="380"/>
      <c r="Q157" s="381"/>
    </row>
    <row r="158" spans="1:17" s="359" customFormat="1" ht="24" customHeight="1">
      <c r="A158" s="802"/>
      <c r="B158" s="811"/>
      <c r="C158" s="814"/>
      <c r="D158" s="808"/>
      <c r="E158" s="171" t="s">
        <v>610</v>
      </c>
      <c r="F158" s="172">
        <v>99.9</v>
      </c>
      <c r="G158" s="817"/>
      <c r="H158" s="375">
        <f t="shared" si="15"/>
        <v>99.9</v>
      </c>
      <c r="I158" s="376">
        <f t="shared" si="16"/>
        <v>0.21179039301310043</v>
      </c>
      <c r="J158" s="817"/>
      <c r="K158" s="820"/>
      <c r="L158" s="817"/>
      <c r="M158" s="838"/>
      <c r="N158" s="817"/>
      <c r="O158" s="832"/>
      <c r="P158" s="380"/>
      <c r="Q158" s="381"/>
    </row>
    <row r="159" spans="1:17" s="359" customFormat="1" ht="24" customHeight="1">
      <c r="A159" s="803"/>
      <c r="B159" s="812"/>
      <c r="C159" s="815"/>
      <c r="D159" s="809"/>
      <c r="E159" s="171"/>
      <c r="F159" s="172"/>
      <c r="G159" s="818"/>
      <c r="H159" s="375" t="str">
        <f t="shared" si="15"/>
        <v>EXCLUÍDO</v>
      </c>
      <c r="I159" s="376" t="str">
        <f t="shared" si="16"/>
        <v/>
      </c>
      <c r="J159" s="818"/>
      <c r="K159" s="821"/>
      <c r="L159" s="818"/>
      <c r="M159" s="839"/>
      <c r="N159" s="818"/>
      <c r="O159" s="833"/>
      <c r="P159" s="380"/>
      <c r="Q159" s="381"/>
    </row>
    <row r="160" spans="1:17" s="359" customFormat="1" ht="24" customHeight="1">
      <c r="A160" s="801">
        <v>31</v>
      </c>
      <c r="B160" s="804" t="s">
        <v>732</v>
      </c>
      <c r="C160" s="801" t="s">
        <v>254</v>
      </c>
      <c r="D160" s="828">
        <v>2</v>
      </c>
      <c r="E160" s="171" t="s">
        <v>366</v>
      </c>
      <c r="F160" s="172">
        <v>49.54</v>
      </c>
      <c r="G160" s="822">
        <f>ROUNDUP(AVERAGE(F160:F164),2)</f>
        <v>72.7</v>
      </c>
      <c r="H160" s="371" t="str">
        <f>IF((F160/G$160)-1&gt;30%,"EXCLUÍDO",IF((F160/G$160)-1&lt;-30%,"EXCLUÍDO",F160))</f>
        <v>EXCLUÍDO</v>
      </c>
      <c r="I160" s="372">
        <f>IF(F160&lt;&gt;0,(F160/$G$160)-1,"")</f>
        <v>-0.31856946354883087</v>
      </c>
      <c r="J160" s="822">
        <f>AVERAGE(H160:H164)</f>
        <v>65.900000000000006</v>
      </c>
      <c r="K160" s="825">
        <f>MEDIAN(H160:H164)</f>
        <v>65.900000000000006</v>
      </c>
      <c r="L160" s="822">
        <f>STDEV(H160:H164)</f>
        <v>18.384776310850235</v>
      </c>
      <c r="M160" s="840">
        <f>L160/J160</f>
        <v>0.278979913669958</v>
      </c>
      <c r="N160" s="822">
        <f>IF(M160&lt;25%,J160,K160)</f>
        <v>65.900000000000006</v>
      </c>
      <c r="O160" s="834">
        <f>N160*D160</f>
        <v>131.80000000000001</v>
      </c>
      <c r="P160" s="380"/>
      <c r="Q160" s="381"/>
    </row>
    <row r="161" spans="1:17" s="359" customFormat="1" ht="24" customHeight="1">
      <c r="A161" s="802"/>
      <c r="B161" s="805"/>
      <c r="C161" s="802"/>
      <c r="D161" s="829"/>
      <c r="E161" s="171" t="s">
        <v>611</v>
      </c>
      <c r="F161" s="172">
        <v>78.900000000000006</v>
      </c>
      <c r="G161" s="823"/>
      <c r="H161" s="371">
        <f t="shared" ref="H161:H164" si="17">IF((F161/G$160)-1&gt;30%,"EXCLUÍDO",IF((F161/G$160)-1&lt;-30%,"EXCLUÍDO",F161))</f>
        <v>78.900000000000006</v>
      </c>
      <c r="I161" s="372">
        <f t="shared" ref="I161:I164" si="18">IF(F161&lt;&gt;0,(F161/$G$160)-1,"")</f>
        <v>8.5281980742778485E-2</v>
      </c>
      <c r="J161" s="823"/>
      <c r="K161" s="826"/>
      <c r="L161" s="823"/>
      <c r="M161" s="841"/>
      <c r="N161" s="823"/>
      <c r="O161" s="835"/>
      <c r="P161" s="380"/>
      <c r="Q161" s="381"/>
    </row>
    <row r="162" spans="1:17" s="359" customFormat="1" ht="24" customHeight="1">
      <c r="A162" s="802"/>
      <c r="B162" s="805"/>
      <c r="C162" s="802"/>
      <c r="D162" s="829"/>
      <c r="E162" s="171" t="s">
        <v>378</v>
      </c>
      <c r="F162" s="172">
        <f>84.62+24.84</f>
        <v>109.46000000000001</v>
      </c>
      <c r="G162" s="823"/>
      <c r="H162" s="371" t="str">
        <f t="shared" si="17"/>
        <v>EXCLUÍDO</v>
      </c>
      <c r="I162" s="372">
        <f t="shared" si="18"/>
        <v>0.50563961485557085</v>
      </c>
      <c r="J162" s="823"/>
      <c r="K162" s="826"/>
      <c r="L162" s="823"/>
      <c r="M162" s="841"/>
      <c r="N162" s="823"/>
      <c r="O162" s="835"/>
      <c r="P162" s="380"/>
      <c r="Q162" s="381"/>
    </row>
    <row r="163" spans="1:17" s="359" customFormat="1" ht="24" customHeight="1">
      <c r="A163" s="802"/>
      <c r="B163" s="805"/>
      <c r="C163" s="802"/>
      <c r="D163" s="829"/>
      <c r="E163" s="171" t="s">
        <v>598</v>
      </c>
      <c r="F163" s="172">
        <v>52.9</v>
      </c>
      <c r="G163" s="823"/>
      <c r="H163" s="371">
        <f t="shared" si="17"/>
        <v>52.9</v>
      </c>
      <c r="I163" s="372">
        <f t="shared" si="18"/>
        <v>-0.27235213204951858</v>
      </c>
      <c r="J163" s="823"/>
      <c r="K163" s="826"/>
      <c r="L163" s="823"/>
      <c r="M163" s="841"/>
      <c r="N163" s="823"/>
      <c r="O163" s="835"/>
      <c r="P163" s="380"/>
      <c r="Q163" s="381"/>
    </row>
    <row r="164" spans="1:17" s="359" customFormat="1" ht="24" customHeight="1">
      <c r="A164" s="803"/>
      <c r="B164" s="806"/>
      <c r="C164" s="803"/>
      <c r="D164" s="830"/>
      <c r="E164" s="171"/>
      <c r="F164" s="172"/>
      <c r="G164" s="824"/>
      <c r="H164" s="371" t="str">
        <f t="shared" si="17"/>
        <v>EXCLUÍDO</v>
      </c>
      <c r="I164" s="372" t="str">
        <f t="shared" si="18"/>
        <v/>
      </c>
      <c r="J164" s="824"/>
      <c r="K164" s="827"/>
      <c r="L164" s="824"/>
      <c r="M164" s="842"/>
      <c r="N164" s="824"/>
      <c r="O164" s="836"/>
      <c r="P164" s="380"/>
      <c r="Q164" s="381"/>
    </row>
    <row r="165" spans="1:17" s="359" customFormat="1" ht="24" customHeight="1">
      <c r="A165" s="801">
        <v>32</v>
      </c>
      <c r="B165" s="810" t="s">
        <v>733</v>
      </c>
      <c r="C165" s="813" t="s">
        <v>254</v>
      </c>
      <c r="D165" s="807">
        <v>2</v>
      </c>
      <c r="E165" s="171" t="s">
        <v>578</v>
      </c>
      <c r="F165" s="172">
        <v>96.9</v>
      </c>
      <c r="G165" s="816">
        <f>ROUNDUP(AVERAGE(F165:F169),2)</f>
        <v>103.09</v>
      </c>
      <c r="H165" s="375">
        <f>IF((F165/G$165)-1&gt;30%,"EXCLUÍDO",IF((F165/G$165)-1&lt;-30%,"EXCLUÍDO",F165))</f>
        <v>96.9</v>
      </c>
      <c r="I165" s="376">
        <f>IF(F165&lt;&gt;0,(F165/$G$165)-1,"")</f>
        <v>-6.0044621204772497E-2</v>
      </c>
      <c r="J165" s="816">
        <f>AVERAGE(H165:H169)</f>
        <v>94.43</v>
      </c>
      <c r="K165" s="819">
        <f>MEDIAN(H165:H169)</f>
        <v>89.32</v>
      </c>
      <c r="L165" s="816">
        <f>STDEV(H165:H169)</f>
        <v>18.897798813618429</v>
      </c>
      <c r="M165" s="837">
        <f>L165/J165</f>
        <v>0.20012494772443531</v>
      </c>
      <c r="N165" s="816">
        <f>IF(M165&lt;25%,J165,K165)</f>
        <v>94.43</v>
      </c>
      <c r="O165" s="831">
        <f>N165*D165</f>
        <v>188.86</v>
      </c>
      <c r="P165" s="380"/>
      <c r="Q165" s="381"/>
    </row>
    <row r="166" spans="1:17" s="359" customFormat="1" ht="24" customHeight="1">
      <c r="A166" s="802"/>
      <c r="B166" s="811"/>
      <c r="C166" s="814"/>
      <c r="D166" s="808"/>
      <c r="E166" s="171" t="s">
        <v>612</v>
      </c>
      <c r="F166" s="172">
        <f>59.91+21.83</f>
        <v>81.739999999999995</v>
      </c>
      <c r="G166" s="817"/>
      <c r="H166" s="375">
        <f t="shared" ref="H166:H169" si="19">IF((F166/G$165)-1&gt;30%,"EXCLUÍDO",IF((F166/G$165)-1&lt;-30%,"EXCLUÍDO",F166))</f>
        <v>81.739999999999995</v>
      </c>
      <c r="I166" s="376">
        <f t="shared" ref="I166:I169" si="20">IF(F166&lt;&gt;0,(F166/$G$165)-1,"")</f>
        <v>-0.20710059171597639</v>
      </c>
      <c r="J166" s="817"/>
      <c r="K166" s="820"/>
      <c r="L166" s="817"/>
      <c r="M166" s="838"/>
      <c r="N166" s="817"/>
      <c r="O166" s="832"/>
      <c r="P166" s="380"/>
      <c r="Q166" s="381"/>
    </row>
    <row r="167" spans="1:17" s="359" customFormat="1" ht="24" customHeight="1">
      <c r="A167" s="802"/>
      <c r="B167" s="811"/>
      <c r="C167" s="814"/>
      <c r="D167" s="808"/>
      <c r="E167" s="171" t="s">
        <v>560</v>
      </c>
      <c r="F167" s="172">
        <f>59.5+78.2</f>
        <v>137.69999999999999</v>
      </c>
      <c r="G167" s="817"/>
      <c r="H167" s="375" t="str">
        <f t="shared" si="19"/>
        <v>EXCLUÍDO</v>
      </c>
      <c r="I167" s="376">
        <f t="shared" si="20"/>
        <v>0.3357260646037441</v>
      </c>
      <c r="J167" s="817"/>
      <c r="K167" s="820"/>
      <c r="L167" s="817"/>
      <c r="M167" s="838"/>
      <c r="N167" s="817"/>
      <c r="O167" s="832"/>
      <c r="P167" s="380"/>
      <c r="Q167" s="381"/>
    </row>
    <row r="168" spans="1:17" s="359" customFormat="1" ht="24" customHeight="1">
      <c r="A168" s="802"/>
      <c r="B168" s="811"/>
      <c r="C168" s="814"/>
      <c r="D168" s="808"/>
      <c r="E168" s="171" t="s">
        <v>613</v>
      </c>
      <c r="F168" s="172">
        <f>90.9+29.28</f>
        <v>120.18</v>
      </c>
      <c r="G168" s="817"/>
      <c r="H168" s="375">
        <f t="shared" si="19"/>
        <v>120.18</v>
      </c>
      <c r="I168" s="376">
        <f t="shared" si="20"/>
        <v>0.16577747599185177</v>
      </c>
      <c r="J168" s="817"/>
      <c r="K168" s="820"/>
      <c r="L168" s="817"/>
      <c r="M168" s="838"/>
      <c r="N168" s="817"/>
      <c r="O168" s="832"/>
      <c r="P168" s="380"/>
      <c r="Q168" s="381"/>
    </row>
    <row r="169" spans="1:17" s="359" customFormat="1" ht="24" customHeight="1">
      <c r="A169" s="803"/>
      <c r="B169" s="812"/>
      <c r="C169" s="815"/>
      <c r="D169" s="809"/>
      <c r="E169" s="171" t="s">
        <v>597</v>
      </c>
      <c r="F169" s="172">
        <v>78.900000000000006</v>
      </c>
      <c r="G169" s="818"/>
      <c r="H169" s="375">
        <f t="shared" si="19"/>
        <v>78.900000000000006</v>
      </c>
      <c r="I169" s="376">
        <f t="shared" si="20"/>
        <v>-0.23464933553205936</v>
      </c>
      <c r="J169" s="818"/>
      <c r="K169" s="821"/>
      <c r="L169" s="818"/>
      <c r="M169" s="839"/>
      <c r="N169" s="818"/>
      <c r="O169" s="833"/>
      <c r="P169" s="380"/>
      <c r="Q169" s="381"/>
    </row>
    <row r="170" spans="1:17" s="359" customFormat="1" ht="24" customHeight="1">
      <c r="A170" s="801">
        <v>33</v>
      </c>
      <c r="B170" s="804" t="s">
        <v>734</v>
      </c>
      <c r="C170" s="801" t="s">
        <v>254</v>
      </c>
      <c r="D170" s="828">
        <v>4</v>
      </c>
      <c r="E170" s="171" t="s">
        <v>614</v>
      </c>
      <c r="F170" s="172">
        <v>39.78</v>
      </c>
      <c r="G170" s="822">
        <f>ROUNDUP(AVERAGE(F170:F174),2)</f>
        <v>47.12</v>
      </c>
      <c r="H170" s="371">
        <f>IF((F170/G$170)-1&gt;30%,"EXCLUÍDO",IF((F170/G$170)-1&lt;-30%,"EXCLUÍDO",F170))</f>
        <v>39.78</v>
      </c>
      <c r="I170" s="372">
        <f>IF(F170&lt;&gt;0,(F170/$G$170)-1,"")</f>
        <v>-0.15577249575551777</v>
      </c>
      <c r="J170" s="822">
        <f>AVERAGE(H170:H174)</f>
        <v>47.115000000000002</v>
      </c>
      <c r="K170" s="825">
        <f>MEDIAN(H170:H174)</f>
        <v>45.89</v>
      </c>
      <c r="L170" s="822">
        <f>STDEV(H170:H174)</f>
        <v>7.3173287475690172</v>
      </c>
      <c r="M170" s="840">
        <f>L170/J170</f>
        <v>0.15530783715523755</v>
      </c>
      <c r="N170" s="822">
        <f>IF(M170&lt;25%,J170,K170)</f>
        <v>47.115000000000002</v>
      </c>
      <c r="O170" s="834">
        <f>N170*D170</f>
        <v>188.46</v>
      </c>
      <c r="P170" s="380"/>
      <c r="Q170" s="381"/>
    </row>
    <row r="171" spans="1:17" s="359" customFormat="1" ht="24" customHeight="1">
      <c r="A171" s="802"/>
      <c r="B171" s="805"/>
      <c r="C171" s="802"/>
      <c r="D171" s="829"/>
      <c r="E171" s="171" t="s">
        <v>578</v>
      </c>
      <c r="F171" s="172">
        <v>47.9</v>
      </c>
      <c r="G171" s="823"/>
      <c r="H171" s="371">
        <f t="shared" ref="H171:H174" si="21">IF((F171/G$170)-1&gt;30%,"EXCLUÍDO",IF((F171/G$170)-1&lt;-30%,"EXCLUÍDO",F171))</f>
        <v>47.9</v>
      </c>
      <c r="I171" s="372">
        <f t="shared" ref="I171:I174" si="22">IF(F171&lt;&gt;0,(F171/$G$170)-1,"")</f>
        <v>1.6553480475381965E-2</v>
      </c>
      <c r="J171" s="823"/>
      <c r="K171" s="826"/>
      <c r="L171" s="823"/>
      <c r="M171" s="841"/>
      <c r="N171" s="823"/>
      <c r="O171" s="835"/>
      <c r="P171" s="380"/>
      <c r="Q171" s="381"/>
    </row>
    <row r="172" spans="1:17" s="359" customFormat="1" ht="24" customHeight="1">
      <c r="A172" s="802"/>
      <c r="B172" s="805"/>
      <c r="C172" s="802"/>
      <c r="D172" s="829"/>
      <c r="E172" s="171" t="s">
        <v>615</v>
      </c>
      <c r="F172" s="172">
        <v>43.88</v>
      </c>
      <c r="G172" s="823"/>
      <c r="H172" s="371">
        <f t="shared" si="21"/>
        <v>43.88</v>
      </c>
      <c r="I172" s="372">
        <f t="shared" si="22"/>
        <v>-6.8760611205432864E-2</v>
      </c>
      <c r="J172" s="823"/>
      <c r="K172" s="826"/>
      <c r="L172" s="823"/>
      <c r="M172" s="841"/>
      <c r="N172" s="823"/>
      <c r="O172" s="835"/>
      <c r="P172" s="380"/>
      <c r="Q172" s="381"/>
    </row>
    <row r="173" spans="1:17" s="359" customFormat="1" ht="24" customHeight="1">
      <c r="A173" s="802"/>
      <c r="B173" s="805"/>
      <c r="C173" s="802"/>
      <c r="D173" s="829"/>
      <c r="E173" s="171" t="s">
        <v>599</v>
      </c>
      <c r="F173" s="172">
        <v>56.9</v>
      </c>
      <c r="G173" s="823"/>
      <c r="H173" s="371">
        <f t="shared" si="21"/>
        <v>56.9</v>
      </c>
      <c r="I173" s="372">
        <f t="shared" si="22"/>
        <v>0.20755517826825121</v>
      </c>
      <c r="J173" s="823"/>
      <c r="K173" s="826"/>
      <c r="L173" s="823"/>
      <c r="M173" s="841"/>
      <c r="N173" s="823"/>
      <c r="O173" s="835"/>
      <c r="P173" s="380"/>
      <c r="Q173" s="381"/>
    </row>
    <row r="174" spans="1:17" s="359" customFormat="1" ht="24" customHeight="1">
      <c r="A174" s="803"/>
      <c r="B174" s="806"/>
      <c r="C174" s="803"/>
      <c r="D174" s="830"/>
      <c r="E174" s="171"/>
      <c r="F174" s="172"/>
      <c r="G174" s="824"/>
      <c r="H174" s="371" t="str">
        <f t="shared" si="21"/>
        <v>EXCLUÍDO</v>
      </c>
      <c r="I174" s="372" t="str">
        <f t="shared" si="22"/>
        <v/>
      </c>
      <c r="J174" s="824"/>
      <c r="K174" s="827"/>
      <c r="L174" s="824"/>
      <c r="M174" s="842"/>
      <c r="N174" s="824"/>
      <c r="O174" s="836"/>
      <c r="P174" s="380"/>
      <c r="Q174" s="381"/>
    </row>
    <row r="175" spans="1:17" s="359" customFormat="1" ht="24" customHeight="1">
      <c r="A175" s="801">
        <v>34</v>
      </c>
      <c r="B175" s="810" t="s">
        <v>735</v>
      </c>
      <c r="C175" s="813" t="s">
        <v>254</v>
      </c>
      <c r="D175" s="807">
        <v>3</v>
      </c>
      <c r="E175" s="171" t="s">
        <v>378</v>
      </c>
      <c r="F175" s="172">
        <f>84.74+29.63</f>
        <v>114.36999999999999</v>
      </c>
      <c r="G175" s="816">
        <f>ROUNDUP(AVERAGE(F175:F179),2)</f>
        <v>91.73</v>
      </c>
      <c r="H175" s="375">
        <f>IF((F175/G$175)-1&gt;30%,"EXCLUÍDO",IF((F175/G$175)-1&lt;-30%,"EXCLUÍDO",F175))</f>
        <v>114.36999999999999</v>
      </c>
      <c r="I175" s="376">
        <f>IF(F175&lt;&gt;0,(F175/$G$175)-1,"")</f>
        <v>0.24681129401504398</v>
      </c>
      <c r="J175" s="816">
        <f>AVERAGE(H175:H179)</f>
        <v>101.66333333333334</v>
      </c>
      <c r="K175" s="819">
        <f>MEDIAN(H175:H179)</f>
        <v>100.55000000000001</v>
      </c>
      <c r="L175" s="816">
        <f>STDEV(H175:H179)</f>
        <v>12.188196475825835</v>
      </c>
      <c r="M175" s="837">
        <f>L175/J175</f>
        <v>0.11988783051076266</v>
      </c>
      <c r="N175" s="816">
        <f>IF(M175&lt;25%,J175,K175)</f>
        <v>101.66333333333334</v>
      </c>
      <c r="O175" s="831">
        <f>N175*D175</f>
        <v>304.99</v>
      </c>
      <c r="P175" s="380"/>
      <c r="Q175" s="381"/>
    </row>
    <row r="176" spans="1:17" s="359" customFormat="1" ht="24" customHeight="1">
      <c r="A176" s="802"/>
      <c r="B176" s="811"/>
      <c r="C176" s="814"/>
      <c r="D176" s="808"/>
      <c r="E176" s="171" t="s">
        <v>613</v>
      </c>
      <c r="F176" s="172">
        <f>73.9+26.65</f>
        <v>100.55000000000001</v>
      </c>
      <c r="G176" s="817"/>
      <c r="H176" s="375">
        <f t="shared" ref="H176:H179" si="23">IF((F176/G$175)-1&gt;30%,"EXCLUÍDO",IF((F176/G$175)-1&lt;-30%,"EXCLUÍDO",F176))</f>
        <v>100.55000000000001</v>
      </c>
      <c r="I176" s="376">
        <f t="shared" ref="I176:I179" si="24">IF(F176&lt;&gt;0,(F176/$G$175)-1,"")</f>
        <v>9.6151749700207123E-2</v>
      </c>
      <c r="J176" s="817"/>
      <c r="K176" s="820"/>
      <c r="L176" s="817"/>
      <c r="M176" s="838"/>
      <c r="N176" s="817"/>
      <c r="O176" s="832"/>
      <c r="P176" s="380"/>
      <c r="Q176" s="381"/>
    </row>
    <row r="177" spans="1:17" s="359" customFormat="1" ht="24" customHeight="1">
      <c r="A177" s="802"/>
      <c r="B177" s="811"/>
      <c r="C177" s="814"/>
      <c r="D177" s="808"/>
      <c r="E177" s="171" t="s">
        <v>366</v>
      </c>
      <c r="F177" s="172">
        <v>61.9</v>
      </c>
      <c r="G177" s="817"/>
      <c r="H177" s="375" t="str">
        <f t="shared" si="23"/>
        <v>EXCLUÍDO</v>
      </c>
      <c r="I177" s="376">
        <f t="shared" si="24"/>
        <v>-0.32519350267088198</v>
      </c>
      <c r="J177" s="817"/>
      <c r="K177" s="820"/>
      <c r="L177" s="817"/>
      <c r="M177" s="838"/>
      <c r="N177" s="817"/>
      <c r="O177" s="832"/>
      <c r="P177" s="380"/>
      <c r="Q177" s="381"/>
    </row>
    <row r="178" spans="1:17" s="359" customFormat="1" ht="24" customHeight="1">
      <c r="A178" s="802"/>
      <c r="B178" s="811"/>
      <c r="C178" s="814"/>
      <c r="D178" s="808"/>
      <c r="E178" s="171" t="s">
        <v>587</v>
      </c>
      <c r="F178" s="172">
        <f>65.11+24.96</f>
        <v>90.07</v>
      </c>
      <c r="G178" s="817"/>
      <c r="H178" s="375">
        <f t="shared" si="23"/>
        <v>90.07</v>
      </c>
      <c r="I178" s="376">
        <f t="shared" si="24"/>
        <v>-1.8096587812057252E-2</v>
      </c>
      <c r="J178" s="817"/>
      <c r="K178" s="820"/>
      <c r="L178" s="817"/>
      <c r="M178" s="838"/>
      <c r="N178" s="817"/>
      <c r="O178" s="832"/>
      <c r="P178" s="380"/>
      <c r="Q178" s="381"/>
    </row>
    <row r="179" spans="1:17" s="359" customFormat="1" ht="24" customHeight="1">
      <c r="A179" s="803"/>
      <c r="B179" s="812"/>
      <c r="C179" s="815"/>
      <c r="D179" s="809"/>
      <c r="E179" s="171"/>
      <c r="F179" s="172"/>
      <c r="G179" s="818"/>
      <c r="H179" s="375" t="str">
        <f t="shared" si="23"/>
        <v>EXCLUÍDO</v>
      </c>
      <c r="I179" s="376" t="str">
        <f t="shared" si="24"/>
        <v/>
      </c>
      <c r="J179" s="818"/>
      <c r="K179" s="821"/>
      <c r="L179" s="818"/>
      <c r="M179" s="839"/>
      <c r="N179" s="818"/>
      <c r="O179" s="833"/>
      <c r="P179" s="380"/>
      <c r="Q179" s="381"/>
    </row>
    <row r="180" spans="1:17" s="359" customFormat="1" ht="24" customHeight="1">
      <c r="A180" s="801">
        <v>35</v>
      </c>
      <c r="B180" s="804" t="s">
        <v>736</v>
      </c>
      <c r="C180" s="801" t="s">
        <v>254</v>
      </c>
      <c r="D180" s="828">
        <v>8</v>
      </c>
      <c r="E180" s="171" t="s">
        <v>616</v>
      </c>
      <c r="F180" s="172">
        <v>24.99</v>
      </c>
      <c r="G180" s="822">
        <f>ROUNDUP(AVERAGE(F180:F184),2)</f>
        <v>29.32</v>
      </c>
      <c r="H180" s="371">
        <f>IF((F180/G$180)-1&gt;30%,"EXCLUÍDO",IF((F180/G$180)-1&lt;-30%,"EXCLUÍDO",F180))</f>
        <v>24.99</v>
      </c>
      <c r="I180" s="372">
        <f>IF(F180&lt;&gt;0,(F180/$G$180)-1,"")</f>
        <v>-0.14768076398362895</v>
      </c>
      <c r="J180" s="822">
        <f>AVERAGE(H180:H184)</f>
        <v>29.312499999999996</v>
      </c>
      <c r="K180" s="825">
        <f>MEDIAN(H180:H184)</f>
        <v>27.979999999999997</v>
      </c>
      <c r="L180" s="822">
        <f>STDEV(H180:H184)</f>
        <v>5.1361618289665856</v>
      </c>
      <c r="M180" s="840">
        <f>L180/J180</f>
        <v>0.17522087262999014</v>
      </c>
      <c r="N180" s="822">
        <f>IF(M180&lt;25%,J180,K180)</f>
        <v>29.312499999999996</v>
      </c>
      <c r="O180" s="834">
        <f>N180*D180</f>
        <v>234.49999999999997</v>
      </c>
      <c r="P180" s="380"/>
      <c r="Q180" s="381"/>
    </row>
    <row r="181" spans="1:17" s="359" customFormat="1" ht="24" customHeight="1">
      <c r="A181" s="802"/>
      <c r="B181" s="805"/>
      <c r="C181" s="802"/>
      <c r="D181" s="829"/>
      <c r="E181" s="171" t="s">
        <v>617</v>
      </c>
      <c r="F181" s="172">
        <v>25.97</v>
      </c>
      <c r="G181" s="823"/>
      <c r="H181" s="371">
        <f t="shared" ref="H181:H184" si="25">IF((F181/G$180)-1&gt;30%,"EXCLUÍDO",IF((F181/G$180)-1&lt;-30%,"EXCLUÍDO",F181))</f>
        <v>25.97</v>
      </c>
      <c r="I181" s="372">
        <f t="shared" ref="I181:I184" si="26">IF(F181&lt;&gt;0,(F181/$G$180)-1,"")</f>
        <v>-0.11425648021828105</v>
      </c>
      <c r="J181" s="823"/>
      <c r="K181" s="826"/>
      <c r="L181" s="823"/>
      <c r="M181" s="841"/>
      <c r="N181" s="823"/>
      <c r="O181" s="835"/>
      <c r="P181" s="380"/>
      <c r="Q181" s="381"/>
    </row>
    <row r="182" spans="1:17" s="359" customFormat="1" ht="24" customHeight="1">
      <c r="A182" s="802"/>
      <c r="B182" s="805"/>
      <c r="C182" s="802"/>
      <c r="D182" s="829"/>
      <c r="E182" s="171" t="s">
        <v>618</v>
      </c>
      <c r="F182" s="172">
        <v>36.299999999999997</v>
      </c>
      <c r="G182" s="823"/>
      <c r="H182" s="371">
        <f t="shared" si="25"/>
        <v>36.299999999999997</v>
      </c>
      <c r="I182" s="372">
        <f t="shared" si="26"/>
        <v>0.23806275579808989</v>
      </c>
      <c r="J182" s="823"/>
      <c r="K182" s="826"/>
      <c r="L182" s="823"/>
      <c r="M182" s="841"/>
      <c r="N182" s="823"/>
      <c r="O182" s="835"/>
      <c r="P182" s="380"/>
      <c r="Q182" s="381"/>
    </row>
    <row r="183" spans="1:17" s="359" customFormat="1" ht="24" customHeight="1">
      <c r="A183" s="802"/>
      <c r="B183" s="805"/>
      <c r="C183" s="802"/>
      <c r="D183" s="829"/>
      <c r="E183" s="171" t="s">
        <v>619</v>
      </c>
      <c r="F183" s="172">
        <v>29.99</v>
      </c>
      <c r="G183" s="823"/>
      <c r="H183" s="371">
        <f t="shared" si="25"/>
        <v>29.99</v>
      </c>
      <c r="I183" s="372">
        <f t="shared" si="26"/>
        <v>2.2851296043656211E-2</v>
      </c>
      <c r="J183" s="823"/>
      <c r="K183" s="826"/>
      <c r="L183" s="823"/>
      <c r="M183" s="841"/>
      <c r="N183" s="823"/>
      <c r="O183" s="835"/>
      <c r="P183" s="380"/>
      <c r="Q183" s="381"/>
    </row>
    <row r="184" spans="1:17" s="359" customFormat="1" ht="24" customHeight="1">
      <c r="A184" s="803"/>
      <c r="B184" s="806"/>
      <c r="C184" s="803"/>
      <c r="D184" s="830"/>
      <c r="E184" s="171"/>
      <c r="F184" s="172"/>
      <c r="G184" s="824"/>
      <c r="H184" s="371" t="str">
        <f t="shared" si="25"/>
        <v>EXCLUÍDO</v>
      </c>
      <c r="I184" s="372" t="str">
        <f t="shared" si="26"/>
        <v/>
      </c>
      <c r="J184" s="824"/>
      <c r="K184" s="827"/>
      <c r="L184" s="824"/>
      <c r="M184" s="842"/>
      <c r="N184" s="824"/>
      <c r="O184" s="836"/>
      <c r="P184" s="380"/>
      <c r="Q184" s="381"/>
    </row>
    <row r="185" spans="1:17" s="359" customFormat="1" ht="24" customHeight="1">
      <c r="A185" s="801">
        <v>36</v>
      </c>
      <c r="B185" s="810" t="s">
        <v>737</v>
      </c>
      <c r="C185" s="813" t="s">
        <v>254</v>
      </c>
      <c r="D185" s="807">
        <v>4</v>
      </c>
      <c r="E185" s="171" t="s">
        <v>578</v>
      </c>
      <c r="F185" s="172">
        <f>33.9+18.9</f>
        <v>52.8</v>
      </c>
      <c r="G185" s="816">
        <f>ROUNDUP(AVERAGE(F185:F189),2)</f>
        <v>46.65</v>
      </c>
      <c r="H185" s="375">
        <f>IF((F185/G$185)-1&gt;30%,"EXCLUÍDO",IF((F185/G$185)-1&lt;-30%,"EXCLUÍDO",F185))</f>
        <v>52.8</v>
      </c>
      <c r="I185" s="376">
        <f>IF(F185&lt;&gt;0,(F185/$G$185)-1,"")</f>
        <v>0.13183279742765275</v>
      </c>
      <c r="J185" s="816">
        <f>AVERAGE(H185:H189)</f>
        <v>46.849999999999994</v>
      </c>
      <c r="K185" s="819">
        <f>MEDIAN(H185:H189)</f>
        <v>46.849999999999994</v>
      </c>
      <c r="L185" s="816">
        <f>STDEV(H185:H189)</f>
        <v>8.4145706961199327</v>
      </c>
      <c r="M185" s="837">
        <f>L185/J185</f>
        <v>0.17960663172080968</v>
      </c>
      <c r="N185" s="816">
        <f>IF(M185&lt;25%,J185,K185)</f>
        <v>46.849999999999994</v>
      </c>
      <c r="O185" s="831">
        <f>N185*D185</f>
        <v>187.39999999999998</v>
      </c>
      <c r="P185" s="380"/>
      <c r="Q185" s="381"/>
    </row>
    <row r="186" spans="1:17" s="359" customFormat="1" ht="24" customHeight="1">
      <c r="A186" s="802"/>
      <c r="B186" s="811"/>
      <c r="C186" s="814"/>
      <c r="D186" s="808"/>
      <c r="E186" s="171" t="s">
        <v>620</v>
      </c>
      <c r="F186" s="172">
        <f>36.44+31.46</f>
        <v>67.900000000000006</v>
      </c>
      <c r="G186" s="817"/>
      <c r="H186" s="375" t="str">
        <f t="shared" ref="H186:H189" si="27">IF((F186/G$185)-1&gt;30%,"EXCLUÍDO",IF((F186/G$185)-1&lt;-30%,"EXCLUÍDO",F186))</f>
        <v>EXCLUÍDO</v>
      </c>
      <c r="I186" s="376">
        <f t="shared" ref="I186:I189" si="28">IF(F186&lt;&gt;0,(F186/$G$185)-1,"")</f>
        <v>0.45551982851018247</v>
      </c>
      <c r="J186" s="817"/>
      <c r="K186" s="820"/>
      <c r="L186" s="817"/>
      <c r="M186" s="838"/>
      <c r="N186" s="817"/>
      <c r="O186" s="832"/>
      <c r="P186" s="380"/>
      <c r="Q186" s="381"/>
    </row>
    <row r="187" spans="1:17" s="359" customFormat="1" ht="24" customHeight="1">
      <c r="A187" s="802"/>
      <c r="B187" s="811"/>
      <c r="C187" s="814"/>
      <c r="D187" s="808"/>
      <c r="E187" s="171" t="s">
        <v>366</v>
      </c>
      <c r="F187" s="172">
        <v>24.99</v>
      </c>
      <c r="G187" s="817"/>
      <c r="H187" s="375" t="str">
        <f t="shared" si="27"/>
        <v>EXCLUÍDO</v>
      </c>
      <c r="I187" s="376">
        <f t="shared" si="28"/>
        <v>-0.46430868167202577</v>
      </c>
      <c r="J187" s="817"/>
      <c r="K187" s="820"/>
      <c r="L187" s="817"/>
      <c r="M187" s="838"/>
      <c r="N187" s="817"/>
      <c r="O187" s="832"/>
      <c r="P187" s="380"/>
      <c r="Q187" s="381"/>
    </row>
    <row r="188" spans="1:17" s="359" customFormat="1" ht="24" customHeight="1">
      <c r="A188" s="802"/>
      <c r="B188" s="811"/>
      <c r="C188" s="814"/>
      <c r="D188" s="808"/>
      <c r="E188" s="171" t="s">
        <v>366</v>
      </c>
      <c r="F188" s="172">
        <v>40.9</v>
      </c>
      <c r="G188" s="817"/>
      <c r="H188" s="375">
        <f t="shared" si="27"/>
        <v>40.9</v>
      </c>
      <c r="I188" s="376">
        <f t="shared" si="28"/>
        <v>-0.12325830653804926</v>
      </c>
      <c r="J188" s="817"/>
      <c r="K188" s="820"/>
      <c r="L188" s="817"/>
      <c r="M188" s="838"/>
      <c r="N188" s="817"/>
      <c r="O188" s="832"/>
      <c r="P188" s="380"/>
      <c r="Q188" s="381"/>
    </row>
    <row r="189" spans="1:17" s="359" customFormat="1" ht="24" customHeight="1">
      <c r="A189" s="803"/>
      <c r="B189" s="812"/>
      <c r="C189" s="815"/>
      <c r="D189" s="809"/>
      <c r="E189" s="171"/>
      <c r="F189" s="172"/>
      <c r="G189" s="818"/>
      <c r="H189" s="375" t="str">
        <f t="shared" si="27"/>
        <v>EXCLUÍDO</v>
      </c>
      <c r="I189" s="376" t="str">
        <f t="shared" si="28"/>
        <v/>
      </c>
      <c r="J189" s="818"/>
      <c r="K189" s="821"/>
      <c r="L189" s="818"/>
      <c r="M189" s="839"/>
      <c r="N189" s="818"/>
      <c r="O189" s="833"/>
      <c r="P189" s="380"/>
      <c r="Q189" s="381"/>
    </row>
    <row r="190" spans="1:17" s="359" customFormat="1" ht="24" customHeight="1">
      <c r="A190" s="801">
        <v>37</v>
      </c>
      <c r="B190" s="804" t="s">
        <v>738</v>
      </c>
      <c r="C190" s="801" t="s">
        <v>254</v>
      </c>
      <c r="D190" s="828">
        <v>9</v>
      </c>
      <c r="E190" s="171" t="s">
        <v>366</v>
      </c>
      <c r="F190" s="172">
        <v>198.07</v>
      </c>
      <c r="G190" s="822">
        <f>ROUNDUP(AVERAGE(F190:F194),2)</f>
        <v>191.01</v>
      </c>
      <c r="H190" s="371">
        <f>IF((F190/G$190)-1&gt;30%,"EXCLUÍDO",IF((F190/G$190)-1&lt;-30%,"EXCLUÍDO",F190))</f>
        <v>198.07</v>
      </c>
      <c r="I190" s="372">
        <f>IF(F190&lt;&gt;0,(F190/$G$190)-1,"")</f>
        <v>3.6961415632689398E-2</v>
      </c>
      <c r="J190" s="822">
        <f>AVERAGE(H190:H194)</f>
        <v>191.00500000000002</v>
      </c>
      <c r="K190" s="825">
        <f>MEDIAN(H190:H194)</f>
        <v>197.48000000000002</v>
      </c>
      <c r="L190" s="822">
        <f>STDEV(H190:H194)</f>
        <v>19.590954545401804</v>
      </c>
      <c r="M190" s="840">
        <f>L190/J190</f>
        <v>0.10256775762624958</v>
      </c>
      <c r="N190" s="822">
        <f>IF(M190&lt;25%,J190,K190)</f>
        <v>191.00500000000002</v>
      </c>
      <c r="O190" s="834">
        <f>N190*D190</f>
        <v>1719.0450000000003</v>
      </c>
      <c r="P190" s="380"/>
      <c r="Q190" s="381"/>
    </row>
    <row r="191" spans="1:17" s="359" customFormat="1" ht="24" customHeight="1">
      <c r="A191" s="802"/>
      <c r="B191" s="805"/>
      <c r="C191" s="802"/>
      <c r="D191" s="829"/>
      <c r="E191" s="171" t="s">
        <v>621</v>
      </c>
      <c r="F191" s="172">
        <f>171.9+24.99</f>
        <v>196.89000000000001</v>
      </c>
      <c r="G191" s="823"/>
      <c r="H191" s="371">
        <f t="shared" ref="H191:H194" si="29">IF((F191/G$190)-1&gt;30%,"EXCLUÍDO",IF((F191/G$190)-1&lt;-30%,"EXCLUÍDO",F191))</f>
        <v>196.89000000000001</v>
      </c>
      <c r="I191" s="372">
        <f t="shared" ref="I191:I194" si="30">IF(F191&lt;&gt;0,(F191/$G$190)-1,"")</f>
        <v>3.0783728600596971E-2</v>
      </c>
      <c r="J191" s="823"/>
      <c r="K191" s="826"/>
      <c r="L191" s="823"/>
      <c r="M191" s="841"/>
      <c r="N191" s="823"/>
      <c r="O191" s="835"/>
      <c r="P191" s="380"/>
      <c r="Q191" s="381"/>
    </row>
    <row r="192" spans="1:17" s="359" customFormat="1" ht="24" customHeight="1">
      <c r="A192" s="802"/>
      <c r="B192" s="805"/>
      <c r="C192" s="802"/>
      <c r="D192" s="829"/>
      <c r="E192" s="171" t="s">
        <v>622</v>
      </c>
      <c r="F192" s="172">
        <f>144.9+61.8</f>
        <v>206.7</v>
      </c>
      <c r="G192" s="823"/>
      <c r="H192" s="371">
        <f t="shared" si="29"/>
        <v>206.7</v>
      </c>
      <c r="I192" s="372">
        <f t="shared" si="30"/>
        <v>8.2142296214857913E-2</v>
      </c>
      <c r="J192" s="823"/>
      <c r="K192" s="826"/>
      <c r="L192" s="823"/>
      <c r="M192" s="841"/>
      <c r="N192" s="823"/>
      <c r="O192" s="835"/>
      <c r="P192" s="380"/>
      <c r="Q192" s="381"/>
    </row>
    <row r="193" spans="1:17" s="359" customFormat="1" ht="24" customHeight="1">
      <c r="A193" s="802"/>
      <c r="B193" s="805"/>
      <c r="C193" s="802"/>
      <c r="D193" s="829"/>
      <c r="E193" s="171" t="s">
        <v>599</v>
      </c>
      <c r="F193" s="172">
        <v>162.36000000000001</v>
      </c>
      <c r="G193" s="823"/>
      <c r="H193" s="371">
        <f t="shared" si="29"/>
        <v>162.36000000000001</v>
      </c>
      <c r="I193" s="372">
        <f t="shared" si="30"/>
        <v>-0.14999214700800989</v>
      </c>
      <c r="J193" s="823"/>
      <c r="K193" s="826"/>
      <c r="L193" s="823"/>
      <c r="M193" s="841"/>
      <c r="N193" s="823"/>
      <c r="O193" s="835"/>
      <c r="P193" s="380"/>
      <c r="Q193" s="381"/>
    </row>
    <row r="194" spans="1:17" s="359" customFormat="1" ht="24" customHeight="1">
      <c r="A194" s="803"/>
      <c r="B194" s="806"/>
      <c r="C194" s="803"/>
      <c r="D194" s="830"/>
      <c r="E194" s="171"/>
      <c r="F194" s="172"/>
      <c r="G194" s="824"/>
      <c r="H194" s="371" t="str">
        <f t="shared" si="29"/>
        <v>EXCLUÍDO</v>
      </c>
      <c r="I194" s="372" t="str">
        <f t="shared" si="30"/>
        <v/>
      </c>
      <c r="J194" s="824"/>
      <c r="K194" s="827"/>
      <c r="L194" s="824"/>
      <c r="M194" s="842"/>
      <c r="N194" s="824"/>
      <c r="O194" s="836"/>
      <c r="P194" s="380"/>
      <c r="Q194" s="381"/>
    </row>
    <row r="195" spans="1:17" s="359" customFormat="1" ht="24" customHeight="1">
      <c r="A195" s="801">
        <v>38</v>
      </c>
      <c r="B195" s="810" t="s">
        <v>739</v>
      </c>
      <c r="C195" s="813" t="s">
        <v>254</v>
      </c>
      <c r="D195" s="807">
        <v>9</v>
      </c>
      <c r="E195" s="171" t="s">
        <v>623</v>
      </c>
      <c r="F195" s="172">
        <v>151.94999999999999</v>
      </c>
      <c r="G195" s="816">
        <f>ROUNDUP(AVERAGE(F195:F199),2)</f>
        <v>141.53</v>
      </c>
      <c r="H195" s="375">
        <f>IF((F195/G$195)-1&gt;30%,"EXCLUÍDO",IF((F195/G$195)-1&lt;-30%,"EXCLUÍDO",F195))</f>
        <v>151.94999999999999</v>
      </c>
      <c r="I195" s="376">
        <f>IF(F195&lt;&gt;0,(F195/$G$195)-1,"")</f>
        <v>7.3623966650180117E-2</v>
      </c>
      <c r="J195" s="816">
        <f>AVERAGE(H195:H199)</f>
        <v>141.52500000000001</v>
      </c>
      <c r="K195" s="819">
        <f>MEDIAN(H195:H199)</f>
        <v>144.97999999999999</v>
      </c>
      <c r="L195" s="816">
        <f>STDEV(H195:H199)</f>
        <v>16.783306189981268</v>
      </c>
      <c r="M195" s="837">
        <f>L195/J195</f>
        <v>0.11858898562078267</v>
      </c>
      <c r="N195" s="816">
        <f>IF(M195&lt;25%,J195,K195)</f>
        <v>141.52500000000001</v>
      </c>
      <c r="O195" s="831">
        <f>N195*D195</f>
        <v>1273.7250000000001</v>
      </c>
      <c r="P195" s="380"/>
      <c r="Q195" s="381"/>
    </row>
    <row r="196" spans="1:17" s="359" customFormat="1" ht="24" customHeight="1">
      <c r="A196" s="802"/>
      <c r="B196" s="811"/>
      <c r="C196" s="814"/>
      <c r="D196" s="808"/>
      <c r="E196" s="171" t="s">
        <v>624</v>
      </c>
      <c r="F196" s="172">
        <v>119.36</v>
      </c>
      <c r="G196" s="817"/>
      <c r="H196" s="375">
        <f t="shared" ref="H196:H199" si="31">IF((F196/G$195)-1&gt;30%,"EXCLUÍDO",IF((F196/G$195)-1&lt;-30%,"EXCLUÍDO",F196))</f>
        <v>119.36</v>
      </c>
      <c r="I196" s="376">
        <f t="shared" ref="I196:I199" si="32">IF(F196&lt;&gt;0,(F196/$G$195)-1,"")</f>
        <v>-0.15664523422595922</v>
      </c>
      <c r="J196" s="817"/>
      <c r="K196" s="820"/>
      <c r="L196" s="817"/>
      <c r="M196" s="838"/>
      <c r="N196" s="817"/>
      <c r="O196" s="832"/>
      <c r="P196" s="380"/>
      <c r="Q196" s="381"/>
    </row>
    <row r="197" spans="1:17" s="359" customFormat="1" ht="24" customHeight="1">
      <c r="A197" s="802"/>
      <c r="B197" s="811"/>
      <c r="C197" s="814"/>
      <c r="D197" s="808"/>
      <c r="E197" s="171" t="s">
        <v>625</v>
      </c>
      <c r="F197" s="172">
        <f>135.79+20.99</f>
        <v>156.78</v>
      </c>
      <c r="G197" s="817"/>
      <c r="H197" s="375">
        <f t="shared" si="31"/>
        <v>156.78</v>
      </c>
      <c r="I197" s="376">
        <f t="shared" si="32"/>
        <v>0.10775100685367067</v>
      </c>
      <c r="J197" s="817"/>
      <c r="K197" s="820"/>
      <c r="L197" s="817"/>
      <c r="M197" s="838"/>
      <c r="N197" s="817"/>
      <c r="O197" s="832"/>
      <c r="P197" s="380"/>
      <c r="Q197" s="381"/>
    </row>
    <row r="198" spans="1:17" s="359" customFormat="1" ht="24" customHeight="1">
      <c r="A198" s="802"/>
      <c r="B198" s="811"/>
      <c r="C198" s="814"/>
      <c r="D198" s="808"/>
      <c r="E198" s="171" t="s">
        <v>626</v>
      </c>
      <c r="F198" s="172">
        <v>138.01</v>
      </c>
      <c r="G198" s="817"/>
      <c r="H198" s="375">
        <f t="shared" si="31"/>
        <v>138.01</v>
      </c>
      <c r="I198" s="376">
        <f t="shared" si="32"/>
        <v>-2.4871052073765387E-2</v>
      </c>
      <c r="J198" s="817"/>
      <c r="K198" s="820"/>
      <c r="L198" s="817"/>
      <c r="M198" s="838"/>
      <c r="N198" s="817"/>
      <c r="O198" s="832"/>
      <c r="P198" s="380"/>
      <c r="Q198" s="381"/>
    </row>
    <row r="199" spans="1:17" s="359" customFormat="1" ht="24" customHeight="1">
      <c r="A199" s="803"/>
      <c r="B199" s="812"/>
      <c r="C199" s="815"/>
      <c r="D199" s="809"/>
      <c r="E199" s="171"/>
      <c r="F199" s="172"/>
      <c r="G199" s="818"/>
      <c r="H199" s="375" t="str">
        <f t="shared" si="31"/>
        <v>EXCLUÍDO</v>
      </c>
      <c r="I199" s="376" t="str">
        <f t="shared" si="32"/>
        <v/>
      </c>
      <c r="J199" s="818"/>
      <c r="K199" s="821"/>
      <c r="L199" s="818"/>
      <c r="M199" s="839"/>
      <c r="N199" s="818"/>
      <c r="O199" s="833"/>
      <c r="P199" s="380"/>
      <c r="Q199" s="381"/>
    </row>
    <row r="200" spans="1:17" s="374" customFormat="1" ht="27" customHeight="1">
      <c r="A200" s="801">
        <v>39</v>
      </c>
      <c r="B200" s="804" t="s">
        <v>740</v>
      </c>
      <c r="C200" s="801" t="s">
        <v>254</v>
      </c>
      <c r="D200" s="828">
        <v>21</v>
      </c>
      <c r="E200" s="171" t="s">
        <v>627</v>
      </c>
      <c r="F200" s="172">
        <v>104.36</v>
      </c>
      <c r="G200" s="822">
        <f>ROUNDUP(AVERAGE(F200:F204),2)</f>
        <v>118.57000000000001</v>
      </c>
      <c r="H200" s="371">
        <f>IF((F200/G$200)-1&gt;30%,"EXCLUÍDO",IF((F200/G$200)-1&lt;-30%,"EXCLUÍDO",F200))</f>
        <v>104.36</v>
      </c>
      <c r="I200" s="372">
        <f>IF(F200&lt;&gt;0,(F200/$G$200)-1,"")</f>
        <v>-0.11984481740743869</v>
      </c>
      <c r="J200" s="822">
        <f>AVERAGE(H200:H204)</f>
        <v>118.5675</v>
      </c>
      <c r="K200" s="825">
        <f>MEDIAN(H200:H204)</f>
        <v>119.45</v>
      </c>
      <c r="L200" s="822">
        <f>STDEV(H200:H204)</f>
        <v>10.933609879632616</v>
      </c>
      <c r="M200" s="840">
        <f>L200/J200</f>
        <v>9.2214222950071617E-2</v>
      </c>
      <c r="N200" s="822">
        <f>IF(M200&lt;25%,J200,K200)</f>
        <v>118.5675</v>
      </c>
      <c r="O200" s="834">
        <f>N200*D200</f>
        <v>2489.9175</v>
      </c>
      <c r="P200" s="377"/>
      <c r="Q200" s="378"/>
    </row>
    <row r="201" spans="1:17" s="374" customFormat="1" ht="27" customHeight="1">
      <c r="A201" s="802"/>
      <c r="B201" s="805"/>
      <c r="C201" s="802"/>
      <c r="D201" s="829"/>
      <c r="E201" s="171" t="s">
        <v>628</v>
      </c>
      <c r="F201" s="172">
        <v>131.01</v>
      </c>
      <c r="G201" s="823"/>
      <c r="H201" s="371">
        <f>IF((F201/G$200)-1&gt;30%,"EXCLUÍDO",IF((F201/G$200)-1&lt;-30%,"EXCLUÍDO",F201))</f>
        <v>131.01</v>
      </c>
      <c r="I201" s="372">
        <f>IF(F201&lt;&gt;0,(F201/$G$200)-1,"")</f>
        <v>0.10491692670996011</v>
      </c>
      <c r="J201" s="823"/>
      <c r="K201" s="826"/>
      <c r="L201" s="823"/>
      <c r="M201" s="841"/>
      <c r="N201" s="823"/>
      <c r="O201" s="835"/>
      <c r="P201" s="377"/>
      <c r="Q201" s="378"/>
    </row>
    <row r="202" spans="1:17" s="374" customFormat="1" ht="27" customHeight="1">
      <c r="A202" s="802"/>
      <c r="B202" s="805"/>
      <c r="C202" s="802"/>
      <c r="D202" s="829"/>
      <c r="E202" s="171" t="s">
        <v>629</v>
      </c>
      <c r="F202" s="172">
        <v>119</v>
      </c>
      <c r="G202" s="823"/>
      <c r="H202" s="371">
        <f>IF((F202/G$200)-1&gt;30%,"EXCLUÍDO",IF((F202/G$200)-1&lt;-30%,"EXCLUÍDO",F202))</f>
        <v>119</v>
      </c>
      <c r="I202" s="372">
        <f>IF(F202&lt;&gt;0,(F202/$G$200)-1,"")</f>
        <v>3.626549717466343E-3</v>
      </c>
      <c r="J202" s="823"/>
      <c r="K202" s="826"/>
      <c r="L202" s="823"/>
      <c r="M202" s="841"/>
      <c r="N202" s="823"/>
      <c r="O202" s="835"/>
      <c r="P202" s="377"/>
      <c r="Q202" s="378"/>
    </row>
    <row r="203" spans="1:17" s="374" customFormat="1" ht="27" customHeight="1">
      <c r="A203" s="802"/>
      <c r="B203" s="805"/>
      <c r="C203" s="802"/>
      <c r="D203" s="829"/>
      <c r="E203" s="171" t="s">
        <v>630</v>
      </c>
      <c r="F203" s="172">
        <v>119.9</v>
      </c>
      <c r="G203" s="823"/>
      <c r="H203" s="371">
        <f>IF((F203/G$200)-1&gt;30%,"EXCLUÍDO",IF((F203/G$200)-1&lt;-30%,"EXCLUÍDO",F203))</f>
        <v>119.9</v>
      </c>
      <c r="I203" s="372">
        <f>IF(F203&lt;&gt;0,(F203/$G$200)-1,"")</f>
        <v>1.1217002614489324E-2</v>
      </c>
      <c r="J203" s="823"/>
      <c r="K203" s="826"/>
      <c r="L203" s="823"/>
      <c r="M203" s="841"/>
      <c r="N203" s="823"/>
      <c r="O203" s="835"/>
      <c r="P203" s="377"/>
      <c r="Q203" s="378"/>
    </row>
    <row r="204" spans="1:17" s="374" customFormat="1" ht="27" customHeight="1">
      <c r="A204" s="803"/>
      <c r="B204" s="806"/>
      <c r="C204" s="803"/>
      <c r="D204" s="830"/>
      <c r="E204" s="171"/>
      <c r="F204" s="172"/>
      <c r="G204" s="824"/>
      <c r="H204" s="371" t="str">
        <f>IF((F204/G$200)-1&gt;30%,"EXCLUÍDO",IF((F204/G$200)-1&lt;-30%,"EXCLUÍDO",F204))</f>
        <v>EXCLUÍDO</v>
      </c>
      <c r="I204" s="372" t="str">
        <f>IF(F204&lt;&gt;0,(F204/$G$200)-1,"")</f>
        <v/>
      </c>
      <c r="J204" s="824"/>
      <c r="K204" s="827"/>
      <c r="L204" s="824"/>
      <c r="M204" s="842"/>
      <c r="N204" s="824"/>
      <c r="O204" s="836"/>
      <c r="P204" s="377"/>
      <c r="Q204" s="378"/>
    </row>
    <row r="205" spans="1:17" s="359" customFormat="1" ht="45.75" customHeight="1">
      <c r="A205" s="382"/>
      <c r="B205" s="383"/>
      <c r="C205" s="382"/>
      <c r="D205" s="384"/>
      <c r="E205" s="385"/>
      <c r="F205" s="386"/>
      <c r="G205" s="387"/>
      <c r="H205" s="386"/>
      <c r="I205" s="388"/>
      <c r="J205" s="387"/>
      <c r="K205" s="389"/>
      <c r="L205" s="387"/>
      <c r="M205" s="390"/>
      <c r="N205" s="391"/>
      <c r="O205" s="392" t="s">
        <v>367</v>
      </c>
      <c r="P205" s="380"/>
      <c r="Q205" s="381"/>
    </row>
    <row r="206" spans="1:17" ht="30.75" customHeight="1">
      <c r="A206" s="846" t="s">
        <v>368</v>
      </c>
      <c r="B206" s="847"/>
      <c r="C206" s="847"/>
      <c r="D206" s="847"/>
      <c r="E206" s="847"/>
      <c r="F206" s="847"/>
      <c r="G206" s="847"/>
      <c r="H206" s="847"/>
      <c r="I206" s="847"/>
      <c r="J206" s="847"/>
      <c r="K206" s="847"/>
      <c r="L206" s="847"/>
      <c r="M206" s="847"/>
      <c r="N206" s="848"/>
      <c r="O206" s="393">
        <f>SUM(O10:O204)</f>
        <v>113613.88200000001</v>
      </c>
    </row>
    <row r="207" spans="1:17" ht="28.5" customHeight="1">
      <c r="A207" s="883" t="s">
        <v>632</v>
      </c>
      <c r="B207" s="884"/>
      <c r="C207" s="884"/>
      <c r="D207" s="884"/>
      <c r="E207" s="884"/>
      <c r="F207" s="884"/>
      <c r="G207" s="884"/>
      <c r="H207" s="884"/>
      <c r="I207" s="884"/>
      <c r="J207" s="884"/>
      <c r="K207" s="884"/>
      <c r="L207" s="884"/>
      <c r="M207" s="884"/>
      <c r="N207" s="885"/>
      <c r="O207" s="393">
        <f>O206*0.2</f>
        <v>22722.776400000002</v>
      </c>
    </row>
    <row r="208" spans="1:17" ht="28.5" customHeight="1">
      <c r="A208" s="846" t="s">
        <v>369</v>
      </c>
      <c r="B208" s="847"/>
      <c r="C208" s="847"/>
      <c r="D208" s="847"/>
      <c r="E208" s="847"/>
      <c r="F208" s="847"/>
      <c r="G208" s="847"/>
      <c r="H208" s="847"/>
      <c r="I208" s="847"/>
      <c r="J208" s="847"/>
      <c r="K208" s="847"/>
      <c r="L208" s="847"/>
      <c r="M208" s="847"/>
      <c r="N208" s="848"/>
      <c r="O208" s="393">
        <f>O206-O207</f>
        <v>90891.10560000001</v>
      </c>
    </row>
    <row r="209" spans="1:15" ht="28.5" customHeight="1">
      <c r="A209" s="846" t="s">
        <v>660</v>
      </c>
      <c r="B209" s="847"/>
      <c r="C209" s="847"/>
      <c r="D209" s="847"/>
      <c r="E209" s="847"/>
      <c r="F209" s="847"/>
      <c r="G209" s="847"/>
      <c r="H209" s="847"/>
      <c r="I209" s="847"/>
      <c r="J209" s="847"/>
      <c r="K209" s="847"/>
      <c r="L209" s="847"/>
      <c r="M209" s="847"/>
      <c r="N209" s="848"/>
      <c r="O209" s="393">
        <f>O208*(0.5/100)</f>
        <v>454.45552800000007</v>
      </c>
    </row>
    <row r="210" spans="1:15" ht="28.5" customHeight="1">
      <c r="A210" s="846" t="s">
        <v>661</v>
      </c>
      <c r="B210" s="847"/>
      <c r="C210" s="847"/>
      <c r="D210" s="847"/>
      <c r="E210" s="847"/>
      <c r="F210" s="847"/>
      <c r="G210" s="847"/>
      <c r="H210" s="847"/>
      <c r="I210" s="847"/>
      <c r="J210" s="847"/>
      <c r="K210" s="847"/>
      <c r="L210" s="847"/>
      <c r="M210" s="847"/>
      <c r="N210" s="848"/>
      <c r="O210" s="393">
        <f>O208/60+O209</f>
        <v>1969.3072880000004</v>
      </c>
    </row>
    <row r="211" spans="1:15" ht="28.5" customHeight="1">
      <c r="A211" s="846" t="s">
        <v>712</v>
      </c>
      <c r="B211" s="847"/>
      <c r="C211" s="847"/>
      <c r="D211" s="847"/>
      <c r="E211" s="847"/>
      <c r="F211" s="847"/>
      <c r="G211" s="847"/>
      <c r="H211" s="847"/>
      <c r="I211" s="847"/>
      <c r="J211" s="847"/>
      <c r="K211" s="847"/>
      <c r="L211" s="847"/>
      <c r="M211" s="847"/>
      <c r="N211" s="848"/>
      <c r="O211" s="393">
        <f>O210/28</f>
        <v>70.33240314285716</v>
      </c>
    </row>
    <row r="212" spans="1:15" ht="28.5" customHeight="1">
      <c r="A212" s="394"/>
      <c r="B212" s="394"/>
      <c r="C212" s="394"/>
      <c r="D212" s="394"/>
      <c r="E212" s="394"/>
      <c r="F212" s="394"/>
      <c r="G212" s="394"/>
      <c r="H212" s="394"/>
      <c r="I212" s="394"/>
      <c r="J212" s="394"/>
      <c r="K212" s="394"/>
      <c r="L212" s="394"/>
      <c r="M212" s="394"/>
      <c r="N212" s="394"/>
      <c r="O212" s="395"/>
    </row>
    <row r="213" spans="1:15" ht="28.5" customHeight="1">
      <c r="K213" s="358"/>
      <c r="L213" s="358"/>
      <c r="M213" s="358"/>
      <c r="N213" s="358"/>
    </row>
    <row r="214" spans="1:15" ht="28.5" customHeight="1">
      <c r="N214" s="396"/>
    </row>
  </sheetData>
  <sheetProtection password="EBCE" sheet="1" objects="1" scenarios="1" selectLockedCells="1"/>
  <mergeCells count="453">
    <mergeCell ref="A211:N211"/>
    <mergeCell ref="B20:B24"/>
    <mergeCell ref="C20:C24"/>
    <mergeCell ref="D20:D24"/>
    <mergeCell ref="G60:G64"/>
    <mergeCell ref="A207:N207"/>
    <mergeCell ref="M45:M49"/>
    <mergeCell ref="N45:N49"/>
    <mergeCell ref="N50:N54"/>
    <mergeCell ref="M30:M34"/>
    <mergeCell ref="N30:N34"/>
    <mergeCell ref="J25:J29"/>
    <mergeCell ref="K40:K44"/>
    <mergeCell ref="K35:K39"/>
    <mergeCell ref="A210:N210"/>
    <mergeCell ref="J35:J39"/>
    <mergeCell ref="L30:L34"/>
    <mergeCell ref="J20:J24"/>
    <mergeCell ref="N55:N59"/>
    <mergeCell ref="A208:N208"/>
    <mergeCell ref="A209:N209"/>
    <mergeCell ref="J200:J204"/>
    <mergeCell ref="A200:A204"/>
    <mergeCell ref="B200:B204"/>
    <mergeCell ref="N40:N44"/>
    <mergeCell ref="O45:O49"/>
    <mergeCell ref="O55:O59"/>
    <mergeCell ref="O65:O69"/>
    <mergeCell ref="A65:A69"/>
    <mergeCell ref="B65:B69"/>
    <mergeCell ref="C65:C69"/>
    <mergeCell ref="D65:D69"/>
    <mergeCell ref="G65:G69"/>
    <mergeCell ref="J65:J69"/>
    <mergeCell ref="K65:K69"/>
    <mergeCell ref="L65:L69"/>
    <mergeCell ref="M65:M69"/>
    <mergeCell ref="N65:N69"/>
    <mergeCell ref="K55:K59"/>
    <mergeCell ref="A55:A59"/>
    <mergeCell ref="B55:B59"/>
    <mergeCell ref="C55:C59"/>
    <mergeCell ref="D55:D59"/>
    <mergeCell ref="G55:G59"/>
    <mergeCell ref="J55:J59"/>
    <mergeCell ref="L55:L59"/>
    <mergeCell ref="M55:M59"/>
    <mergeCell ref="A45:A49"/>
    <mergeCell ref="O30:O34"/>
    <mergeCell ref="A30:A34"/>
    <mergeCell ref="B30:B34"/>
    <mergeCell ref="C30:C34"/>
    <mergeCell ref="D30:D34"/>
    <mergeCell ref="A40:A44"/>
    <mergeCell ref="A35:A39"/>
    <mergeCell ref="B35:B39"/>
    <mergeCell ref="C35:C39"/>
    <mergeCell ref="D35:D39"/>
    <mergeCell ref="B40:B44"/>
    <mergeCell ref="C40:C44"/>
    <mergeCell ref="D40:D44"/>
    <mergeCell ref="G30:G34"/>
    <mergeCell ref="J30:J34"/>
    <mergeCell ref="G40:G44"/>
    <mergeCell ref="G35:G39"/>
    <mergeCell ref="J40:J44"/>
    <mergeCell ref="L40:L44"/>
    <mergeCell ref="O40:O44"/>
    <mergeCell ref="O35:O39"/>
    <mergeCell ref="L35:L39"/>
    <mergeCell ref="M35:M39"/>
    <mergeCell ref="N35:N39"/>
    <mergeCell ref="B45:B49"/>
    <mergeCell ref="C45:C49"/>
    <mergeCell ref="D45:D49"/>
    <mergeCell ref="G45:G49"/>
    <mergeCell ref="J45:J49"/>
    <mergeCell ref="K45:K49"/>
    <mergeCell ref="L45:L49"/>
    <mergeCell ref="O50:O54"/>
    <mergeCell ref="A50:A54"/>
    <mergeCell ref="B50:B54"/>
    <mergeCell ref="C50:C54"/>
    <mergeCell ref="D50:D54"/>
    <mergeCell ref="G50:G54"/>
    <mergeCell ref="J50:J54"/>
    <mergeCell ref="K50:K54"/>
    <mergeCell ref="L50:L54"/>
    <mergeCell ref="M50:M54"/>
    <mergeCell ref="C25:C29"/>
    <mergeCell ref="D25:D29"/>
    <mergeCell ref="G25:G29"/>
    <mergeCell ref="G20:G24"/>
    <mergeCell ref="N25:N29"/>
    <mergeCell ref="O25:O29"/>
    <mergeCell ref="K20:K24"/>
    <mergeCell ref="L20:L24"/>
    <mergeCell ref="M20:M24"/>
    <mergeCell ref="N20:N24"/>
    <mergeCell ref="O20:O24"/>
    <mergeCell ref="K25:K29"/>
    <mergeCell ref="L25:L29"/>
    <mergeCell ref="M25:M29"/>
    <mergeCell ref="A1:O1"/>
    <mergeCell ref="A2:O2"/>
    <mergeCell ref="A3:O3"/>
    <mergeCell ref="A4:O4"/>
    <mergeCell ref="A7:O7"/>
    <mergeCell ref="O8:O9"/>
    <mergeCell ref="N8:N9"/>
    <mergeCell ref="D8:D9"/>
    <mergeCell ref="E8:F8"/>
    <mergeCell ref="H8:H9"/>
    <mergeCell ref="I8:I9"/>
    <mergeCell ref="J8:J9"/>
    <mergeCell ref="M8:M9"/>
    <mergeCell ref="K8:K9"/>
    <mergeCell ref="C15:C19"/>
    <mergeCell ref="L15:L19"/>
    <mergeCell ref="J15:J19"/>
    <mergeCell ref="O15:O19"/>
    <mergeCell ref="K15:K19"/>
    <mergeCell ref="N60:N64"/>
    <mergeCell ref="L8:L9"/>
    <mergeCell ref="N10:N14"/>
    <mergeCell ref="A10:A14"/>
    <mergeCell ref="B10:B14"/>
    <mergeCell ref="C10:C14"/>
    <mergeCell ref="D10:D14"/>
    <mergeCell ref="G10:G14"/>
    <mergeCell ref="A15:A19"/>
    <mergeCell ref="B15:B19"/>
    <mergeCell ref="C8:C9"/>
    <mergeCell ref="A8:A9"/>
    <mergeCell ref="N15:N19"/>
    <mergeCell ref="M15:M19"/>
    <mergeCell ref="A20:A24"/>
    <mergeCell ref="O10:O14"/>
    <mergeCell ref="B8:B9"/>
    <mergeCell ref="A25:A29"/>
    <mergeCell ref="B25:B29"/>
    <mergeCell ref="D70:D74"/>
    <mergeCell ref="G70:G74"/>
    <mergeCell ref="J70:J74"/>
    <mergeCell ref="J10:J14"/>
    <mergeCell ref="K10:K14"/>
    <mergeCell ref="L10:L14"/>
    <mergeCell ref="M10:M14"/>
    <mergeCell ref="K30:K34"/>
    <mergeCell ref="D15:D19"/>
    <mergeCell ref="G15:G19"/>
    <mergeCell ref="M40:M44"/>
    <mergeCell ref="A80:A84"/>
    <mergeCell ref="B80:B84"/>
    <mergeCell ref="C80:C84"/>
    <mergeCell ref="D80:D84"/>
    <mergeCell ref="G80:G84"/>
    <mergeCell ref="O75:O79"/>
    <mergeCell ref="K70:K74"/>
    <mergeCell ref="L70:L74"/>
    <mergeCell ref="M70:M74"/>
    <mergeCell ref="N70:N74"/>
    <mergeCell ref="O70:O74"/>
    <mergeCell ref="A75:A79"/>
    <mergeCell ref="B75:B79"/>
    <mergeCell ref="C75:C79"/>
    <mergeCell ref="D75:D79"/>
    <mergeCell ref="G75:G79"/>
    <mergeCell ref="J75:J79"/>
    <mergeCell ref="K75:K79"/>
    <mergeCell ref="L75:L79"/>
    <mergeCell ref="M75:M79"/>
    <mergeCell ref="N75:N79"/>
    <mergeCell ref="A70:A74"/>
    <mergeCell ref="B70:B74"/>
    <mergeCell ref="C70:C74"/>
    <mergeCell ref="J80:J84"/>
    <mergeCell ref="O85:O89"/>
    <mergeCell ref="K80:K84"/>
    <mergeCell ref="L80:L84"/>
    <mergeCell ref="M80:M84"/>
    <mergeCell ref="N80:N84"/>
    <mergeCell ref="N90:N94"/>
    <mergeCell ref="J90:J94"/>
    <mergeCell ref="B85:B89"/>
    <mergeCell ref="C85:C89"/>
    <mergeCell ref="D85:D89"/>
    <mergeCell ref="G85:G89"/>
    <mergeCell ref="A85:A89"/>
    <mergeCell ref="J105:J109"/>
    <mergeCell ref="K105:K109"/>
    <mergeCell ref="L105:L109"/>
    <mergeCell ref="M105:M109"/>
    <mergeCell ref="N105:N109"/>
    <mergeCell ref="N100:N104"/>
    <mergeCell ref="O100:O104"/>
    <mergeCell ref="O95:O99"/>
    <mergeCell ref="O105:O109"/>
    <mergeCell ref="K100:K104"/>
    <mergeCell ref="L100:L104"/>
    <mergeCell ref="K90:K94"/>
    <mergeCell ref="L90:L94"/>
    <mergeCell ref="M90:M94"/>
    <mergeCell ref="J85:J89"/>
    <mergeCell ref="K85:K89"/>
    <mergeCell ref="L85:L89"/>
    <mergeCell ref="M85:M89"/>
    <mergeCell ref="N85:N89"/>
    <mergeCell ref="A105:A109"/>
    <mergeCell ref="B105:B109"/>
    <mergeCell ref="C105:C109"/>
    <mergeCell ref="D105:D109"/>
    <mergeCell ref="A100:A104"/>
    <mergeCell ref="B100:B104"/>
    <mergeCell ref="C100:C104"/>
    <mergeCell ref="A90:A94"/>
    <mergeCell ref="B90:B94"/>
    <mergeCell ref="C90:C94"/>
    <mergeCell ref="D90:D94"/>
    <mergeCell ref="G90:G94"/>
    <mergeCell ref="D100:D104"/>
    <mergeCell ref="G100:G104"/>
    <mergeCell ref="A95:A99"/>
    <mergeCell ref="B95:B99"/>
    <mergeCell ref="C95:C99"/>
    <mergeCell ref="D95:D99"/>
    <mergeCell ref="G95:G99"/>
    <mergeCell ref="B110:B114"/>
    <mergeCell ref="C110:C114"/>
    <mergeCell ref="D110:D114"/>
    <mergeCell ref="G110:G114"/>
    <mergeCell ref="C115:C119"/>
    <mergeCell ref="D115:D119"/>
    <mergeCell ref="G115:G119"/>
    <mergeCell ref="M100:M104"/>
    <mergeCell ref="K95:K99"/>
    <mergeCell ref="L95:L99"/>
    <mergeCell ref="M95:M99"/>
    <mergeCell ref="J100:J104"/>
    <mergeCell ref="J95:J99"/>
    <mergeCell ref="G105:G109"/>
    <mergeCell ref="A155:A159"/>
    <mergeCell ref="A206:N206"/>
    <mergeCell ref="K200:K204"/>
    <mergeCell ref="L200:L204"/>
    <mergeCell ref="M200:M204"/>
    <mergeCell ref="A160:A164"/>
    <mergeCell ref="A165:A169"/>
    <mergeCell ref="A170:A174"/>
    <mergeCell ref="A175:A179"/>
    <mergeCell ref="A180:A184"/>
    <mergeCell ref="A185:A189"/>
    <mergeCell ref="A195:A199"/>
    <mergeCell ref="C180:C184"/>
    <mergeCell ref="D180:D184"/>
    <mergeCell ref="C190:C194"/>
    <mergeCell ref="D190:D194"/>
    <mergeCell ref="G170:G174"/>
    <mergeCell ref="J170:J174"/>
    <mergeCell ref="K170:K174"/>
    <mergeCell ref="G180:G184"/>
    <mergeCell ref="K155:K159"/>
    <mergeCell ref="G175:G179"/>
    <mergeCell ref="J175:J179"/>
    <mergeCell ref="K175:K179"/>
    <mergeCell ref="A60:A64"/>
    <mergeCell ref="B60:B64"/>
    <mergeCell ref="C60:C64"/>
    <mergeCell ref="D60:D64"/>
    <mergeCell ref="J60:J64"/>
    <mergeCell ref="M60:M64"/>
    <mergeCell ref="C200:C204"/>
    <mergeCell ref="D200:D204"/>
    <mergeCell ref="G200:G204"/>
    <mergeCell ref="K110:K114"/>
    <mergeCell ref="B115:B119"/>
    <mergeCell ref="K60:K64"/>
    <mergeCell ref="K115:K119"/>
    <mergeCell ref="A120:A124"/>
    <mergeCell ref="A125:A129"/>
    <mergeCell ref="A130:A134"/>
    <mergeCell ref="A135:A139"/>
    <mergeCell ref="A140:A144"/>
    <mergeCell ref="A145:A149"/>
    <mergeCell ref="A150:A154"/>
    <mergeCell ref="J115:J119"/>
    <mergeCell ref="J110:J114"/>
    <mergeCell ref="A115:A119"/>
    <mergeCell ref="A110:A114"/>
    <mergeCell ref="O60:O64"/>
    <mergeCell ref="O115:O119"/>
    <mergeCell ref="L110:L114"/>
    <mergeCell ref="M110:M114"/>
    <mergeCell ref="L60:L64"/>
    <mergeCell ref="N95:N99"/>
    <mergeCell ref="O80:O84"/>
    <mergeCell ref="O90:O94"/>
    <mergeCell ref="L170:L174"/>
    <mergeCell ref="M170:M174"/>
    <mergeCell ref="N170:N174"/>
    <mergeCell ref="O170:O174"/>
    <mergeCell ref="O110:O114"/>
    <mergeCell ref="N120:N124"/>
    <mergeCell ref="O120:O124"/>
    <mergeCell ref="O145:O149"/>
    <mergeCell ref="L155:L159"/>
    <mergeCell ref="M155:M159"/>
    <mergeCell ref="N155:N159"/>
    <mergeCell ref="O155:O159"/>
    <mergeCell ref="O125:O129"/>
    <mergeCell ref="O200:O204"/>
    <mergeCell ref="D160:D164"/>
    <mergeCell ref="C170:C174"/>
    <mergeCell ref="D170:D174"/>
    <mergeCell ref="O160:O164"/>
    <mergeCell ref="O130:O134"/>
    <mergeCell ref="O140:O144"/>
    <mergeCell ref="L180:L184"/>
    <mergeCell ref="M180:M184"/>
    <mergeCell ref="N180:N184"/>
    <mergeCell ref="O180:O184"/>
    <mergeCell ref="G190:G194"/>
    <mergeCell ref="J190:J194"/>
    <mergeCell ref="K190:K194"/>
    <mergeCell ref="L190:L194"/>
    <mergeCell ref="M190:M194"/>
    <mergeCell ref="N190:N194"/>
    <mergeCell ref="N140:N144"/>
    <mergeCell ref="N145:N149"/>
    <mergeCell ref="G155:G159"/>
    <mergeCell ref="J155:J159"/>
    <mergeCell ref="O135:O139"/>
    <mergeCell ref="O150:O154"/>
    <mergeCell ref="O165:O169"/>
    <mergeCell ref="C120:C124"/>
    <mergeCell ref="D120:D124"/>
    <mergeCell ref="N110:N114"/>
    <mergeCell ref="N200:N204"/>
    <mergeCell ref="L115:L119"/>
    <mergeCell ref="M115:M119"/>
    <mergeCell ref="N115:N119"/>
    <mergeCell ref="L145:L149"/>
    <mergeCell ref="M145:M149"/>
    <mergeCell ref="N125:N129"/>
    <mergeCell ref="J135:J139"/>
    <mergeCell ref="K135:K139"/>
    <mergeCell ref="L135:L139"/>
    <mergeCell ref="M135:M139"/>
    <mergeCell ref="N135:N139"/>
    <mergeCell ref="N130:N134"/>
    <mergeCell ref="L150:L154"/>
    <mergeCell ref="M150:M154"/>
    <mergeCell ref="N150:N154"/>
    <mergeCell ref="L165:L169"/>
    <mergeCell ref="M165:M169"/>
    <mergeCell ref="N165:N169"/>
    <mergeCell ref="L195:L199"/>
    <mergeCell ref="M195:M199"/>
    <mergeCell ref="B120:B124"/>
    <mergeCell ref="G120:G124"/>
    <mergeCell ref="J120:J124"/>
    <mergeCell ref="K120:K124"/>
    <mergeCell ref="L120:L124"/>
    <mergeCell ref="M120:M124"/>
    <mergeCell ref="L160:L164"/>
    <mergeCell ref="M160:M164"/>
    <mergeCell ref="G130:G134"/>
    <mergeCell ref="J130:J134"/>
    <mergeCell ref="K130:K134"/>
    <mergeCell ref="L130:L134"/>
    <mergeCell ref="M130:M134"/>
    <mergeCell ref="G140:G144"/>
    <mergeCell ref="J140:J144"/>
    <mergeCell ref="K140:K144"/>
    <mergeCell ref="L140:L144"/>
    <mergeCell ref="M140:M144"/>
    <mergeCell ref="G125:G129"/>
    <mergeCell ref="J125:J129"/>
    <mergeCell ref="K125:K129"/>
    <mergeCell ref="L125:L129"/>
    <mergeCell ref="M125:M129"/>
    <mergeCell ref="G135:G139"/>
    <mergeCell ref="O190:O194"/>
    <mergeCell ref="L185:L189"/>
    <mergeCell ref="M185:M189"/>
    <mergeCell ref="N185:N189"/>
    <mergeCell ref="O185:O189"/>
    <mergeCell ref="N160:N164"/>
    <mergeCell ref="L175:L179"/>
    <mergeCell ref="M175:M179"/>
    <mergeCell ref="N175:N179"/>
    <mergeCell ref="O175:O179"/>
    <mergeCell ref="N195:N199"/>
    <mergeCell ref="O195:O199"/>
    <mergeCell ref="B125:B129"/>
    <mergeCell ref="C125:C129"/>
    <mergeCell ref="D125:D129"/>
    <mergeCell ref="B135:B139"/>
    <mergeCell ref="C135:C139"/>
    <mergeCell ref="D135:D139"/>
    <mergeCell ref="B145:B149"/>
    <mergeCell ref="C145:C149"/>
    <mergeCell ref="D145:D149"/>
    <mergeCell ref="B155:B159"/>
    <mergeCell ref="C155:C159"/>
    <mergeCell ref="D155:D159"/>
    <mergeCell ref="B165:B169"/>
    <mergeCell ref="C165:C169"/>
    <mergeCell ref="D165:D169"/>
    <mergeCell ref="B175:B179"/>
    <mergeCell ref="C150:C154"/>
    <mergeCell ref="D150:D154"/>
    <mergeCell ref="C160:C164"/>
    <mergeCell ref="C175:C179"/>
    <mergeCell ref="G165:G169"/>
    <mergeCell ref="J165:J169"/>
    <mergeCell ref="B130:B134"/>
    <mergeCell ref="B140:B144"/>
    <mergeCell ref="B150:B154"/>
    <mergeCell ref="B160:B164"/>
    <mergeCell ref="B170:B174"/>
    <mergeCell ref="C130:C134"/>
    <mergeCell ref="D130:D134"/>
    <mergeCell ref="C140:C144"/>
    <mergeCell ref="D140:D144"/>
    <mergeCell ref="G195:G199"/>
    <mergeCell ref="J195:J199"/>
    <mergeCell ref="K195:K199"/>
    <mergeCell ref="G145:G149"/>
    <mergeCell ref="J145:J149"/>
    <mergeCell ref="K145:K149"/>
    <mergeCell ref="J180:J184"/>
    <mergeCell ref="K180:K184"/>
    <mergeCell ref="G160:G164"/>
    <mergeCell ref="J160:J164"/>
    <mergeCell ref="K160:K164"/>
    <mergeCell ref="G185:G189"/>
    <mergeCell ref="J185:J189"/>
    <mergeCell ref="K185:K189"/>
    <mergeCell ref="K165:K169"/>
    <mergeCell ref="G150:G154"/>
    <mergeCell ref="J150:J154"/>
    <mergeCell ref="K150:K154"/>
    <mergeCell ref="A190:A194"/>
    <mergeCell ref="B190:B194"/>
    <mergeCell ref="D175:D179"/>
    <mergeCell ref="B185:B189"/>
    <mergeCell ref="C185:C189"/>
    <mergeCell ref="D185:D189"/>
    <mergeCell ref="B195:B199"/>
    <mergeCell ref="C195:C199"/>
    <mergeCell ref="D195:D199"/>
    <mergeCell ref="B180:B184"/>
  </mergeCells>
  <printOptions horizontalCentered="1"/>
  <pageMargins left="3.937007874015748E-2" right="3.937007874015748E-2" top="0.19685039370078741" bottom="0.19685039370078741" header="0.31496062992125984" footer="0.31496062992125984"/>
  <pageSetup paperSize="9" scale="40" pageOrder="overThenDown" orientation="landscape" r:id="rId1"/>
  <headerFooter alignWithMargins="0"/>
  <rowBreaks count="2" manualBreakCount="2">
    <brk id="39" max="18" man="1"/>
    <brk id="79"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4</vt:i4>
      </vt:variant>
    </vt:vector>
  </HeadingPairs>
  <TitlesOfParts>
    <vt:vector size="17" baseType="lpstr">
      <vt:lpstr>Prop Lance</vt:lpstr>
      <vt:lpstr>Capa Planilha de Custos</vt:lpstr>
      <vt:lpstr>Valor Global</vt:lpstr>
      <vt:lpstr>Capa Composição Mão de Obra</vt:lpstr>
      <vt:lpstr>Valor Mão de Obra</vt:lpstr>
      <vt:lpstr>Capa Composição Farda e EPI</vt:lpstr>
      <vt:lpstr>Pesquisa Fardamento e EPI</vt:lpstr>
      <vt:lpstr>Capa Composição Equip. &amp; Ferr.</vt:lpstr>
      <vt:lpstr>Equip. e Ferramentas - Preço</vt:lpstr>
      <vt:lpstr>Previsão refil equipamentos</vt:lpstr>
      <vt:lpstr>Capa Custos Serviços Eventuais</vt:lpstr>
      <vt:lpstr>Estimativa Custos Eventuais</vt:lpstr>
      <vt:lpstr>Estimativa Qtde Eventos</vt:lpstr>
      <vt:lpstr>'Equip. e Ferramentas - Preço'!Area_de_impressao</vt:lpstr>
      <vt:lpstr>'Prop Lance'!Area_de_impressao</vt:lpstr>
      <vt:lpstr>'Valor Mão de Obra'!Area_de_impressao</vt:lpstr>
      <vt:lpstr>'Equip. e Ferramentas - Preço'!Titulos_de_impressao</vt:lpstr>
    </vt:vector>
  </TitlesOfParts>
  <Company>Hewlett-Packard Company</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MAIRABSR</dc:creator>
  <cp:lastModifiedBy>fabio</cp:lastModifiedBy>
  <cp:revision/>
  <cp:lastPrinted>2025-08-13T17:43:10Z</cp:lastPrinted>
  <dcterms:created xsi:type="dcterms:W3CDTF">2011-08-19T12:15:53Z</dcterms:created>
  <dcterms:modified xsi:type="dcterms:W3CDTF">2025-10-07T14:14:14Z</dcterms:modified>
</cp:coreProperties>
</file>