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3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3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drawings/drawing42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drawings/drawing40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0" yWindow="3675" windowWidth="20730" windowHeight="4485" tabRatio="851" firstSheet="38" activeTab="42"/>
  </bookViews>
  <sheets>
    <sheet name="Capa Planilha de Custos" sheetId="75" r:id="rId1"/>
    <sheet name="Valor Global (2)" sheetId="154" r:id="rId2"/>
    <sheet name="Consolidado Mão de Obra" sheetId="136" r:id="rId3"/>
    <sheet name="Capa Composição Mão de Obra" sheetId="83" r:id="rId4"/>
    <sheet name="Supervisor Adm JPA" sheetId="114" r:id="rId5"/>
    <sheet name="ASG Superv Aux JPA" sheetId="148" r:id="rId6"/>
    <sheet name="ALIS Insalub JPA" sheetId="111" r:id="rId7"/>
    <sheet name="ALIS Insalub CG" sheetId="124" r:id="rId8"/>
    <sheet name="ASG JPA" sheetId="141" r:id="rId9"/>
    <sheet name="ASG CG" sheetId="117" r:id="rId10"/>
    <sheet name="ASG MON" sheetId="150" r:id="rId11"/>
    <sheet name="ASG SSA" sheetId="121" r:id="rId12"/>
    <sheet name="ASG Ad Insalub JPA" sheetId="140" r:id="rId13"/>
    <sheet name="ASG Insalub GUA" sheetId="123" r:id="rId14"/>
    <sheet name="ASG Insal MON" sheetId="128" r:id="rId15"/>
    <sheet name="ASG Insalub PTS" sheetId="129" r:id="rId16"/>
    <sheet name="ASG Insalub SSA" sheetId="115" r:id="rId17"/>
    <sheet name="Jardineiro JPA" sheetId="116" r:id="rId18"/>
    <sheet name="Jardineiro CG" sheetId="142" r:id="rId19"/>
    <sheet name="Copeiragem JPA" sheetId="118" r:id="rId20"/>
    <sheet name="Copeiragem CG" sheetId="125" r:id="rId21"/>
    <sheet name="Recepcionista JPA" sheetId="119" r:id="rId22"/>
    <sheet name="Recepcionista CG" sheetId="126" r:id="rId23"/>
    <sheet name="Recepcionista Grtf CG" sheetId="149" r:id="rId24"/>
    <sheet name="Recepcionista Grtf GUA" sheetId="138" r:id="rId25"/>
    <sheet name="Recepcionista Grtf MON" sheetId="133" r:id="rId26"/>
    <sheet name="Recepcionista Grtf PTS" sheetId="134" r:id="rId27"/>
    <sheet name="Recepcionista Grtf SSA" sheetId="113" r:id="rId28"/>
    <sheet name="Capa Composição Farda e EPI" sheetId="84" r:id="rId29"/>
    <sheet name="Fardamentos EPI´s Supervisores" sheetId="82" r:id="rId30"/>
    <sheet name="Fardamentos e EPI´s - ALIS" sheetId="151" r:id="rId31"/>
    <sheet name="Fardamentos e EPI´s - ASG" sheetId="104" r:id="rId32"/>
    <sheet name="Fardamentos e EPI´s - Jardinei" sheetId="144" r:id="rId33"/>
    <sheet name="Fardamentos e EPI´s - Copeira" sheetId="105" r:id="rId34"/>
    <sheet name="Fardamentos e EPI´s - Recepcio" sheetId="106" r:id="rId35"/>
    <sheet name="Fardamentos e EPI´s - PESQUISA" sheetId="137" r:id="rId36"/>
    <sheet name="Capa Composição Equip. &amp; Ferr." sheetId="108" r:id="rId37"/>
    <sheet name="Equip. e Ferramentas - Preço" sheetId="109" r:id="rId38"/>
    <sheet name="Equip Diversos Jardinagem" sheetId="145" r:id="rId39"/>
    <sheet name="Capa Custos Deslocamento" sheetId="152" r:id="rId40"/>
    <sheet name="Custos com Deslocamento" sheetId="147" r:id="rId41"/>
    <sheet name="Capa Distribuição Terceirizados" sheetId="153" r:id="rId42"/>
    <sheet name="Distribuição Terceirizados" sheetId="146" r:id="rId43"/>
    <sheet name="Valor Global" sheetId="122" r:id="rId44"/>
  </sheets>
  <externalReferences>
    <externalReference r:id="rId45"/>
  </externalReferences>
  <definedNames>
    <definedName name="_xlnm._FilterDatabase" localSheetId="37" hidden="1">'Equip. e Ferramentas - Preço'!$E$9:$F$59</definedName>
    <definedName name="_xlnm.Print_Area" localSheetId="7">'ALIS Insalub CG'!$A$2:$AJ$160</definedName>
    <definedName name="_xlnm.Print_Area" localSheetId="6">'ALIS Insalub JPA'!$A$2:$AJ$160</definedName>
    <definedName name="_xlnm.Print_Area" localSheetId="12">'ASG Ad Insalub JPA'!$A$2:$AJ$160</definedName>
    <definedName name="_xlnm.Print_Area" localSheetId="9">'ASG CG'!$A$2:$AJ$160</definedName>
    <definedName name="_xlnm.Print_Area" localSheetId="14">'ASG Insal MON'!$A$2:$AJ$160</definedName>
    <definedName name="_xlnm.Print_Area" localSheetId="13">'ASG Insalub GUA'!$A$2:$AJ$160</definedName>
    <definedName name="_xlnm.Print_Area" localSheetId="15">'ASG Insalub PTS'!$A$2:$AJ$160</definedName>
    <definedName name="_xlnm.Print_Area" localSheetId="16">'ASG Insalub SSA'!$A$2:$AJ$160</definedName>
    <definedName name="_xlnm.Print_Area" localSheetId="8">'ASG JPA'!$A$2:$AJ$160</definedName>
    <definedName name="_xlnm.Print_Area" localSheetId="10">'ASG MON'!$A$2:$AJ$160</definedName>
    <definedName name="_xlnm.Print_Area" localSheetId="11">'ASG SSA'!$A$2:$AJ$160</definedName>
    <definedName name="_xlnm.Print_Area" localSheetId="5">'ASG Superv Aux JPA'!$A$2:$AJ$160</definedName>
    <definedName name="_xlnm.Print_Area" localSheetId="20">'Copeiragem CG'!$A$2:$AJ$160</definedName>
    <definedName name="_xlnm.Print_Area" localSheetId="19">'Copeiragem JPA'!$A$2:$AJ$160</definedName>
    <definedName name="_xlnm.Print_Area" localSheetId="37">'Equip. e Ferramentas - Preço'!$A$1:$O$165</definedName>
    <definedName name="_xlnm.Print_Area" localSheetId="35">'Fardamentos e EPI´s - PESQUISA'!$A$1:$O$41</definedName>
    <definedName name="_xlnm.Print_Area" localSheetId="18">'Jardineiro CG'!$A$2:$AJ$160</definedName>
    <definedName name="_xlnm.Print_Area" localSheetId="17">'Jardineiro JPA'!$A$2:$AJ$160</definedName>
    <definedName name="_xlnm.Print_Area" localSheetId="22">'Recepcionista CG'!$A$2:$AJ$160</definedName>
    <definedName name="_xlnm.Print_Area" localSheetId="23">'Recepcionista Grtf CG'!$A$2:$AJ$160</definedName>
    <definedName name="_xlnm.Print_Area" localSheetId="24">'Recepcionista Grtf GUA'!$A$2:$AJ$160</definedName>
    <definedName name="_xlnm.Print_Area" localSheetId="25">'Recepcionista Grtf MON'!$A$2:$AJ$160</definedName>
    <definedName name="_xlnm.Print_Area" localSheetId="26">'Recepcionista Grtf PTS'!$A$2:$AJ$160</definedName>
    <definedName name="_xlnm.Print_Area" localSheetId="27">'Recepcionista Grtf SSA'!$A$2:$AJ$160</definedName>
    <definedName name="_xlnm.Print_Area" localSheetId="21">'Recepcionista JPA'!$A$2:$AJ$160</definedName>
    <definedName name="_xlnm.Print_Area" localSheetId="4">'Supervisor Adm JPA'!$A$2:$AJ$160</definedName>
    <definedName name="_xlnm.Print_Titles" localSheetId="37">'Equip. e Ferramentas - Preço'!$7:$9</definedName>
  </definedNames>
  <calcPr calcId="124519" fullCalcOnLoad="1"/>
</workbook>
</file>

<file path=xl/calcChain.xml><?xml version="1.0" encoding="utf-8"?>
<calcChain xmlns="http://schemas.openxmlformats.org/spreadsheetml/2006/main">
  <c r="E64" i="154"/>
  <c r="E65" s="1"/>
  <c r="E62"/>
  <c r="E61"/>
  <c r="E57"/>
  <c r="E58"/>
  <c r="E55"/>
  <c r="E56"/>
  <c r="E51"/>
  <c r="E52"/>
  <c r="E49"/>
  <c r="E48"/>
  <c r="E40"/>
  <c r="E41"/>
  <c r="E42"/>
  <c r="E39"/>
  <c r="E37"/>
  <c r="E38"/>
  <c r="E36"/>
  <c r="E32"/>
  <c r="E33"/>
  <c r="E30"/>
  <c r="E31" s="1"/>
  <c r="E25"/>
  <c r="E26"/>
  <c r="E24"/>
  <c r="E19"/>
  <c r="E20"/>
  <c r="E21"/>
  <c r="E22"/>
  <c r="E18"/>
  <c r="G13"/>
  <c r="G11"/>
  <c r="G9"/>
  <c r="F29" i="147"/>
  <c r="E17" i="151"/>
  <c r="G17"/>
  <c r="G16"/>
  <c r="E16"/>
  <c r="H15"/>
  <c r="G15"/>
  <c r="G14"/>
  <c r="H14"/>
  <c r="E14"/>
  <c r="G13"/>
  <c r="H13"/>
  <c r="G12"/>
  <c r="H12"/>
  <c r="G11"/>
  <c r="H11"/>
  <c r="G10"/>
  <c r="H10"/>
  <c r="G9"/>
  <c r="H9"/>
  <c r="G8"/>
  <c r="H8"/>
  <c r="G12" i="105"/>
  <c r="E12"/>
  <c r="H12" s="1"/>
  <c r="H68" i="137"/>
  <c r="I68"/>
  <c r="H69"/>
  <c r="I69"/>
  <c r="H70"/>
  <c r="I70"/>
  <c r="H71"/>
  <c r="I71"/>
  <c r="I67"/>
  <c r="H67"/>
  <c r="G67"/>
  <c r="D8" i="82"/>
  <c r="G9"/>
  <c r="G8"/>
  <c r="F31" i="146"/>
  <c r="F51"/>
  <c r="F50"/>
  <c r="F49"/>
  <c r="F43"/>
  <c r="F42"/>
  <c r="F37"/>
  <c r="F36"/>
  <c r="F35"/>
  <c r="F38"/>
  <c r="F30"/>
  <c r="F28"/>
  <c r="F29"/>
  <c r="F27"/>
  <c r="F26"/>
  <c r="F20"/>
  <c r="F19"/>
  <c r="F13"/>
  <c r="F12"/>
  <c r="F11"/>
  <c r="F10"/>
  <c r="F8"/>
  <c r="F7"/>
  <c r="F6"/>
  <c r="F5"/>
  <c r="I37"/>
  <c r="AD73" i="117"/>
  <c r="I13" i="146"/>
  <c r="AB153" i="150"/>
  <c r="A153"/>
  <c r="Y130"/>
  <c r="AD116"/>
  <c r="AD111"/>
  <c r="Y96"/>
  <c r="Y88"/>
  <c r="Y90"/>
  <c r="Y87"/>
  <c r="Y86"/>
  <c r="Y85"/>
  <c r="AD73"/>
  <c r="AD69"/>
  <c r="Y64"/>
  <c r="Y51"/>
  <c r="Y50"/>
  <c r="Y52"/>
  <c r="AD32"/>
  <c r="AD38" s="1"/>
  <c r="AB153" i="149"/>
  <c r="A153"/>
  <c r="Y130"/>
  <c r="AD111"/>
  <c r="AD116"/>
  <c r="Y96"/>
  <c r="Y102"/>
  <c r="Y89"/>
  <c r="Y88"/>
  <c r="Y90"/>
  <c r="Y87"/>
  <c r="Y85"/>
  <c r="AD73"/>
  <c r="AD69"/>
  <c r="Y64"/>
  <c r="Y51"/>
  <c r="Y50"/>
  <c r="AD32"/>
  <c r="AD38"/>
  <c r="I27" i="146"/>
  <c r="AB153" i="148"/>
  <c r="A153"/>
  <c r="Y130"/>
  <c r="AD116"/>
  <c r="AD111"/>
  <c r="Y96"/>
  <c r="Y88"/>
  <c r="Y90"/>
  <c r="Y87"/>
  <c r="Y86"/>
  <c r="Y85"/>
  <c r="AD73"/>
  <c r="AD69"/>
  <c r="AD68"/>
  <c r="AD74"/>
  <c r="AD80"/>
  <c r="Y64"/>
  <c r="Y51"/>
  <c r="Y50"/>
  <c r="Y52"/>
  <c r="AD38"/>
  <c r="D25" i="147"/>
  <c r="D24"/>
  <c r="D23"/>
  <c r="D26"/>
  <c r="D27"/>
  <c r="D22"/>
  <c r="I51" i="146"/>
  <c r="I50"/>
  <c r="I43"/>
  <c r="I36"/>
  <c r="I49"/>
  <c r="I42"/>
  <c r="I35"/>
  <c r="I31"/>
  <c r="I30"/>
  <c r="I28"/>
  <c r="I29"/>
  <c r="I26"/>
  <c r="I20"/>
  <c r="I19"/>
  <c r="T24"/>
  <c r="S24"/>
  <c r="R24"/>
  <c r="T22"/>
  <c r="S22"/>
  <c r="R22"/>
  <c r="Q20"/>
  <c r="T20"/>
  <c r="I12"/>
  <c r="I11"/>
  <c r="I10"/>
  <c r="I8"/>
  <c r="I7"/>
  <c r="I6"/>
  <c r="O6"/>
  <c r="I5"/>
  <c r="G21" i="144"/>
  <c r="G20"/>
  <c r="G19"/>
  <c r="I61" i="137"/>
  <c r="G62"/>
  <c r="H64"/>
  <c r="G57"/>
  <c r="H57"/>
  <c r="G52"/>
  <c r="H53"/>
  <c r="I153" i="109"/>
  <c r="I154"/>
  <c r="C6" i="145"/>
  <c r="G6"/>
  <c r="C7"/>
  <c r="I7"/>
  <c r="C8"/>
  <c r="E8"/>
  <c r="C9"/>
  <c r="E9"/>
  <c r="G9"/>
  <c r="C10"/>
  <c r="E10"/>
  <c r="C11"/>
  <c r="G11"/>
  <c r="I11"/>
  <c r="C12"/>
  <c r="I12"/>
  <c r="C13"/>
  <c r="I13"/>
  <c r="C14"/>
  <c r="G14"/>
  <c r="C15"/>
  <c r="E15"/>
  <c r="C16"/>
  <c r="I16"/>
  <c r="C17"/>
  <c r="G17"/>
  <c r="C18"/>
  <c r="I18"/>
  <c r="C5"/>
  <c r="G5"/>
  <c r="H146" i="109"/>
  <c r="I146"/>
  <c r="H147"/>
  <c r="I147"/>
  <c r="H148"/>
  <c r="I148"/>
  <c r="H149"/>
  <c r="I149"/>
  <c r="I145"/>
  <c r="H145"/>
  <c r="H136"/>
  <c r="I136"/>
  <c r="H137"/>
  <c r="I137"/>
  <c r="H138"/>
  <c r="I138"/>
  <c r="H139"/>
  <c r="I139"/>
  <c r="I135"/>
  <c r="H135"/>
  <c r="H131"/>
  <c r="I131"/>
  <c r="H132"/>
  <c r="I132"/>
  <c r="H133"/>
  <c r="I133"/>
  <c r="H134"/>
  <c r="I134"/>
  <c r="I130"/>
  <c r="H130"/>
  <c r="H129"/>
  <c r="I129"/>
  <c r="H126"/>
  <c r="I126"/>
  <c r="H127"/>
  <c r="I127"/>
  <c r="H128"/>
  <c r="I128"/>
  <c r="I125"/>
  <c r="H125"/>
  <c r="H116"/>
  <c r="I116"/>
  <c r="H117"/>
  <c r="I117"/>
  <c r="H118"/>
  <c r="I118"/>
  <c r="H119"/>
  <c r="I119"/>
  <c r="I115"/>
  <c r="H115"/>
  <c r="H106"/>
  <c r="I106"/>
  <c r="H107"/>
  <c r="I107"/>
  <c r="H108"/>
  <c r="I108"/>
  <c r="H109"/>
  <c r="I109"/>
  <c r="I105"/>
  <c r="H105"/>
  <c r="H101"/>
  <c r="I101"/>
  <c r="H102"/>
  <c r="I102"/>
  <c r="H103"/>
  <c r="I103"/>
  <c r="H104"/>
  <c r="I104"/>
  <c r="I100"/>
  <c r="H100"/>
  <c r="K100"/>
  <c r="H96"/>
  <c r="I96"/>
  <c r="H97"/>
  <c r="I97"/>
  <c r="H98"/>
  <c r="I98"/>
  <c r="H99"/>
  <c r="I99"/>
  <c r="I95"/>
  <c r="H95"/>
  <c r="G47" i="137"/>
  <c r="I48"/>
  <c r="G17" i="144"/>
  <c r="G18"/>
  <c r="G16"/>
  <c r="H16"/>
  <c r="G15"/>
  <c r="G14"/>
  <c r="H14"/>
  <c r="G13"/>
  <c r="H13"/>
  <c r="G12"/>
  <c r="H12"/>
  <c r="G11"/>
  <c r="H11"/>
  <c r="G10"/>
  <c r="H10"/>
  <c r="G9"/>
  <c r="H9"/>
  <c r="G8"/>
  <c r="H8"/>
  <c r="G42" i="137"/>
  <c r="I44"/>
  <c r="L100" i="109"/>
  <c r="J125"/>
  <c r="K125"/>
  <c r="L125"/>
  <c r="M125"/>
  <c r="N125"/>
  <c r="O125"/>
  <c r="J130"/>
  <c r="K130"/>
  <c r="L130"/>
  <c r="M130"/>
  <c r="N130"/>
  <c r="O130"/>
  <c r="J135"/>
  <c r="K135"/>
  <c r="L135"/>
  <c r="M135"/>
  <c r="N135"/>
  <c r="O135"/>
  <c r="J145"/>
  <c r="K145"/>
  <c r="L145"/>
  <c r="M145"/>
  <c r="N145"/>
  <c r="O145"/>
  <c r="J155"/>
  <c r="M155"/>
  <c r="N155"/>
  <c r="O155"/>
  <c r="K155"/>
  <c r="L155"/>
  <c r="G155"/>
  <c r="G145"/>
  <c r="G140"/>
  <c r="G135"/>
  <c r="G130"/>
  <c r="G125"/>
  <c r="G120"/>
  <c r="H120"/>
  <c r="G115"/>
  <c r="G110"/>
  <c r="H110"/>
  <c r="G105"/>
  <c r="G100"/>
  <c r="G95"/>
  <c r="AD73" i="111"/>
  <c r="AD73" i="140"/>
  <c r="AD73" i="141"/>
  <c r="AD73" i="124"/>
  <c r="AD73" i="123"/>
  <c r="AD73" i="128"/>
  <c r="AD73" i="129"/>
  <c r="AD73" i="115"/>
  <c r="AD73" i="121"/>
  <c r="AD73" i="116"/>
  <c r="AD73" i="142"/>
  <c r="AD73" i="118"/>
  <c r="AD73" i="125"/>
  <c r="AD73" i="119"/>
  <c r="AD73" i="138"/>
  <c r="AD73" i="126"/>
  <c r="AD73" i="133"/>
  <c r="AD73" i="134"/>
  <c r="AD73" i="113"/>
  <c r="AD73" i="114"/>
  <c r="AD74"/>
  <c r="AD80"/>
  <c r="AD81"/>
  <c r="Y88" i="113"/>
  <c r="Y90"/>
  <c r="Y87"/>
  <c r="Y85"/>
  <c r="Y86"/>
  <c r="Y90" i="134"/>
  <c r="Y88"/>
  <c r="Y87"/>
  <c r="Y86"/>
  <c r="Y85"/>
  <c r="Y130"/>
  <c r="Y130" i="113"/>
  <c r="Y130" i="133"/>
  <c r="Y130" i="126"/>
  <c r="Y130" i="138"/>
  <c r="Y130" i="119"/>
  <c r="Y130" i="125"/>
  <c r="Y130" i="118"/>
  <c r="Y130" i="142"/>
  <c r="Y130" i="116"/>
  <c r="Y130" i="121"/>
  <c r="Y130" i="115"/>
  <c r="Y130" i="129"/>
  <c r="Y130" i="128"/>
  <c r="Y130" i="123"/>
  <c r="Y130" i="117"/>
  <c r="Y130" i="124"/>
  <c r="Y130" i="141"/>
  <c r="Y130" i="140"/>
  <c r="Y130" i="111"/>
  <c r="Y130" i="114"/>
  <c r="B57" i="136"/>
  <c r="B50"/>
  <c r="B44"/>
  <c r="B36"/>
  <c r="B26"/>
  <c r="B59"/>
  <c r="B20"/>
  <c r="AD32" i="125"/>
  <c r="AD32" i="142"/>
  <c r="AD38"/>
  <c r="AD68" s="1"/>
  <c r="AD74" s="1"/>
  <c r="AB153"/>
  <c r="A153"/>
  <c r="AD111"/>
  <c r="AD116"/>
  <c r="Y96"/>
  <c r="Y102"/>
  <c r="Y89"/>
  <c r="Y88"/>
  <c r="Y90"/>
  <c r="Y87"/>
  <c r="Y85"/>
  <c r="AD69"/>
  <c r="Y64"/>
  <c r="Y51"/>
  <c r="Y50"/>
  <c r="Y52"/>
  <c r="AD40" i="140"/>
  <c r="AB153" i="141"/>
  <c r="A153"/>
  <c r="AD111"/>
  <c r="AD116"/>
  <c r="Y96"/>
  <c r="Y88"/>
  <c r="Y90"/>
  <c r="Y87"/>
  <c r="Y86"/>
  <c r="Y85"/>
  <c r="AD69"/>
  <c r="Y64"/>
  <c r="Y51"/>
  <c r="Y50"/>
  <c r="Y52"/>
  <c r="AD38"/>
  <c r="AD44"/>
  <c r="AB153" i="140"/>
  <c r="A153"/>
  <c r="AD116"/>
  <c r="AD111"/>
  <c r="Y102"/>
  <c r="Y103"/>
  <c r="Y106"/>
  <c r="Y96"/>
  <c r="Y88"/>
  <c r="Y90"/>
  <c r="Y87"/>
  <c r="Y86"/>
  <c r="Y85"/>
  <c r="AD69"/>
  <c r="Y64"/>
  <c r="Y105"/>
  <c r="Y51"/>
  <c r="Y50"/>
  <c r="AD38"/>
  <c r="AD68"/>
  <c r="AD74"/>
  <c r="AD80"/>
  <c r="AB153" i="138"/>
  <c r="A153"/>
  <c r="AD111"/>
  <c r="AD116"/>
  <c r="Y102"/>
  <c r="Y103"/>
  <c r="Y96"/>
  <c r="Y89"/>
  <c r="Y88"/>
  <c r="Y90"/>
  <c r="AD90"/>
  <c r="Y87"/>
  <c r="Y85"/>
  <c r="Y86"/>
  <c r="AD86"/>
  <c r="AD69"/>
  <c r="Y64"/>
  <c r="Y51"/>
  <c r="Y50"/>
  <c r="Y52"/>
  <c r="AD45"/>
  <c r="AD97"/>
  <c r="AD38"/>
  <c r="AD68"/>
  <c r="AD74"/>
  <c r="AD80"/>
  <c r="AD32" i="113"/>
  <c r="AD32" i="134"/>
  <c r="AD32" i="133"/>
  <c r="AD38" s="1"/>
  <c r="AD45" s="1"/>
  <c r="AD32" i="126"/>
  <c r="AD32" i="115"/>
  <c r="AD38" s="1"/>
  <c r="AD32" i="121"/>
  <c r="AD38" s="1"/>
  <c r="AD68" s="1"/>
  <c r="AD74" s="1"/>
  <c r="AD32" i="129"/>
  <c r="AD38"/>
  <c r="AD32" i="128"/>
  <c r="AD38" s="1"/>
  <c r="AD32" i="124"/>
  <c r="AD38" s="1"/>
  <c r="AD32" i="123"/>
  <c r="AD38"/>
  <c r="AD32" i="111"/>
  <c r="AD69" i="117"/>
  <c r="AD69" i="111"/>
  <c r="AD69" i="123"/>
  <c r="AD69" i="124"/>
  <c r="AD69" i="128"/>
  <c r="AD69" i="129"/>
  <c r="AD69" i="121"/>
  <c r="AD69" i="115"/>
  <c r="AD69" i="118"/>
  <c r="AD69" i="125"/>
  <c r="AD69" i="119"/>
  <c r="AD69" i="126"/>
  <c r="AD69" i="133"/>
  <c r="AD69" i="134"/>
  <c r="AD69" i="113"/>
  <c r="AD69" i="116"/>
  <c r="AD69" i="114"/>
  <c r="AD68"/>
  <c r="Y86" i="142"/>
  <c r="Y105" i="141"/>
  <c r="Y102"/>
  <c r="Y103"/>
  <c r="Y106"/>
  <c r="Y89"/>
  <c r="Y89" i="140"/>
  <c r="Y52"/>
  <c r="AD51" i="138"/>
  <c r="Y105"/>
  <c r="AD105"/>
  <c r="AD100"/>
  <c r="AD99"/>
  <c r="AD89"/>
  <c r="A11" i="114"/>
  <c r="G11" i="122"/>
  <c r="G9"/>
  <c r="G12" i="106"/>
  <c r="G13" i="122"/>
  <c r="G11" i="106"/>
  <c r="H11"/>
  <c r="G10"/>
  <c r="D10"/>
  <c r="G9"/>
  <c r="D9"/>
  <c r="G8"/>
  <c r="D8"/>
  <c r="G10" i="105"/>
  <c r="G9"/>
  <c r="D10"/>
  <c r="D9"/>
  <c r="D8"/>
  <c r="G11"/>
  <c r="G12" i="82"/>
  <c r="H12"/>
  <c r="G11"/>
  <c r="D11"/>
  <c r="G10"/>
  <c r="D10"/>
  <c r="I41" i="137"/>
  <c r="I40"/>
  <c r="I36"/>
  <c r="I35"/>
  <c r="G37"/>
  <c r="I37"/>
  <c r="G32"/>
  <c r="I34"/>
  <c r="G27"/>
  <c r="H31"/>
  <c r="G22"/>
  <c r="I23"/>
  <c r="G19"/>
  <c r="I19"/>
  <c r="G10"/>
  <c r="H12"/>
  <c r="B8" i="136"/>
  <c r="H11" i="105"/>
  <c r="H29" i="137"/>
  <c r="H27"/>
  <c r="H30"/>
  <c r="H24"/>
  <c r="Y96" i="117"/>
  <c r="Y102"/>
  <c r="Y96" i="111"/>
  <c r="Y96" i="123"/>
  <c r="Y96" i="124"/>
  <c r="Y96" i="128"/>
  <c r="Y96" i="129"/>
  <c r="Y96" i="121"/>
  <c r="Y96" i="115"/>
  <c r="Y96" i="118"/>
  <c r="Y96" i="125"/>
  <c r="Y102"/>
  <c r="Y96" i="119"/>
  <c r="Y102"/>
  <c r="Y96" i="126"/>
  <c r="Y96" i="133"/>
  <c r="Y96" i="134"/>
  <c r="Y96" i="113"/>
  <c r="Y96" i="116"/>
  <c r="Y96" i="114"/>
  <c r="Y90" i="111"/>
  <c r="Y90" i="129"/>
  <c r="Y88" i="117"/>
  <c r="Y90"/>
  <c r="AD90"/>
  <c r="Y88" i="111"/>
  <c r="Y88" i="123"/>
  <c r="Y90"/>
  <c r="Y88" i="124"/>
  <c r="Y90"/>
  <c r="Y88" i="128"/>
  <c r="Y88" i="129"/>
  <c r="Y88" i="121"/>
  <c r="Y90"/>
  <c r="Y88" i="115"/>
  <c r="Y88" i="118"/>
  <c r="Y88" i="125"/>
  <c r="Y90"/>
  <c r="Y88" i="119"/>
  <c r="Y90"/>
  <c r="Y88" i="126"/>
  <c r="Y88" i="133"/>
  <c r="Y88" i="116"/>
  <c r="Y90"/>
  <c r="AD90"/>
  <c r="Y88" i="114"/>
  <c r="Y87" i="117"/>
  <c r="Y87" i="111"/>
  <c r="Y87" i="123"/>
  <c r="Y87" i="124"/>
  <c r="Y87" i="128"/>
  <c r="Y87" i="129"/>
  <c r="Y87" i="121"/>
  <c r="Y87" i="115"/>
  <c r="Y87" i="118"/>
  <c r="Y87" i="125"/>
  <c r="Y87" i="119"/>
  <c r="Y87" i="126"/>
  <c r="Y87" i="133"/>
  <c r="Y87" i="116"/>
  <c r="Y87" i="114"/>
  <c r="Y85" i="117"/>
  <c r="Y86"/>
  <c r="Y85" i="111"/>
  <c r="Y86"/>
  <c r="Y85" i="123"/>
  <c r="Y86"/>
  <c r="Y85" i="124"/>
  <c r="Y86"/>
  <c r="Y85" i="128"/>
  <c r="Y86"/>
  <c r="Y85" i="129"/>
  <c r="Y86"/>
  <c r="Y85" i="121"/>
  <c r="Y85" i="115"/>
  <c r="Y86"/>
  <c r="Y85" i="118"/>
  <c r="Y86"/>
  <c r="Y85" i="125"/>
  <c r="Y86"/>
  <c r="Y85" i="119"/>
  <c r="Y86"/>
  <c r="Y85" i="126"/>
  <c r="Y86"/>
  <c r="Y85" i="133"/>
  <c r="Y86"/>
  <c r="Y85" i="116"/>
  <c r="Y85" i="114"/>
  <c r="Y86"/>
  <c r="Y102" i="123"/>
  <c r="Y103"/>
  <c r="Y102" i="128"/>
  <c r="Y102" i="121"/>
  <c r="Y103"/>
  <c r="Y102" i="133"/>
  <c r="Y103"/>
  <c r="Y106"/>
  <c r="Y102" i="134"/>
  <c r="Y102" i="113"/>
  <c r="Y103"/>
  <c r="Y64" i="117"/>
  <c r="Y105"/>
  <c r="Y64" i="111"/>
  <c r="Y89"/>
  <c r="Y64" i="123"/>
  <c r="Y64" i="124"/>
  <c r="Y89"/>
  <c r="Y64" i="128"/>
  <c r="Y105"/>
  <c r="Y64" i="129"/>
  <c r="Y64" i="121"/>
  <c r="Y89"/>
  <c r="Y64" i="115"/>
  <c r="Y64" i="118"/>
  <c r="Y89"/>
  <c r="Y64" i="125"/>
  <c r="Y64" i="119"/>
  <c r="Y89"/>
  <c r="Y64" i="126"/>
  <c r="Y64" i="133"/>
  <c r="Y64" i="134"/>
  <c r="Y89"/>
  <c r="Y64" i="113"/>
  <c r="Y89"/>
  <c r="Y64" i="116"/>
  <c r="Y64" i="114"/>
  <c r="Y89"/>
  <c r="Y51" i="116"/>
  <c r="Y51" i="113"/>
  <c r="Y51" i="134"/>
  <c r="Y51" i="133"/>
  <c r="Y51" i="126"/>
  <c r="Y51" i="119"/>
  <c r="Y51" i="125"/>
  <c r="Y51" i="118"/>
  <c r="Y51" i="115"/>
  <c r="Y51" i="121"/>
  <c r="Y51" i="129"/>
  <c r="Y51" i="128"/>
  <c r="Y51" i="124"/>
  <c r="Y51" i="123"/>
  <c r="Y52"/>
  <c r="Y51" i="111"/>
  <c r="Y51" i="117"/>
  <c r="Y51" i="114"/>
  <c r="G15" i="104"/>
  <c r="I83" i="109"/>
  <c r="I84"/>
  <c r="AB153" i="134"/>
  <c r="A153"/>
  <c r="AD111"/>
  <c r="AD116"/>
  <c r="Y50"/>
  <c r="AD38"/>
  <c r="AD45" s="1"/>
  <c r="AB153" i="133"/>
  <c r="A153"/>
  <c r="AD111"/>
  <c r="AD116"/>
  <c r="Y50"/>
  <c r="AB153" i="129"/>
  <c r="A153"/>
  <c r="AD111"/>
  <c r="AD116"/>
  <c r="Y50"/>
  <c r="Y52"/>
  <c r="AB153" i="128"/>
  <c r="A153"/>
  <c r="AD111"/>
  <c r="AD116"/>
  <c r="Y50"/>
  <c r="Y50" i="116"/>
  <c r="Y50" i="113"/>
  <c r="Y50" i="126"/>
  <c r="Y52"/>
  <c r="Y50" i="119"/>
  <c r="Y50" i="125"/>
  <c r="Y52"/>
  <c r="Y50" i="118"/>
  <c r="Y52"/>
  <c r="Y50" i="115"/>
  <c r="Y50" i="121"/>
  <c r="Y50" i="124"/>
  <c r="Y50" i="123"/>
  <c r="Y50" i="111"/>
  <c r="Y50" i="117"/>
  <c r="Y50" i="114"/>
  <c r="Y52"/>
  <c r="AB153" i="126"/>
  <c r="A153"/>
  <c r="AD111"/>
  <c r="AD116"/>
  <c r="AD38"/>
  <c r="AD68" s="1"/>
  <c r="AD74" s="1"/>
  <c r="AD80" s="1"/>
  <c r="AB153" i="125"/>
  <c r="A153"/>
  <c r="AD111"/>
  <c r="AD116"/>
  <c r="AD38"/>
  <c r="AD68" s="1"/>
  <c r="AD74" s="1"/>
  <c r="AD80" s="1"/>
  <c r="AB153" i="124"/>
  <c r="A153"/>
  <c r="AD111"/>
  <c r="AD116"/>
  <c r="AD68"/>
  <c r="AD74"/>
  <c r="AD80" s="1"/>
  <c r="AB153" i="123"/>
  <c r="A153"/>
  <c r="AD111"/>
  <c r="AD116"/>
  <c r="AB153" i="121"/>
  <c r="A153"/>
  <c r="AD111"/>
  <c r="AD116"/>
  <c r="AD44"/>
  <c r="AD45" s="1"/>
  <c r="AD38" i="119"/>
  <c r="AD68"/>
  <c r="AD74"/>
  <c r="AD80"/>
  <c r="AD111"/>
  <c r="AD116"/>
  <c r="AB153"/>
  <c r="A153"/>
  <c r="AD38" i="118"/>
  <c r="AD68"/>
  <c r="AD74"/>
  <c r="AD80"/>
  <c r="AD111"/>
  <c r="AD116"/>
  <c r="AB153"/>
  <c r="A153"/>
  <c r="AD38" i="117"/>
  <c r="AD68"/>
  <c r="AD74"/>
  <c r="AD80"/>
  <c r="AD81"/>
  <c r="AD111"/>
  <c r="AD116"/>
  <c r="AB153"/>
  <c r="A153"/>
  <c r="I94" i="109"/>
  <c r="G75"/>
  <c r="I75"/>
  <c r="I78"/>
  <c r="I79"/>
  <c r="G70"/>
  <c r="I72"/>
  <c r="I73"/>
  <c r="I74"/>
  <c r="G60"/>
  <c r="I62"/>
  <c r="I63"/>
  <c r="I64"/>
  <c r="G50"/>
  <c r="I54"/>
  <c r="G45"/>
  <c r="H47"/>
  <c r="I48"/>
  <c r="I49"/>
  <c r="G30"/>
  <c r="G90"/>
  <c r="H94"/>
  <c r="AB153" i="116"/>
  <c r="A153"/>
  <c r="AD111"/>
  <c r="AD116"/>
  <c r="AD38"/>
  <c r="AD68"/>
  <c r="AB153" i="115"/>
  <c r="A153"/>
  <c r="AD111"/>
  <c r="AD116"/>
  <c r="AB153" i="114"/>
  <c r="A153"/>
  <c r="AD38"/>
  <c r="AD44"/>
  <c r="AD45"/>
  <c r="AB153" i="113"/>
  <c r="A153"/>
  <c r="AD111"/>
  <c r="AD116"/>
  <c r="AD38"/>
  <c r="AB153" i="111"/>
  <c r="A153"/>
  <c r="AD111"/>
  <c r="AD116"/>
  <c r="AD38"/>
  <c r="G85" i="109"/>
  <c r="H87"/>
  <c r="G80"/>
  <c r="H82"/>
  <c r="G65"/>
  <c r="I68"/>
  <c r="I59"/>
  <c r="I58"/>
  <c r="G55"/>
  <c r="H57"/>
  <c r="I44"/>
  <c r="G40"/>
  <c r="H43"/>
  <c r="I39"/>
  <c r="G35"/>
  <c r="H36"/>
  <c r="I29"/>
  <c r="G25"/>
  <c r="I25"/>
  <c r="G20"/>
  <c r="I20"/>
  <c r="G10"/>
  <c r="I11"/>
  <c r="G17" i="104"/>
  <c r="G16"/>
  <c r="H16"/>
  <c r="G8" i="105"/>
  <c r="G14" i="104"/>
  <c r="H14"/>
  <c r="G13"/>
  <c r="H13"/>
  <c r="G12"/>
  <c r="H12"/>
  <c r="G11"/>
  <c r="H11"/>
  <c r="G10"/>
  <c r="H10"/>
  <c r="G9"/>
  <c r="H9"/>
  <c r="G8"/>
  <c r="H8"/>
  <c r="I28" i="109"/>
  <c r="G15"/>
  <c r="H17"/>
  <c r="I70"/>
  <c r="I46"/>
  <c r="I81"/>
  <c r="I45"/>
  <c r="I47"/>
  <c r="H48"/>
  <c r="H74"/>
  <c r="H73"/>
  <c r="I71"/>
  <c r="H49"/>
  <c r="H46"/>
  <c r="H45"/>
  <c r="J45"/>
  <c r="I51"/>
  <c r="I50"/>
  <c r="H79"/>
  <c r="H72"/>
  <c r="J70"/>
  <c r="H70"/>
  <c r="H71"/>
  <c r="Y105" i="123"/>
  <c r="Y103" i="117"/>
  <c r="Y102" i="115"/>
  <c r="Y103"/>
  <c r="Y102" i="124"/>
  <c r="Y103"/>
  <c r="Y52"/>
  <c r="Y52" i="115"/>
  <c r="Y52" i="133"/>
  <c r="Y103" i="128"/>
  <c r="AD111" i="114"/>
  <c r="AD116"/>
  <c r="K70" i="109"/>
  <c r="Y52" i="121"/>
  <c r="I80" i="109"/>
  <c r="I33"/>
  <c r="H53"/>
  <c r="H44"/>
  <c r="Y102" i="129"/>
  <c r="Y103"/>
  <c r="I61" i="109"/>
  <c r="I82"/>
  <c r="Y102" i="118"/>
  <c r="Y103"/>
  <c r="H76" i="109"/>
  <c r="H77"/>
  <c r="Y52" i="113"/>
  <c r="I93" i="109"/>
  <c r="I90"/>
  <c r="H63"/>
  <c r="H61"/>
  <c r="L60"/>
  <c r="M60"/>
  <c r="N60"/>
  <c r="O60"/>
  <c r="H60"/>
  <c r="I36"/>
  <c r="Y102" i="116"/>
  <c r="H30" i="109"/>
  <c r="H32"/>
  <c r="I76"/>
  <c r="H62"/>
  <c r="Y52" i="119"/>
  <c r="Y103" i="134"/>
  <c r="Y102" i="111"/>
  <c r="Y103"/>
  <c r="Y106"/>
  <c r="Y52" i="128"/>
  <c r="H27" i="109"/>
  <c r="I77"/>
  <c r="H75"/>
  <c r="Y52" i="116"/>
  <c r="Y102" i="114"/>
  <c r="Y102" i="126"/>
  <c r="Y103"/>
  <c r="H93" i="109"/>
  <c r="I92"/>
  <c r="H90"/>
  <c r="I60"/>
  <c r="H64"/>
  <c r="H33"/>
  <c r="I31"/>
  <c r="H31"/>
  <c r="K60"/>
  <c r="Y105" i="133"/>
  <c r="Y105" i="118"/>
  <c r="Y103" i="114"/>
  <c r="Y103" i="116"/>
  <c r="Y105" i="124"/>
  <c r="Y106"/>
  <c r="Y105" i="121"/>
  <c r="Y105" i="111"/>
  <c r="J60" i="109"/>
  <c r="Y89" i="129"/>
  <c r="Y105"/>
  <c r="Y52" i="134"/>
  <c r="Y105"/>
  <c r="Y106"/>
  <c r="Y52" i="111"/>
  <c r="Y86" i="116"/>
  <c r="Y86" i="121"/>
  <c r="Y52" i="117"/>
  <c r="I52" i="109"/>
  <c r="I53"/>
  <c r="Y89" i="116"/>
  <c r="Y91"/>
  <c r="Y105"/>
  <c r="H29" i="109"/>
  <c r="I27"/>
  <c r="I26"/>
  <c r="H84"/>
  <c r="H80"/>
  <c r="K80"/>
  <c r="H83"/>
  <c r="H81"/>
  <c r="Y89" i="133"/>
  <c r="Y90"/>
  <c r="Y89" i="128"/>
  <c r="Y90"/>
  <c r="Y89" i="123"/>
  <c r="I30" i="109"/>
  <c r="H34"/>
  <c r="K30"/>
  <c r="I34"/>
  <c r="Y89" i="126"/>
  <c r="Y90"/>
  <c r="H25" i="137"/>
  <c r="H22"/>
  <c r="I25"/>
  <c r="I22"/>
  <c r="H37" i="109"/>
  <c r="H38"/>
  <c r="I35"/>
  <c r="H35"/>
  <c r="J35"/>
  <c r="H39"/>
  <c r="I33" i="137"/>
  <c r="H36"/>
  <c r="H34"/>
  <c r="H32"/>
  <c r="H23"/>
  <c r="H38"/>
  <c r="H40"/>
  <c r="H41"/>
  <c r="I39"/>
  <c r="I32" i="109"/>
  <c r="I30" i="137"/>
  <c r="L70" i="109"/>
  <c r="M70"/>
  <c r="N70"/>
  <c r="O70"/>
  <c r="H42"/>
  <c r="H51"/>
  <c r="Y90" i="118"/>
  <c r="H16" i="137"/>
  <c r="H41" i="109"/>
  <c r="Y90" i="114"/>
  <c r="Y90" i="115"/>
  <c r="H13" i="137"/>
  <c r="H19"/>
  <c r="AD40" i="124"/>
  <c r="H10" i="137"/>
  <c r="I15"/>
  <c r="H28"/>
  <c r="H14"/>
  <c r="H15"/>
  <c r="H78" i="109"/>
  <c r="J75"/>
  <c r="M75"/>
  <c r="N75"/>
  <c r="O75"/>
  <c r="H52"/>
  <c r="I17" i="137"/>
  <c r="I27"/>
  <c r="H17"/>
  <c r="Y106" i="116"/>
  <c r="Y106" i="129"/>
  <c r="L30" i="109"/>
  <c r="M30"/>
  <c r="N30"/>
  <c r="O30"/>
  <c r="J30"/>
  <c r="L75"/>
  <c r="K75"/>
  <c r="Y105" i="114"/>
  <c r="Y106"/>
  <c r="AD89"/>
  <c r="AD85"/>
  <c r="AD50"/>
  <c r="AD52"/>
  <c r="AD57"/>
  <c r="AD51"/>
  <c r="AD98"/>
  <c r="AD103"/>
  <c r="AD99"/>
  <c r="AD97"/>
  <c r="AD87"/>
  <c r="AD140"/>
  <c r="AD96"/>
  <c r="AD100"/>
  <c r="AD105"/>
  <c r="AD101"/>
  <c r="Y91"/>
  <c r="AD86"/>
  <c r="AD90"/>
  <c r="AD59"/>
  <c r="AD78"/>
  <c r="AD58"/>
  <c r="AD63"/>
  <c r="AD61"/>
  <c r="AD106"/>
  <c r="AD62"/>
  <c r="AD56"/>
  <c r="AD60"/>
  <c r="AD64"/>
  <c r="AD79"/>
  <c r="AD143"/>
  <c r="AD115"/>
  <c r="AD117"/>
  <c r="AD68" i="115"/>
  <c r="AD74" s="1"/>
  <c r="AD80" s="1"/>
  <c r="AD40"/>
  <c r="AD45"/>
  <c r="AD80" i="121"/>
  <c r="AD68" i="128"/>
  <c r="AD74" s="1"/>
  <c r="AD80" s="1"/>
  <c r="AD40"/>
  <c r="AD45"/>
  <c r="AD45" i="118"/>
  <c r="AD105"/>
  <c r="AD45" i="116"/>
  <c r="AD105"/>
  <c r="Y91" i="140"/>
  <c r="AD45" i="126"/>
  <c r="AD45" i="119"/>
  <c r="AD90"/>
  <c r="AD45" i="117"/>
  <c r="Y89" i="115"/>
  <c r="Y105" i="113"/>
  <c r="Y89" i="117"/>
  <c r="AD98" i="118"/>
  <c r="AD99"/>
  <c r="AD97"/>
  <c r="AD90"/>
  <c r="AD140"/>
  <c r="AD87"/>
  <c r="AD86"/>
  <c r="AD101"/>
  <c r="AD50"/>
  <c r="AD96"/>
  <c r="AD85"/>
  <c r="AD100"/>
  <c r="AD51"/>
  <c r="AD101" i="116"/>
  <c r="AD50"/>
  <c r="AD97"/>
  <c r="AD96"/>
  <c r="AD106"/>
  <c r="AD115"/>
  <c r="AD140"/>
  <c r="AD100"/>
  <c r="AD51"/>
  <c r="AD98"/>
  <c r="AD103"/>
  <c r="AD85"/>
  <c r="AD87"/>
  <c r="AD86"/>
  <c r="AD99"/>
  <c r="AD89"/>
  <c r="AD90" i="126"/>
  <c r="AD50"/>
  <c r="AD101"/>
  <c r="AD97"/>
  <c r="AD51"/>
  <c r="AD52"/>
  <c r="AD78" s="1"/>
  <c r="AD89"/>
  <c r="AD100"/>
  <c r="AD97" i="117"/>
  <c r="AD99"/>
  <c r="AD85"/>
  <c r="AD50"/>
  <c r="AD52"/>
  <c r="AD78"/>
  <c r="AD87"/>
  <c r="AD51"/>
  <c r="AD101"/>
  <c r="AD96"/>
  <c r="AD100"/>
  <c r="AD98"/>
  <c r="AD103"/>
  <c r="AD61"/>
  <c r="AD58"/>
  <c r="AD140"/>
  <c r="AD89"/>
  <c r="AD52" i="118"/>
  <c r="AD52" i="116"/>
  <c r="AD78"/>
  <c r="AD63" i="117"/>
  <c r="AD59"/>
  <c r="AD57"/>
  <c r="AD64"/>
  <c r="AD79"/>
  <c r="AD56"/>
  <c r="AD62"/>
  <c r="AD60"/>
  <c r="AD78" i="118"/>
  <c r="AD57"/>
  <c r="AD64"/>
  <c r="AD79"/>
  <c r="AD60"/>
  <c r="AD58"/>
  <c r="AD56"/>
  <c r="AD61"/>
  <c r="AD59"/>
  <c r="AD63"/>
  <c r="AD62"/>
  <c r="AD58" i="116"/>
  <c r="AD59"/>
  <c r="AD56"/>
  <c r="AD57"/>
  <c r="AD105" i="117"/>
  <c r="AD106"/>
  <c r="AD115"/>
  <c r="AD117"/>
  <c r="AD143"/>
  <c r="Y106"/>
  <c r="Y106" i="123"/>
  <c r="Y91" i="119"/>
  <c r="Y91" i="115"/>
  <c r="Y103" i="125"/>
  <c r="Y105"/>
  <c r="Y91" i="141"/>
  <c r="Y105" i="142"/>
  <c r="Y103"/>
  <c r="Y91" i="121"/>
  <c r="AD103" i="126"/>
  <c r="Y106"/>
  <c r="AD103" i="118"/>
  <c r="Y106"/>
  <c r="Y91"/>
  <c r="AD89"/>
  <c r="Y106" i="128"/>
  <c r="Y91" i="111"/>
  <c r="Y106" i="113"/>
  <c r="Y91" i="126"/>
  <c r="Y91" i="128"/>
  <c r="Y91" i="123"/>
  <c r="Y103" i="119"/>
  <c r="Y105"/>
  <c r="AD81" i="118"/>
  <c r="AD88"/>
  <c r="AD91"/>
  <c r="Y106" i="121"/>
  <c r="Y91" i="133"/>
  <c r="Y91" i="129"/>
  <c r="AD86" i="117"/>
  <c r="Y91"/>
  <c r="Y91" i="142"/>
  <c r="AD106" i="118"/>
  <c r="AD115"/>
  <c r="AD117"/>
  <c r="AD143"/>
  <c r="AD117" i="116"/>
  <c r="AD143"/>
  <c r="Y91" i="134"/>
  <c r="AD103" i="138"/>
  <c r="Y106"/>
  <c r="Y91" i="113"/>
  <c r="Y91" i="124"/>
  <c r="AD63" i="116"/>
  <c r="AD62"/>
  <c r="AD85" i="138"/>
  <c r="Y91"/>
  <c r="AD68" i="141"/>
  <c r="AD74"/>
  <c r="AD80"/>
  <c r="AD140" i="138"/>
  <c r="AD74" i="116"/>
  <c r="AD80"/>
  <c r="AD60"/>
  <c r="AD61"/>
  <c r="Y105" i="126"/>
  <c r="Y89" i="125"/>
  <c r="AD87" i="138"/>
  <c r="AD96"/>
  <c r="AD45" i="141"/>
  <c r="AD87"/>
  <c r="AD45" i="140"/>
  <c r="AD101"/>
  <c r="Y105" i="115"/>
  <c r="AD141" i="114"/>
  <c r="AD88"/>
  <c r="AD91"/>
  <c r="AD142"/>
  <c r="AD142" i="118"/>
  <c r="Y106" i="119"/>
  <c r="Y106" i="142"/>
  <c r="Y106" i="115"/>
  <c r="AD51" i="141"/>
  <c r="AD97"/>
  <c r="AD99"/>
  <c r="AD103"/>
  <c r="AD101"/>
  <c r="AD85"/>
  <c r="AD140"/>
  <c r="AD86"/>
  <c r="AD96"/>
  <c r="AD98"/>
  <c r="AD141" i="118"/>
  <c r="AD96" i="140"/>
  <c r="AD64" i="116"/>
  <c r="AD79"/>
  <c r="AD81"/>
  <c r="Y91" i="125"/>
  <c r="AD105" i="141"/>
  <c r="AD89"/>
  <c r="AD90"/>
  <c r="Y106" i="125"/>
  <c r="AD141" i="116"/>
  <c r="AD88"/>
  <c r="AD91"/>
  <c r="AD142"/>
  <c r="L45" i="109"/>
  <c r="M45"/>
  <c r="N45"/>
  <c r="O45"/>
  <c r="K45"/>
  <c r="L80"/>
  <c r="M80"/>
  <c r="N80"/>
  <c r="O80"/>
  <c r="J80"/>
  <c r="L35"/>
  <c r="M35"/>
  <c r="N35"/>
  <c r="O35"/>
  <c r="K35"/>
  <c r="I15"/>
  <c r="I38"/>
  <c r="H19"/>
  <c r="H92"/>
  <c r="H91"/>
  <c r="L90"/>
  <c r="I91"/>
  <c r="I37"/>
  <c r="K90"/>
  <c r="J90"/>
  <c r="M90"/>
  <c r="N90"/>
  <c r="O90"/>
  <c r="AD97" i="119"/>
  <c r="AD140"/>
  <c r="AD87"/>
  <c r="AD86"/>
  <c r="AD96"/>
  <c r="AD51"/>
  <c r="AD100"/>
  <c r="AD103"/>
  <c r="AD105"/>
  <c r="AD50"/>
  <c r="AD52"/>
  <c r="AD78"/>
  <c r="AD101"/>
  <c r="AD99"/>
  <c r="AD85"/>
  <c r="AD98"/>
  <c r="AD89"/>
  <c r="L105" i="109"/>
  <c r="M105"/>
  <c r="N105"/>
  <c r="O105"/>
  <c r="K105"/>
  <c r="J105"/>
  <c r="M100"/>
  <c r="N100"/>
  <c r="O100"/>
  <c r="J100"/>
  <c r="L95"/>
  <c r="M95"/>
  <c r="N95"/>
  <c r="O95"/>
  <c r="K95"/>
  <c r="J95"/>
  <c r="I50" i="137"/>
  <c r="I51"/>
  <c r="H49"/>
  <c r="I49"/>
  <c r="H51"/>
  <c r="I47"/>
  <c r="H47"/>
  <c r="H48"/>
  <c r="AD59" i="126"/>
  <c r="AD61"/>
  <c r="AD62"/>
  <c r="AD57"/>
  <c r="AD68" i="134"/>
  <c r="AD74" s="1"/>
  <c r="AD80" s="1"/>
  <c r="AD61" i="119"/>
  <c r="AD106"/>
  <c r="AD115"/>
  <c r="AD117"/>
  <c r="AD143"/>
  <c r="AD63"/>
  <c r="AD60"/>
  <c r="AD59"/>
  <c r="AD62"/>
  <c r="AD58"/>
  <c r="AD57"/>
  <c r="AD56"/>
  <c r="AD64"/>
  <c r="AD79"/>
  <c r="AD81"/>
  <c r="AD141"/>
  <c r="AD88"/>
  <c r="AD91"/>
  <c r="AD142"/>
  <c r="AD87" i="140"/>
  <c r="AD97"/>
  <c r="AD106"/>
  <c r="AD115"/>
  <c r="AD117"/>
  <c r="AD143"/>
  <c r="AD140"/>
  <c r="AD90"/>
  <c r="AD103"/>
  <c r="AD98"/>
  <c r="AD100"/>
  <c r="AD105"/>
  <c r="AD50"/>
  <c r="AD51"/>
  <c r="AD89"/>
  <c r="AD99"/>
  <c r="AD86"/>
  <c r="AD85"/>
  <c r="L115" i="109"/>
  <c r="M115"/>
  <c r="N115"/>
  <c r="O115"/>
  <c r="K115"/>
  <c r="J115"/>
  <c r="I114"/>
  <c r="I113"/>
  <c r="H113"/>
  <c r="H111"/>
  <c r="I111"/>
  <c r="H114"/>
  <c r="H112"/>
  <c r="I112"/>
  <c r="I110"/>
  <c r="AD52" i="140"/>
  <c r="L110" i="109"/>
  <c r="M110"/>
  <c r="N110"/>
  <c r="O110"/>
  <c r="K110"/>
  <c r="J110"/>
  <c r="AD63" i="140"/>
  <c r="AD59"/>
  <c r="AD78"/>
  <c r="AD62"/>
  <c r="AD61"/>
  <c r="AD57"/>
  <c r="AD56"/>
  <c r="AD58"/>
  <c r="AD60"/>
  <c r="AD64"/>
  <c r="AD79"/>
  <c r="AD81"/>
  <c r="AD141"/>
  <c r="AD88"/>
  <c r="AD91"/>
  <c r="AD142"/>
  <c r="AD98" i="138"/>
  <c r="AD50"/>
  <c r="AD52"/>
  <c r="AD101"/>
  <c r="AD106"/>
  <c r="AD115"/>
  <c r="AD117"/>
  <c r="AD143"/>
  <c r="AD78"/>
  <c r="AD59"/>
  <c r="AD61"/>
  <c r="AD60"/>
  <c r="AD62"/>
  <c r="AD57"/>
  <c r="AD63"/>
  <c r="AD56"/>
  <c r="AD64"/>
  <c r="AD79"/>
  <c r="AD58"/>
  <c r="AD81"/>
  <c r="AD141"/>
  <c r="AD88"/>
  <c r="AD91"/>
  <c r="AD142"/>
  <c r="I24" i="109"/>
  <c r="I23"/>
  <c r="I21"/>
  <c r="H24"/>
  <c r="I22"/>
  <c r="H22"/>
  <c r="H21"/>
  <c r="H23"/>
  <c r="H20"/>
  <c r="H26"/>
  <c r="H25"/>
  <c r="H28"/>
  <c r="J25"/>
  <c r="H141"/>
  <c r="H143"/>
  <c r="I140"/>
  <c r="I144"/>
  <c r="H142"/>
  <c r="H144"/>
  <c r="I141"/>
  <c r="I143"/>
  <c r="H140"/>
  <c r="I142"/>
  <c r="I69"/>
  <c r="H69"/>
  <c r="H68"/>
  <c r="I65"/>
  <c r="I66"/>
  <c r="H65"/>
  <c r="H67"/>
  <c r="I67"/>
  <c r="H66"/>
  <c r="H54"/>
  <c r="I41"/>
  <c r="I40"/>
  <c r="H40"/>
  <c r="I43"/>
  <c r="H50"/>
  <c r="I42"/>
  <c r="I124"/>
  <c r="I123"/>
  <c r="H122"/>
  <c r="H121"/>
  <c r="I122"/>
  <c r="I121"/>
  <c r="H124"/>
  <c r="I120"/>
  <c r="H123"/>
  <c r="K20"/>
  <c r="J20"/>
  <c r="L20"/>
  <c r="K25"/>
  <c r="L25"/>
  <c r="M25"/>
  <c r="N25"/>
  <c r="O25"/>
  <c r="L140"/>
  <c r="M140"/>
  <c r="N140"/>
  <c r="O140"/>
  <c r="K140"/>
  <c r="J140"/>
  <c r="L65"/>
  <c r="M65"/>
  <c r="N65"/>
  <c r="O65"/>
  <c r="K65"/>
  <c r="J65"/>
  <c r="K50"/>
  <c r="J50"/>
  <c r="L50"/>
  <c r="L40"/>
  <c r="M40"/>
  <c r="N40"/>
  <c r="O40"/>
  <c r="K40"/>
  <c r="J40"/>
  <c r="K120"/>
  <c r="L120"/>
  <c r="M120"/>
  <c r="N120"/>
  <c r="O120"/>
  <c r="J120"/>
  <c r="M20"/>
  <c r="N20"/>
  <c r="O20"/>
  <c r="M50"/>
  <c r="N50"/>
  <c r="O50"/>
  <c r="I89"/>
  <c r="I88"/>
  <c r="I87"/>
  <c r="I86"/>
  <c r="I85"/>
  <c r="H88"/>
  <c r="H89"/>
  <c r="H85"/>
  <c r="H86"/>
  <c r="J85"/>
  <c r="K85"/>
  <c r="L85"/>
  <c r="M85"/>
  <c r="N85"/>
  <c r="O85"/>
  <c r="I14"/>
  <c r="I13"/>
  <c r="H13"/>
  <c r="H12"/>
  <c r="H11"/>
  <c r="I12"/>
  <c r="H14"/>
  <c r="I10"/>
  <c r="H10"/>
  <c r="I18"/>
  <c r="I19"/>
  <c r="I17"/>
  <c r="H15"/>
  <c r="H16"/>
  <c r="I16"/>
  <c r="H18"/>
  <c r="E14" i="145"/>
  <c r="I14"/>
  <c r="I6"/>
  <c r="G18"/>
  <c r="E18"/>
  <c r="E11"/>
  <c r="E7"/>
  <c r="G16"/>
  <c r="E16"/>
  <c r="E5"/>
  <c r="J10" i="109"/>
  <c r="K10"/>
  <c r="L10"/>
  <c r="J15"/>
  <c r="K15"/>
  <c r="L15"/>
  <c r="M10"/>
  <c r="N10"/>
  <c r="O10"/>
  <c r="M15"/>
  <c r="N15"/>
  <c r="O15"/>
  <c r="H63" i="137"/>
  <c r="I66"/>
  <c r="I65"/>
  <c r="I64"/>
  <c r="I63"/>
  <c r="I62"/>
  <c r="H65"/>
  <c r="H62"/>
  <c r="H66"/>
  <c r="I60"/>
  <c r="I59"/>
  <c r="H61"/>
  <c r="I58"/>
  <c r="H59"/>
  <c r="I57"/>
  <c r="H60"/>
  <c r="H58"/>
  <c r="E17" i="145"/>
  <c r="G8"/>
  <c r="E12"/>
  <c r="G12"/>
  <c r="G10"/>
  <c r="H58" i="109"/>
  <c r="I57"/>
  <c r="H56"/>
  <c r="H59"/>
  <c r="I56"/>
  <c r="H55"/>
  <c r="I55"/>
  <c r="K55"/>
  <c r="L55"/>
  <c r="M55"/>
  <c r="N55"/>
  <c r="O55"/>
  <c r="J55"/>
  <c r="E19" i="145"/>
  <c r="F150" i="109"/>
  <c r="E13" i="145"/>
  <c r="I5"/>
  <c r="G15"/>
  <c r="I8"/>
  <c r="I10"/>
  <c r="I15"/>
  <c r="G13"/>
  <c r="G7"/>
  <c r="G19"/>
  <c r="F151" i="109"/>
  <c r="I17" i="145"/>
  <c r="E6"/>
  <c r="I9"/>
  <c r="AD88" i="117"/>
  <c r="AD91"/>
  <c r="AD142"/>
  <c r="AD141"/>
  <c r="AD105" i="115"/>
  <c r="AD87"/>
  <c r="AD86"/>
  <c r="AD100"/>
  <c r="AD89"/>
  <c r="AD101"/>
  <c r="AD85"/>
  <c r="AD50"/>
  <c r="AD106" i="141"/>
  <c r="AD115"/>
  <c r="AD117"/>
  <c r="AD143"/>
  <c r="AD50"/>
  <c r="AD52"/>
  <c r="AD100"/>
  <c r="AD68" i="150"/>
  <c r="AD74" s="1"/>
  <c r="AD80" s="1"/>
  <c r="Y102"/>
  <c r="Y103"/>
  <c r="Y89"/>
  <c r="Y103" i="149"/>
  <c r="Y106"/>
  <c r="Y105"/>
  <c r="AD45"/>
  <c r="AD68"/>
  <c r="AD74"/>
  <c r="AD80" s="1"/>
  <c r="Y52"/>
  <c r="Y86"/>
  <c r="AD86"/>
  <c r="AD45" i="148"/>
  <c r="AD90"/>
  <c r="Y105"/>
  <c r="Y91"/>
  <c r="Y102"/>
  <c r="Y103"/>
  <c r="Y106"/>
  <c r="Y89"/>
  <c r="AD68" i="123"/>
  <c r="AD74" s="1"/>
  <c r="AD80" s="1"/>
  <c r="AD40"/>
  <c r="AD45" s="1"/>
  <c r="AD68" i="129"/>
  <c r="AD74" s="1"/>
  <c r="AD80" s="1"/>
  <c r="AD45"/>
  <c r="AD40"/>
  <c r="AD68" i="133"/>
  <c r="AD74" s="1"/>
  <c r="AD80" s="1"/>
  <c r="AD105" i="128"/>
  <c r="AD96"/>
  <c r="AD101"/>
  <c r="AD97"/>
  <c r="AD51"/>
  <c r="AD99"/>
  <c r="AD90"/>
  <c r="AD87"/>
  <c r="AD87" i="134"/>
  <c r="AD101"/>
  <c r="AD97"/>
  <c r="AD99"/>
  <c r="AD103"/>
  <c r="AD51"/>
  <c r="AD105"/>
  <c r="AD50"/>
  <c r="AD52" s="1"/>
  <c r="AD78" s="1"/>
  <c r="AD89"/>
  <c r="AD85"/>
  <c r="AD80" i="142"/>
  <c r="AD45"/>
  <c r="I19" i="145"/>
  <c r="F152" i="109"/>
  <c r="AD50" i="149"/>
  <c r="AD78" i="141"/>
  <c r="AD61"/>
  <c r="AD59"/>
  <c r="AD60"/>
  <c r="AD58"/>
  <c r="AD63"/>
  <c r="AD57"/>
  <c r="AD56"/>
  <c r="AD64"/>
  <c r="AD79"/>
  <c r="AD62"/>
  <c r="Y106" i="150"/>
  <c r="Y105"/>
  <c r="Y91"/>
  <c r="AD90" i="149"/>
  <c r="AD96"/>
  <c r="Y91"/>
  <c r="AD99"/>
  <c r="AD103"/>
  <c r="AD97"/>
  <c r="AD51"/>
  <c r="AD99" i="148"/>
  <c r="AD101"/>
  <c r="AD51"/>
  <c r="AD89"/>
  <c r="AD96"/>
  <c r="AD97"/>
  <c r="AD86"/>
  <c r="AD85"/>
  <c r="AD87"/>
  <c r="AD98"/>
  <c r="AD140"/>
  <c r="AD50"/>
  <c r="AD105"/>
  <c r="AD100"/>
  <c r="AD103"/>
  <c r="AD103" i="129"/>
  <c r="AD140"/>
  <c r="AD85"/>
  <c r="AD51"/>
  <c r="AD50"/>
  <c r="AD86"/>
  <c r="AD90"/>
  <c r="AD97"/>
  <c r="AD140" i="133"/>
  <c r="AD105"/>
  <c r="AD50"/>
  <c r="AD101"/>
  <c r="AD85"/>
  <c r="AD99"/>
  <c r="AD98"/>
  <c r="AD97"/>
  <c r="AD96" i="142"/>
  <c r="AD98"/>
  <c r="AD100"/>
  <c r="AD87"/>
  <c r="AD140"/>
  <c r="AD90"/>
  <c r="AD85"/>
  <c r="AD105"/>
  <c r="AD60" i="134"/>
  <c r="AD81" i="141"/>
  <c r="AD106" i="148"/>
  <c r="AD115"/>
  <c r="AD117"/>
  <c r="AD143"/>
  <c r="AD52"/>
  <c r="AD62"/>
  <c r="AD63"/>
  <c r="AD52" i="129"/>
  <c r="AD78" s="1"/>
  <c r="AD88" i="141"/>
  <c r="AD91"/>
  <c r="AD142"/>
  <c r="AD141"/>
  <c r="AD56" i="148"/>
  <c r="AD64"/>
  <c r="AD79"/>
  <c r="AD81"/>
  <c r="AD141"/>
  <c r="AD60"/>
  <c r="AD78"/>
  <c r="AD57"/>
  <c r="AD59"/>
  <c r="AD58"/>
  <c r="AD61"/>
  <c r="AD63" i="129"/>
  <c r="AD62"/>
  <c r="AD57"/>
  <c r="AD58"/>
  <c r="AD60"/>
  <c r="AD59"/>
  <c r="AD88" i="148"/>
  <c r="AD91"/>
  <c r="AD142"/>
  <c r="J64" i="146"/>
  <c r="K64" s="1"/>
  <c r="H16" i="151"/>
  <c r="H17"/>
  <c r="L67" i="137"/>
  <c r="K67"/>
  <c r="J67"/>
  <c r="I28"/>
  <c r="H20"/>
  <c r="K27"/>
  <c r="I54"/>
  <c r="I42"/>
  <c r="I29"/>
  <c r="H46"/>
  <c r="K62"/>
  <c r="I21"/>
  <c r="H33"/>
  <c r="I32"/>
  <c r="H50"/>
  <c r="J47"/>
  <c r="I43"/>
  <c r="I20"/>
  <c r="H35"/>
  <c r="H21"/>
  <c r="L19"/>
  <c r="I56"/>
  <c r="L62"/>
  <c r="K32"/>
  <c r="K57"/>
  <c r="J57"/>
  <c r="L57"/>
  <c r="J62"/>
  <c r="J27"/>
  <c r="I14"/>
  <c r="H18"/>
  <c r="H37"/>
  <c r="H39"/>
  <c r="H26"/>
  <c r="K22"/>
  <c r="I24"/>
  <c r="I10"/>
  <c r="I16"/>
  <c r="I31"/>
  <c r="I38"/>
  <c r="H44"/>
  <c r="I45"/>
  <c r="H52"/>
  <c r="I55"/>
  <c r="I53"/>
  <c r="I11"/>
  <c r="L27"/>
  <c r="I26"/>
  <c r="I13"/>
  <c r="I18"/>
  <c r="H45"/>
  <c r="I46"/>
  <c r="H56"/>
  <c r="H54"/>
  <c r="I12"/>
  <c r="H11"/>
  <c r="J10"/>
  <c r="H42"/>
  <c r="H43"/>
  <c r="I52"/>
  <c r="H55"/>
  <c r="H19" i="151"/>
  <c r="AD121" i="111" s="1"/>
  <c r="M67" i="137"/>
  <c r="N67"/>
  <c r="O67"/>
  <c r="M62"/>
  <c r="N62"/>
  <c r="O62"/>
  <c r="E21" i="144"/>
  <c r="H21"/>
  <c r="L32" i="137"/>
  <c r="L22"/>
  <c r="J19"/>
  <c r="M19"/>
  <c r="K19"/>
  <c r="L47"/>
  <c r="M47"/>
  <c r="M57"/>
  <c r="N57"/>
  <c r="O57"/>
  <c r="E20" i="144"/>
  <c r="H20"/>
  <c r="K47" i="137"/>
  <c r="J22"/>
  <c r="J32"/>
  <c r="M32"/>
  <c r="N32"/>
  <c r="O32"/>
  <c r="J42"/>
  <c r="K42"/>
  <c r="L42"/>
  <c r="L52"/>
  <c r="J52"/>
  <c r="K52"/>
  <c r="L10"/>
  <c r="M10"/>
  <c r="L37"/>
  <c r="J37"/>
  <c r="K37"/>
  <c r="K10"/>
  <c r="M27"/>
  <c r="N27"/>
  <c r="O27"/>
  <c r="M22"/>
  <c r="N22"/>
  <c r="O22"/>
  <c r="N19"/>
  <c r="O19"/>
  <c r="M42"/>
  <c r="M37"/>
  <c r="M52"/>
  <c r="E8" i="106"/>
  <c r="H8"/>
  <c r="E8" i="82"/>
  <c r="H8" s="1"/>
  <c r="E15" i="104"/>
  <c r="H15"/>
  <c r="E15" i="144"/>
  <c r="H15" s="1"/>
  <c r="N42" i="137"/>
  <c r="O42"/>
  <c r="E17" i="144"/>
  <c r="H17" s="1"/>
  <c r="N37" i="137"/>
  <c r="O37"/>
  <c r="E17" i="104"/>
  <c r="H17" s="1"/>
  <c r="H20"/>
  <c r="AD121" i="123" s="1"/>
  <c r="N52" i="137"/>
  <c r="O52"/>
  <c r="E19" i="144"/>
  <c r="H19"/>
  <c r="N47" i="137"/>
  <c r="O47"/>
  <c r="E18" i="144"/>
  <c r="H18"/>
  <c r="E10" i="82"/>
  <c r="H10"/>
  <c r="E9" i="106"/>
  <c r="H9"/>
  <c r="E9" i="105"/>
  <c r="H9"/>
  <c r="N10" i="137"/>
  <c r="O10"/>
  <c r="E10" i="106"/>
  <c r="H10"/>
  <c r="E11" i="82"/>
  <c r="H11"/>
  <c r="E10" i="105"/>
  <c r="H10"/>
  <c r="AD121" i="129"/>
  <c r="AD121" i="141"/>
  <c r="AD121" i="128"/>
  <c r="AD121" i="117"/>
  <c r="AD121" i="140"/>
  <c r="AD121" i="148"/>
  <c r="H23" i="144"/>
  <c r="AD121" i="116" s="1"/>
  <c r="AD121" i="115"/>
  <c r="E9" i="82"/>
  <c r="H9"/>
  <c r="H15" s="1"/>
  <c r="AD121" i="114" s="1"/>
  <c r="AD124" s="1"/>
  <c r="E8" i="105"/>
  <c r="H8"/>
  <c r="H14" s="1"/>
  <c r="E12" i="106"/>
  <c r="H12"/>
  <c r="H14"/>
  <c r="AD121" i="126"/>
  <c r="AD124" s="1"/>
  <c r="AD121" i="134"/>
  <c r="AD124"/>
  <c r="AD121" i="119"/>
  <c r="AD124"/>
  <c r="AD128" s="1"/>
  <c r="AD144" i="134"/>
  <c r="AD144" i="119"/>
  <c r="AD145"/>
  <c r="AD129"/>
  <c r="AD147"/>
  <c r="AD134" s="1"/>
  <c r="AD132"/>
  <c r="AD133"/>
  <c r="AD135"/>
  <c r="AD146" s="1"/>
  <c r="F52" i="146"/>
  <c r="F14"/>
  <c r="P9"/>
  <c r="O11" s="1"/>
  <c r="F44"/>
  <c r="E23" i="154"/>
  <c r="E50"/>
  <c r="E63"/>
  <c r="F9" i="146"/>
  <c r="P6"/>
  <c r="F32"/>
  <c r="F21"/>
  <c r="S20"/>
  <c r="F15"/>
  <c r="F59" s="1"/>
  <c r="R20"/>
  <c r="O8"/>
  <c r="P13"/>
  <c r="E59" i="154"/>
  <c r="E27"/>
  <c r="E34"/>
  <c r="E44"/>
  <c r="E43"/>
  <c r="E53"/>
  <c r="E69"/>
  <c r="E66"/>
  <c r="E68"/>
  <c r="E28"/>
  <c r="E71" s="1"/>
  <c r="AD51" i="123" l="1"/>
  <c r="AD98"/>
  <c r="AD96"/>
  <c r="AD90"/>
  <c r="AD101"/>
  <c r="AD99"/>
  <c r="AD105"/>
  <c r="AD86"/>
  <c r="AD97"/>
  <c r="AD103"/>
  <c r="AD85"/>
  <c r="AD140"/>
  <c r="AD89"/>
  <c r="AD50"/>
  <c r="AD100"/>
  <c r="AD87"/>
  <c r="AD124" i="116"/>
  <c r="AD121" i="142"/>
  <c r="AD124" s="1"/>
  <c r="AD85" i="121"/>
  <c r="AD100"/>
  <c r="AD51"/>
  <c r="AD97"/>
  <c r="AD89"/>
  <c r="AD90"/>
  <c r="AD103"/>
  <c r="AD140"/>
  <c r="AD105"/>
  <c r="AD99"/>
  <c r="AD50"/>
  <c r="AD96"/>
  <c r="AD106" s="1"/>
  <c r="AD115" s="1"/>
  <c r="AD117" s="1"/>
  <c r="AD143" s="1"/>
  <c r="AD86"/>
  <c r="AD98"/>
  <c r="AD87"/>
  <c r="AD101"/>
  <c r="AD144" i="114"/>
  <c r="AD145" s="1"/>
  <c r="AD147" s="1"/>
  <c r="AD129"/>
  <c r="AD128"/>
  <c r="AD144" i="126"/>
  <c r="AD121" i="118"/>
  <c r="AD124" s="1"/>
  <c r="AD121" i="125"/>
  <c r="AD124" s="1"/>
  <c r="L64" i="146"/>
  <c r="M64"/>
  <c r="H151" i="109"/>
  <c r="G150"/>
  <c r="AD68" i="113"/>
  <c r="AD74" s="1"/>
  <c r="AD80" s="1"/>
  <c r="AD45"/>
  <c r="AD90" i="133"/>
  <c r="AD51"/>
  <c r="AD52" s="1"/>
  <c r="AD103"/>
  <c r="AD86"/>
  <c r="AD89"/>
  <c r="AD87"/>
  <c r="AD100"/>
  <c r="AD96"/>
  <c r="AD106" s="1"/>
  <c r="AD115" s="1"/>
  <c r="AD117" s="1"/>
  <c r="AD143" s="1"/>
  <c r="AD56"/>
  <c r="AD61"/>
  <c r="AD52" i="149"/>
  <c r="AD121" i="124"/>
  <c r="AD50" i="142"/>
  <c r="AD52" s="1"/>
  <c r="AD51"/>
  <c r="AD103"/>
  <c r="AD101"/>
  <c r="AD89"/>
  <c r="AD86"/>
  <c r="AD97"/>
  <c r="AD106" s="1"/>
  <c r="AD115" s="1"/>
  <c r="AD117" s="1"/>
  <c r="AD143" s="1"/>
  <c r="AD99"/>
  <c r="AD61"/>
  <c r="AD98" i="128"/>
  <c r="AD100"/>
  <c r="AD89"/>
  <c r="AD140"/>
  <c r="AD50"/>
  <c r="AD52" s="1"/>
  <c r="AD60" s="1"/>
  <c r="AD85"/>
  <c r="AD103"/>
  <c r="AD86"/>
  <c r="AD103" i="115"/>
  <c r="AD96"/>
  <c r="AD140"/>
  <c r="AD90"/>
  <c r="AD51"/>
  <c r="AD52" s="1"/>
  <c r="AD98"/>
  <c r="AD99"/>
  <c r="AD97"/>
  <c r="AD45" i="125"/>
  <c r="AD98" i="129"/>
  <c r="AD101"/>
  <c r="AD100"/>
  <c r="AD99"/>
  <c r="AD96"/>
  <c r="AD106" s="1"/>
  <c r="AD115" s="1"/>
  <c r="AD117" s="1"/>
  <c r="AD143" s="1"/>
  <c r="AD89"/>
  <c r="AD105"/>
  <c r="AD87"/>
  <c r="AD56"/>
  <c r="AD64" s="1"/>
  <c r="AD79" s="1"/>
  <c r="AD81" s="1"/>
  <c r="AD61"/>
  <c r="AD85" i="149"/>
  <c r="AD89"/>
  <c r="AD140"/>
  <c r="AD100"/>
  <c r="AD87"/>
  <c r="AD105"/>
  <c r="AD98"/>
  <c r="AD101"/>
  <c r="AD57"/>
  <c r="AD61"/>
  <c r="AD99" i="126"/>
  <c r="AD140"/>
  <c r="AD98"/>
  <c r="AD63"/>
  <c r="AD60"/>
  <c r="AD87"/>
  <c r="AD96"/>
  <c r="AD85"/>
  <c r="AD86"/>
  <c r="AD105"/>
  <c r="AD56"/>
  <c r="AD64" s="1"/>
  <c r="AD79" s="1"/>
  <c r="AD81" s="1"/>
  <c r="AD58"/>
  <c r="AD68" i="111"/>
  <c r="AD74" s="1"/>
  <c r="AD80" s="1"/>
  <c r="AD40"/>
  <c r="AD45" s="1"/>
  <c r="AD121" i="149"/>
  <c r="AD124" s="1"/>
  <c r="AD121" i="138"/>
  <c r="AD124" s="1"/>
  <c r="AD121" i="113"/>
  <c r="AD124" s="1"/>
  <c r="AD121" i="133"/>
  <c r="AD124" s="1"/>
  <c r="AD121" i="121"/>
  <c r="AD121" i="150"/>
  <c r="AD86" i="134"/>
  <c r="AD56"/>
  <c r="AD96"/>
  <c r="AD90"/>
  <c r="AD62"/>
  <c r="AD57"/>
  <c r="AD98"/>
  <c r="AD100"/>
  <c r="AD140"/>
  <c r="AD63"/>
  <c r="AD59"/>
  <c r="AD61"/>
  <c r="AD58"/>
  <c r="AD40" i="150"/>
  <c r="AD45"/>
  <c r="M153" i="119"/>
  <c r="W153" s="1"/>
  <c r="AE153" s="1"/>
  <c r="AE154" s="1"/>
  <c r="AD159" s="1"/>
  <c r="AD45" i="124"/>
  <c r="AD141" i="126" l="1"/>
  <c r="AD145" s="1"/>
  <c r="AD88"/>
  <c r="AD103" i="111"/>
  <c r="AD96"/>
  <c r="AD97"/>
  <c r="AD100"/>
  <c r="AD85"/>
  <c r="AD86"/>
  <c r="AD140"/>
  <c r="AD90"/>
  <c r="AD89"/>
  <c r="AD105"/>
  <c r="AD50"/>
  <c r="AD87"/>
  <c r="AD98"/>
  <c r="AD51"/>
  <c r="AD99"/>
  <c r="AD101"/>
  <c r="AD78" i="115"/>
  <c r="AD58"/>
  <c r="AD56"/>
  <c r="AD61"/>
  <c r="AD60"/>
  <c r="AD63"/>
  <c r="AD57"/>
  <c r="AD62"/>
  <c r="AD59"/>
  <c r="AD140" i="150"/>
  <c r="AD101"/>
  <c r="AD87"/>
  <c r="AD86"/>
  <c r="AD105"/>
  <c r="AD99"/>
  <c r="AD97"/>
  <c r="AD85"/>
  <c r="AD51"/>
  <c r="AD89"/>
  <c r="AD58"/>
  <c r="AD98"/>
  <c r="AD100"/>
  <c r="AD50"/>
  <c r="AD52" s="1"/>
  <c r="AD78" s="1"/>
  <c r="AD103"/>
  <c r="AD96"/>
  <c r="AD90"/>
  <c r="AD62"/>
  <c r="AD62" i="142"/>
  <c r="AD57"/>
  <c r="AD78"/>
  <c r="AD59"/>
  <c r="AD56"/>
  <c r="AD60"/>
  <c r="AD63"/>
  <c r="AD96" i="113"/>
  <c r="AD105"/>
  <c r="AD89"/>
  <c r="AD140"/>
  <c r="AD100"/>
  <c r="AD101"/>
  <c r="AD103"/>
  <c r="AD98"/>
  <c r="AD87"/>
  <c r="AD50"/>
  <c r="AD90"/>
  <c r="AD99"/>
  <c r="AD86"/>
  <c r="AD85"/>
  <c r="AD97"/>
  <c r="AD51"/>
  <c r="I150" i="109"/>
  <c r="H154"/>
  <c r="H150"/>
  <c r="H153"/>
  <c r="H152"/>
  <c r="I152"/>
  <c r="AD129" i="116"/>
  <c r="AD144"/>
  <c r="AD145" s="1"/>
  <c r="AD128"/>
  <c r="AD106" i="115"/>
  <c r="AD115" s="1"/>
  <c r="AD117" s="1"/>
  <c r="AD143" s="1"/>
  <c r="AD88" i="129"/>
  <c r="AD91" s="1"/>
  <c r="AD142" s="1"/>
  <c r="AD141"/>
  <c r="AD78" i="128"/>
  <c r="AD56"/>
  <c r="AD59"/>
  <c r="AD61"/>
  <c r="AD63"/>
  <c r="AD132" i="114"/>
  <c r="AD135" s="1"/>
  <c r="AD146" s="1"/>
  <c r="M153"/>
  <c r="W153" s="1"/>
  <c r="AE153" s="1"/>
  <c r="AE154" s="1"/>
  <c r="AD159" s="1"/>
  <c r="AD134"/>
  <c r="AD133"/>
  <c r="AD129" i="138"/>
  <c r="AD144"/>
  <c r="AD145" s="1"/>
  <c r="AD128"/>
  <c r="AD62" i="149"/>
  <c r="AD63"/>
  <c r="AD58"/>
  <c r="AD78"/>
  <c r="AD60"/>
  <c r="AD78" i="133"/>
  <c r="AD58"/>
  <c r="AD62"/>
  <c r="AD57"/>
  <c r="AD59"/>
  <c r="AD60"/>
  <c r="AD63"/>
  <c r="AD128" i="118"/>
  <c r="AD129"/>
  <c r="AD144"/>
  <c r="AD145" s="1"/>
  <c r="AD144" i="142"/>
  <c r="AD106" i="134"/>
  <c r="AD115" s="1"/>
  <c r="AD117" s="1"/>
  <c r="AD143" s="1"/>
  <c r="AD106" i="126"/>
  <c r="AD115" s="1"/>
  <c r="AD117" s="1"/>
  <c r="AD143" s="1"/>
  <c r="AD58" i="142"/>
  <c r="AD64" i="133"/>
  <c r="AD79" s="1"/>
  <c r="AD91" i="126"/>
  <c r="AD142" s="1"/>
  <c r="AD106" i="149"/>
  <c r="AD115" s="1"/>
  <c r="AD117" s="1"/>
  <c r="AD143" s="1"/>
  <c r="AD59"/>
  <c r="AD62" i="128"/>
  <c r="AD106"/>
  <c r="AD115" s="1"/>
  <c r="AD117" s="1"/>
  <c r="AD143" s="1"/>
  <c r="I151" i="109"/>
  <c r="AD52" i="123"/>
  <c r="AD106"/>
  <c r="AD115" s="1"/>
  <c r="AD117" s="1"/>
  <c r="AD143" s="1"/>
  <c r="AD89" i="124"/>
  <c r="AD105"/>
  <c r="AD99"/>
  <c r="AD101"/>
  <c r="AD50"/>
  <c r="AD52" s="1"/>
  <c r="AD78" s="1"/>
  <c r="AD103"/>
  <c r="AD90"/>
  <c r="AD98"/>
  <c r="AD56"/>
  <c r="AD140"/>
  <c r="AD87"/>
  <c r="AD86"/>
  <c r="AD100"/>
  <c r="AD62"/>
  <c r="AD51"/>
  <c r="AD85"/>
  <c r="AD97"/>
  <c r="AD96"/>
  <c r="AD144" i="149"/>
  <c r="D17" i="136"/>
  <c r="AD160" i="119"/>
  <c r="AD144" i="113"/>
  <c r="AD144" i="133"/>
  <c r="AD90" i="125"/>
  <c r="AD85"/>
  <c r="AD97"/>
  <c r="AD100"/>
  <c r="AD50"/>
  <c r="AD99"/>
  <c r="AD101"/>
  <c r="AD140"/>
  <c r="AD98"/>
  <c r="AD86"/>
  <c r="AD96"/>
  <c r="AD89"/>
  <c r="AD103"/>
  <c r="AD87"/>
  <c r="AD105"/>
  <c r="AD51"/>
  <c r="AD144"/>
  <c r="AD58" i="128"/>
  <c r="AD64" i="134"/>
  <c r="AD79" s="1"/>
  <c r="AD81" s="1"/>
  <c r="AD56" i="149"/>
  <c r="AD57" i="128"/>
  <c r="AD52" i="121"/>
  <c r="AD78" l="1"/>
  <c r="AD63"/>
  <c r="AD57"/>
  <c r="AD56"/>
  <c r="AD60"/>
  <c r="AD62"/>
  <c r="AD61"/>
  <c r="AD59"/>
  <c r="AD58"/>
  <c r="AD64" i="128"/>
  <c r="AD79" s="1"/>
  <c r="AD106" i="124"/>
  <c r="AD115" s="1"/>
  <c r="AD117" s="1"/>
  <c r="AD143" s="1"/>
  <c r="AD61"/>
  <c r="AD147" i="118"/>
  <c r="AD147" i="138"/>
  <c r="AD147" i="116"/>
  <c r="K150" i="109"/>
  <c r="L150"/>
  <c r="M150" s="1"/>
  <c r="N150" s="1"/>
  <c r="O150" s="1"/>
  <c r="O160" s="1"/>
  <c r="J150"/>
  <c r="AD141" i="134"/>
  <c r="AD129"/>
  <c r="AD88"/>
  <c r="AD91" s="1"/>
  <c r="AD142" s="1"/>
  <c r="J7" i="146"/>
  <c r="K7" s="1"/>
  <c r="E17" i="136"/>
  <c r="AD160" i="114"/>
  <c r="D12" i="136"/>
  <c r="AD81" i="133"/>
  <c r="AD60" i="124"/>
  <c r="AD57"/>
  <c r="AD64" s="1"/>
  <c r="AD79" s="1"/>
  <c r="AD81" s="1"/>
  <c r="AD52" i="113"/>
  <c r="AD106"/>
  <c r="AD115" s="1"/>
  <c r="AD117" s="1"/>
  <c r="AD143" s="1"/>
  <c r="AD106" i="150"/>
  <c r="AD115" s="1"/>
  <c r="AD117" s="1"/>
  <c r="AD143" s="1"/>
  <c r="AD64" i="115"/>
  <c r="AD79" s="1"/>
  <c r="AD52" i="125"/>
  <c r="AD58" i="124"/>
  <c r="AD81" i="149"/>
  <c r="AD64" i="142"/>
  <c r="AD79" s="1"/>
  <c r="AD81" s="1"/>
  <c r="AD60" i="150"/>
  <c r="AD56"/>
  <c r="AD61"/>
  <c r="AD78" i="123"/>
  <c r="AD61"/>
  <c r="AD63"/>
  <c r="AD59"/>
  <c r="AD57"/>
  <c r="AD60"/>
  <c r="AD56"/>
  <c r="AD58"/>
  <c r="AD62"/>
  <c r="AD64" i="149"/>
  <c r="AD79" s="1"/>
  <c r="AD106" i="125"/>
  <c r="AD115" s="1"/>
  <c r="AD117" s="1"/>
  <c r="AD143" s="1"/>
  <c r="AD59" i="124"/>
  <c r="AD63"/>
  <c r="AD81" i="128"/>
  <c r="AD63" i="150"/>
  <c r="AD57"/>
  <c r="AD59"/>
  <c r="AD81" i="115"/>
  <c r="AD52" i="111"/>
  <c r="AD106"/>
  <c r="AD115" s="1"/>
  <c r="AD117" s="1"/>
  <c r="AD143" s="1"/>
  <c r="AD129" i="126"/>
  <c r="AD128"/>
  <c r="AD88" i="142" l="1"/>
  <c r="AD91" s="1"/>
  <c r="AD142" s="1"/>
  <c r="AD141"/>
  <c r="AD141" i="124"/>
  <c r="AD88"/>
  <c r="AD91" s="1"/>
  <c r="AD142" s="1"/>
  <c r="AD141" i="128"/>
  <c r="AD88"/>
  <c r="AD91" s="1"/>
  <c r="AD142" s="1"/>
  <c r="AD88" i="133"/>
  <c r="AD91" s="1"/>
  <c r="AD142" s="1"/>
  <c r="AD141"/>
  <c r="G24" i="154"/>
  <c r="F17" i="136"/>
  <c r="G22" i="122"/>
  <c r="AD78" i="111"/>
  <c r="AD61"/>
  <c r="AD62"/>
  <c r="AD60"/>
  <c r="AD56"/>
  <c r="AD63"/>
  <c r="AD59"/>
  <c r="AD57"/>
  <c r="AD58"/>
  <c r="AD141" i="149"/>
  <c r="AD145" s="1"/>
  <c r="AD88"/>
  <c r="AD91" s="1"/>
  <c r="AD142" s="1"/>
  <c r="AD78" i="125"/>
  <c r="AD59"/>
  <c r="AD63"/>
  <c r="AD57"/>
  <c r="AD61"/>
  <c r="AD58"/>
  <c r="AD60"/>
  <c r="AD62"/>
  <c r="AD56"/>
  <c r="AD64" s="1"/>
  <c r="AD79" s="1"/>
  <c r="M153" i="118"/>
  <c r="W153" s="1"/>
  <c r="AE153" s="1"/>
  <c r="AE154" s="1"/>
  <c r="AD159" s="1"/>
  <c r="AD133"/>
  <c r="AD134"/>
  <c r="AD132"/>
  <c r="AD135" s="1"/>
  <c r="AD146" s="1"/>
  <c r="AD78" i="113"/>
  <c r="AD63"/>
  <c r="AD56"/>
  <c r="AD60"/>
  <c r="AD57"/>
  <c r="AD62"/>
  <c r="AD61"/>
  <c r="AD59"/>
  <c r="AD58"/>
  <c r="E12" i="136"/>
  <c r="J8" i="146"/>
  <c r="K8" s="1"/>
  <c r="M153" i="138"/>
  <c r="W153" s="1"/>
  <c r="AE153" s="1"/>
  <c r="AE154" s="1"/>
  <c r="AD159" s="1"/>
  <c r="AD132"/>
  <c r="AD135" s="1"/>
  <c r="AD146" s="1"/>
  <c r="AD133"/>
  <c r="AD134"/>
  <c r="AD64" i="121"/>
  <c r="AD79" s="1"/>
  <c r="AD147" i="126"/>
  <c r="AD128" i="134"/>
  <c r="AD81" i="121"/>
  <c r="AD141" i="115"/>
  <c r="AD88"/>
  <c r="AD91" s="1"/>
  <c r="AD142" s="1"/>
  <c r="O162" i="109"/>
  <c r="O161"/>
  <c r="M7" i="146"/>
  <c r="L7"/>
  <c r="AD132" i="116"/>
  <c r="AD135" s="1"/>
  <c r="AD146" s="1"/>
  <c r="AD133"/>
  <c r="M153"/>
  <c r="W153" s="1"/>
  <c r="AE153" s="1"/>
  <c r="AE154" s="1"/>
  <c r="AD159" s="1"/>
  <c r="AD134"/>
  <c r="AD64" i="123"/>
  <c r="AD79" s="1"/>
  <c r="AD81" s="1"/>
  <c r="AD64" i="150"/>
  <c r="AD79" s="1"/>
  <c r="AD81" s="1"/>
  <c r="AD145" i="134"/>
  <c r="AD141" i="123" l="1"/>
  <c r="AD88"/>
  <c r="AD91" s="1"/>
  <c r="AD142" s="1"/>
  <c r="O163" i="109"/>
  <c r="O164"/>
  <c r="AD160" i="118"/>
  <c r="D19" i="136"/>
  <c r="AD145" i="133"/>
  <c r="AD145" i="142"/>
  <c r="AD141" i="121"/>
  <c r="AD88"/>
  <c r="AD91" s="1"/>
  <c r="AD142" s="1"/>
  <c r="D18" i="136"/>
  <c r="AD160" i="116"/>
  <c r="G17" i="122"/>
  <c r="F12" i="136"/>
  <c r="G18" i="154"/>
  <c r="H22" i="122"/>
  <c r="I22"/>
  <c r="AD81" i="125"/>
  <c r="AD128" i="149"/>
  <c r="AD129" i="133"/>
  <c r="AD128" i="142"/>
  <c r="AD160" i="138"/>
  <c r="D25" i="136"/>
  <c r="I24" i="154"/>
  <c r="H24"/>
  <c r="AD141" i="150"/>
  <c r="AD88"/>
  <c r="AD91" s="1"/>
  <c r="AD142" s="1"/>
  <c r="M153" i="126"/>
  <c r="W153" s="1"/>
  <c r="AE153" s="1"/>
  <c r="AE154" s="1"/>
  <c r="AD159" s="1"/>
  <c r="AD134"/>
  <c r="AD133"/>
  <c r="AD132"/>
  <c r="M8" i="146"/>
  <c r="L8"/>
  <c r="AD147" i="149"/>
  <c r="AD147" i="134"/>
  <c r="AD64" i="113"/>
  <c r="AD79" s="1"/>
  <c r="AD81" s="1"/>
  <c r="AD129" i="149"/>
  <c r="AD64" i="111"/>
  <c r="AD79" s="1"/>
  <c r="AD81" s="1"/>
  <c r="AD128" i="133"/>
  <c r="AD129" i="142"/>
  <c r="AD141" i="111" l="1"/>
  <c r="AD88"/>
  <c r="AD91" s="1"/>
  <c r="AD142" s="1"/>
  <c r="AD141" i="113"/>
  <c r="AD88"/>
  <c r="AD91" s="1"/>
  <c r="AD142" s="1"/>
  <c r="AD129"/>
  <c r="AD128"/>
  <c r="J6" i="146"/>
  <c r="K6" s="1"/>
  <c r="E18" i="136"/>
  <c r="AD141" i="125"/>
  <c r="AD145" s="1"/>
  <c r="AD128"/>
  <c r="AD88"/>
  <c r="AD91" s="1"/>
  <c r="AD142" s="1"/>
  <c r="I18" i="154"/>
  <c r="H18"/>
  <c r="J5" i="146"/>
  <c r="K5" s="1"/>
  <c r="E19" i="136"/>
  <c r="AD147" i="142"/>
  <c r="M153" i="149"/>
  <c r="W153" s="1"/>
  <c r="AE153" s="1"/>
  <c r="AE154" s="1"/>
  <c r="AD159" s="1"/>
  <c r="AD132"/>
  <c r="AD134"/>
  <c r="AD133"/>
  <c r="E25" i="136"/>
  <c r="J19" i="146"/>
  <c r="K19" s="1"/>
  <c r="M153" i="134"/>
  <c r="W153" s="1"/>
  <c r="AE153" s="1"/>
  <c r="AE154" s="1"/>
  <c r="AD159" s="1"/>
  <c r="AD132"/>
  <c r="AD133"/>
  <c r="AD134"/>
  <c r="D33" i="136"/>
  <c r="AD160" i="126"/>
  <c r="I17" i="122"/>
  <c r="H17"/>
  <c r="AD147" i="133"/>
  <c r="O166" i="109"/>
  <c r="O165"/>
  <c r="AD135" i="126"/>
  <c r="AD146" s="1"/>
  <c r="AD135" i="149"/>
  <c r="AD146" s="1"/>
  <c r="D34" i="136" l="1"/>
  <c r="AD160" i="149"/>
  <c r="AD123" i="141"/>
  <c r="AD124" s="1"/>
  <c r="AD123" i="121"/>
  <c r="AD124" s="1"/>
  <c r="AD123" i="129"/>
  <c r="AD124" s="1"/>
  <c r="AD123" i="150"/>
  <c r="AD124" s="1"/>
  <c r="AD123" i="124"/>
  <c r="AD124" s="1"/>
  <c r="AD123" i="128"/>
  <c r="AD124" s="1"/>
  <c r="AD123" i="140"/>
  <c r="AD124" s="1"/>
  <c r="AD123" i="117"/>
  <c r="AD124" s="1"/>
  <c r="AD123" i="115"/>
  <c r="AD124" s="1"/>
  <c r="AD123" i="111"/>
  <c r="AD124" s="1"/>
  <c r="AD123" i="123"/>
  <c r="AD124" s="1"/>
  <c r="AD123" i="148"/>
  <c r="AD124" s="1"/>
  <c r="L19" i="146"/>
  <c r="M19"/>
  <c r="F25" i="136"/>
  <c r="G32" i="154"/>
  <c r="G26" i="122"/>
  <c r="E33" i="136"/>
  <c r="J28" i="146"/>
  <c r="K28" s="1"/>
  <c r="D49" i="136"/>
  <c r="AD160" i="134"/>
  <c r="L6" i="146"/>
  <c r="M6"/>
  <c r="AD129" i="125"/>
  <c r="AD145" i="113"/>
  <c r="AD147" s="1"/>
  <c r="G24" i="122"/>
  <c r="G26" i="154"/>
  <c r="F19" i="136"/>
  <c r="M153" i="133"/>
  <c r="W153" s="1"/>
  <c r="AE153" s="1"/>
  <c r="AE154" s="1"/>
  <c r="AD159" s="1"/>
  <c r="AD134"/>
  <c r="AD133"/>
  <c r="AD132"/>
  <c r="AD135" s="1"/>
  <c r="AD146" s="1"/>
  <c r="AD132" i="142"/>
  <c r="M153"/>
  <c r="W153" s="1"/>
  <c r="AE153" s="1"/>
  <c r="AE154" s="1"/>
  <c r="AD159" s="1"/>
  <c r="AD133"/>
  <c r="AD134"/>
  <c r="L5" i="146"/>
  <c r="M5"/>
  <c r="K9"/>
  <c r="G25" i="154"/>
  <c r="G23" i="122"/>
  <c r="F18" i="136"/>
  <c r="AD135" i="134"/>
  <c r="AD146" s="1"/>
  <c r="AD128" i="123" l="1"/>
  <c r="AD129"/>
  <c r="AD144"/>
  <c r="AD145" s="1"/>
  <c r="AD160" i="133"/>
  <c r="D43" i="136"/>
  <c r="L28" i="146"/>
  <c r="M28"/>
  <c r="AD144" i="148"/>
  <c r="AD145" s="1"/>
  <c r="AD147" s="1"/>
  <c r="AD129"/>
  <c r="AD128"/>
  <c r="AD144" i="117"/>
  <c r="AD145" s="1"/>
  <c r="AD129"/>
  <c r="AD128"/>
  <c r="AD144" i="150"/>
  <c r="AD145" s="1"/>
  <c r="AD129"/>
  <c r="AD128"/>
  <c r="AD129" i="129"/>
  <c r="AD144"/>
  <c r="AD145" s="1"/>
  <c r="AD128"/>
  <c r="D32" i="136"/>
  <c r="AD160" i="142"/>
  <c r="I24" i="122"/>
  <c r="H24"/>
  <c r="J42" i="146"/>
  <c r="K42" s="1"/>
  <c r="E49" i="136"/>
  <c r="G33" i="154"/>
  <c r="H32"/>
  <c r="H33" s="1"/>
  <c r="I32"/>
  <c r="I33" s="1"/>
  <c r="AD144" i="115"/>
  <c r="AD145" s="1"/>
  <c r="AD147" s="1"/>
  <c r="AD128"/>
  <c r="AD129"/>
  <c r="AD144" i="124"/>
  <c r="AD145" s="1"/>
  <c r="AD147" s="1"/>
  <c r="AD128"/>
  <c r="AD129"/>
  <c r="AD144" i="141"/>
  <c r="AD145" s="1"/>
  <c r="AD128"/>
  <c r="AD129"/>
  <c r="AD135" i="142"/>
  <c r="AD146" s="1"/>
  <c r="AD147" i="125"/>
  <c r="I25" i="154"/>
  <c r="I27" s="1"/>
  <c r="H25"/>
  <c r="G27"/>
  <c r="G40"/>
  <c r="G30" i="122"/>
  <c r="F33" i="136"/>
  <c r="AD128" i="140"/>
  <c r="AD129"/>
  <c r="AD144"/>
  <c r="AD145" s="1"/>
  <c r="AD147" s="1"/>
  <c r="J27" i="146"/>
  <c r="K27" s="1"/>
  <c r="E34" i="136"/>
  <c r="H23" i="122"/>
  <c r="I23"/>
  <c r="AD134" i="113"/>
  <c r="AD132"/>
  <c r="M153"/>
  <c r="W153" s="1"/>
  <c r="AE153" s="1"/>
  <c r="AE154" s="1"/>
  <c r="AD159" s="1"/>
  <c r="AD133"/>
  <c r="I26" i="154"/>
  <c r="H26"/>
  <c r="I26" i="122"/>
  <c r="H26"/>
  <c r="AD144" i="111"/>
  <c r="AD145" s="1"/>
  <c r="AD128"/>
  <c r="AD129"/>
  <c r="AD144" i="128"/>
  <c r="AD145" s="1"/>
  <c r="AD129"/>
  <c r="AD128"/>
  <c r="AD144" i="121"/>
  <c r="AD145" s="1"/>
  <c r="AD147" s="1"/>
  <c r="AD128"/>
  <c r="AD129"/>
  <c r="L9" i="146"/>
  <c r="M9"/>
  <c r="AD132" i="140" l="1"/>
  <c r="M153"/>
  <c r="W153" s="1"/>
  <c r="AE153" s="1"/>
  <c r="AE154" s="1"/>
  <c r="AD159" s="1"/>
  <c r="AD133"/>
  <c r="AD134"/>
  <c r="AD133" i="148"/>
  <c r="AD132"/>
  <c r="M153"/>
  <c r="W153" s="1"/>
  <c r="AE153" s="1"/>
  <c r="AE154" s="1"/>
  <c r="AD159" s="1"/>
  <c r="AD134"/>
  <c r="AD133" i="121"/>
  <c r="AD134"/>
  <c r="M153"/>
  <c r="W153" s="1"/>
  <c r="AE153" s="1"/>
  <c r="AE154" s="1"/>
  <c r="AD159" s="1"/>
  <c r="AD132"/>
  <c r="M27" i="146"/>
  <c r="L27"/>
  <c r="AD133" i="115"/>
  <c r="AD135" s="1"/>
  <c r="AD146" s="1"/>
  <c r="M153"/>
  <c r="W153" s="1"/>
  <c r="AE153" s="1"/>
  <c r="AE154" s="1"/>
  <c r="AD159" s="1"/>
  <c r="AD132"/>
  <c r="AD134"/>
  <c r="F49" i="136"/>
  <c r="G57" i="154"/>
  <c r="G37" i="122"/>
  <c r="E43" i="136"/>
  <c r="J35" i="146"/>
  <c r="K35" s="1"/>
  <c r="H27" i="154"/>
  <c r="I30" i="122"/>
  <c r="H30"/>
  <c r="L42" i="146"/>
  <c r="M42"/>
  <c r="J29"/>
  <c r="K29" s="1"/>
  <c r="E32" i="136"/>
  <c r="G31" i="122"/>
  <c r="F34" i="136"/>
  <c r="G41" i="154"/>
  <c r="AD135" i="121"/>
  <c r="AD146" s="1"/>
  <c r="AD147" i="128"/>
  <c r="AD135" i="113"/>
  <c r="AD146" s="1"/>
  <c r="AD135" i="140"/>
  <c r="AD146" s="1"/>
  <c r="AD147" i="129"/>
  <c r="AD147" i="150"/>
  <c r="AD135" i="148"/>
  <c r="AD146" s="1"/>
  <c r="M153" i="124"/>
  <c r="W153" s="1"/>
  <c r="AE153" s="1"/>
  <c r="AE154" s="1"/>
  <c r="AD159" s="1"/>
  <c r="AD133"/>
  <c r="AD132"/>
  <c r="AD135" s="1"/>
  <c r="AD146" s="1"/>
  <c r="AD134"/>
  <c r="D56" i="136"/>
  <c r="E56" s="1"/>
  <c r="AD160" i="113"/>
  <c r="H40" i="154"/>
  <c r="I40"/>
  <c r="AD132" i="125"/>
  <c r="AD133"/>
  <c r="M153"/>
  <c r="W153" s="1"/>
  <c r="AE153" s="1"/>
  <c r="AE154" s="1"/>
  <c r="AD159" s="1"/>
  <c r="AD134"/>
  <c r="AD147" i="111"/>
  <c r="AD147" i="141"/>
  <c r="AD147" i="117"/>
  <c r="AD147" i="123"/>
  <c r="AD160" i="121" l="1"/>
  <c r="D55" i="136"/>
  <c r="E55" s="1"/>
  <c r="D15"/>
  <c r="AD160" i="148"/>
  <c r="AD134" i="129"/>
  <c r="M153"/>
  <c r="W153" s="1"/>
  <c r="AE153" s="1"/>
  <c r="AE154" s="1"/>
  <c r="AD159" s="1"/>
  <c r="AD133"/>
  <c r="AD132"/>
  <c r="AD135" s="1"/>
  <c r="AD146" s="1"/>
  <c r="D35" i="136"/>
  <c r="AD160" i="125"/>
  <c r="AD132" i="150"/>
  <c r="AD134"/>
  <c r="M153"/>
  <c r="W153" s="1"/>
  <c r="AE153" s="1"/>
  <c r="AE154" s="1"/>
  <c r="AD159" s="1"/>
  <c r="AD133"/>
  <c r="I41" i="154"/>
  <c r="H41"/>
  <c r="I57"/>
  <c r="I58" s="1"/>
  <c r="H57"/>
  <c r="H58" s="1"/>
  <c r="G58"/>
  <c r="D54" i="136"/>
  <c r="AD160" i="115"/>
  <c r="D14" i="136"/>
  <c r="AD160" i="140"/>
  <c r="L35" i="146"/>
  <c r="M35"/>
  <c r="M153" i="117"/>
  <c r="W153" s="1"/>
  <c r="AE153" s="1"/>
  <c r="AE154" s="1"/>
  <c r="AD159" s="1"/>
  <c r="AD132"/>
  <c r="AD135" s="1"/>
  <c r="AD146" s="1"/>
  <c r="AD133"/>
  <c r="AD134"/>
  <c r="AD134" i="111"/>
  <c r="M153"/>
  <c r="W153" s="1"/>
  <c r="AE153" s="1"/>
  <c r="AE154" s="1"/>
  <c r="AD159" s="1"/>
  <c r="AD132"/>
  <c r="AD135" s="1"/>
  <c r="AD146" s="1"/>
  <c r="AD133"/>
  <c r="H37" i="122"/>
  <c r="I37"/>
  <c r="G29"/>
  <c r="G39" i="154"/>
  <c r="F32" i="136"/>
  <c r="M153" i="123"/>
  <c r="W153" s="1"/>
  <c r="AE153" s="1"/>
  <c r="AE154" s="1"/>
  <c r="AD159" s="1"/>
  <c r="AD134"/>
  <c r="AD132"/>
  <c r="AD133"/>
  <c r="AD132" i="141"/>
  <c r="AD134"/>
  <c r="M153"/>
  <c r="W153" s="1"/>
  <c r="AE153" s="1"/>
  <c r="AE154" s="1"/>
  <c r="AD159" s="1"/>
  <c r="AD133"/>
  <c r="G64" i="154"/>
  <c r="F56" i="136"/>
  <c r="G40" i="122"/>
  <c r="J49" i="146"/>
  <c r="K49" s="1"/>
  <c r="D30" i="136"/>
  <c r="AD160" i="124"/>
  <c r="M153" i="128"/>
  <c r="W153" s="1"/>
  <c r="AE153" s="1"/>
  <c r="AE154" s="1"/>
  <c r="AD159" s="1"/>
  <c r="AD134"/>
  <c r="AD133"/>
  <c r="AD132"/>
  <c r="AD135" s="1"/>
  <c r="AD146" s="1"/>
  <c r="H31" i="122"/>
  <c r="I31"/>
  <c r="L29" i="146"/>
  <c r="M29"/>
  <c r="G51" i="154"/>
  <c r="G35" i="122"/>
  <c r="F43" i="136"/>
  <c r="AD135" i="125"/>
  <c r="AD146" s="1"/>
  <c r="AD160" i="111" l="1"/>
  <c r="D16" i="136"/>
  <c r="J50" i="146"/>
  <c r="K50" s="1"/>
  <c r="E54" i="136"/>
  <c r="I29" i="122"/>
  <c r="H29"/>
  <c r="I51" i="154"/>
  <c r="I52" s="1"/>
  <c r="H51"/>
  <c r="H52" s="1"/>
  <c r="G52"/>
  <c r="H40" i="122"/>
  <c r="I40"/>
  <c r="D13" i="136"/>
  <c r="AD160" i="141"/>
  <c r="H39" i="154"/>
  <c r="I39"/>
  <c r="AD160" i="150"/>
  <c r="D42" i="136"/>
  <c r="E42" s="1"/>
  <c r="E35"/>
  <c r="J26" i="146"/>
  <c r="K26" s="1"/>
  <c r="F55" i="136"/>
  <c r="J51" i="146"/>
  <c r="K51" s="1"/>
  <c r="G39" i="122"/>
  <c r="G62" i="154"/>
  <c r="AD135" i="123"/>
  <c r="AD146" s="1"/>
  <c r="D41" i="136"/>
  <c r="AD160" i="128"/>
  <c r="H35" i="122"/>
  <c r="I35"/>
  <c r="K52" i="146"/>
  <c r="L49"/>
  <c r="M49"/>
  <c r="J12"/>
  <c r="K12" s="1"/>
  <c r="E14" i="136"/>
  <c r="D48"/>
  <c r="AD160" i="129"/>
  <c r="J13" i="146"/>
  <c r="K13" s="1"/>
  <c r="E15" i="136"/>
  <c r="E30"/>
  <c r="J30" i="146"/>
  <c r="K30" s="1"/>
  <c r="H64" i="154"/>
  <c r="H65" s="1"/>
  <c r="G65"/>
  <c r="I64"/>
  <c r="I65" s="1"/>
  <c r="AD160" i="123"/>
  <c r="D24" i="136"/>
  <c r="D31"/>
  <c r="AD160" i="117"/>
  <c r="AD135" i="141"/>
  <c r="AD146" s="1"/>
  <c r="AD135" i="150"/>
  <c r="AD146" s="1"/>
  <c r="G20" i="154" l="1"/>
  <c r="G19" i="122"/>
  <c r="F14" i="136"/>
  <c r="M26" i="146"/>
  <c r="L26"/>
  <c r="Q6"/>
  <c r="J11"/>
  <c r="K11" s="1"/>
  <c r="E13" i="136"/>
  <c r="E24"/>
  <c r="J20" i="146"/>
  <c r="K20" s="1"/>
  <c r="E41" i="136"/>
  <c r="J36" i="146"/>
  <c r="K36" s="1"/>
  <c r="E48" i="136"/>
  <c r="J43" i="146"/>
  <c r="K43" s="1"/>
  <c r="E16" i="136"/>
  <c r="J10" i="146"/>
  <c r="K10" s="1"/>
  <c r="F15" i="136"/>
  <c r="G21" i="154"/>
  <c r="G20" i="122"/>
  <c r="J31" i="146"/>
  <c r="K31" s="1"/>
  <c r="E31" i="136"/>
  <c r="F30"/>
  <c r="G36" i="154"/>
  <c r="G27" i="122"/>
  <c r="M51" i="146"/>
  <c r="L51"/>
  <c r="L52" s="1"/>
  <c r="G49" i="154"/>
  <c r="G34" i="122"/>
  <c r="J37" i="146"/>
  <c r="K37" s="1"/>
  <c r="F42" i="136"/>
  <c r="L50" i="146"/>
  <c r="M50"/>
  <c r="M52" s="1"/>
  <c r="I62" i="154"/>
  <c r="H62"/>
  <c r="M30" i="146"/>
  <c r="L30"/>
  <c r="M13"/>
  <c r="L13"/>
  <c r="L12"/>
  <c r="M12"/>
  <c r="I39" i="122"/>
  <c r="H39"/>
  <c r="F35" i="136"/>
  <c r="G42" i="154"/>
  <c r="G32" i="122"/>
  <c r="E57" i="136"/>
  <c r="G38" i="122"/>
  <c r="G61" i="154"/>
  <c r="F54" i="136"/>
  <c r="F57" s="1"/>
  <c r="L43" i="146" l="1"/>
  <c r="L44" s="1"/>
  <c r="M43"/>
  <c r="M44" s="1"/>
  <c r="K44"/>
  <c r="L20"/>
  <c r="L21" s="1"/>
  <c r="M20"/>
  <c r="M21" s="1"/>
  <c r="K21"/>
  <c r="G18" i="122"/>
  <c r="G19" i="154"/>
  <c r="F13" i="136"/>
  <c r="E20"/>
  <c r="R6" i="146"/>
  <c r="I20" i="154"/>
  <c r="H20"/>
  <c r="H20" i="122"/>
  <c r="I20"/>
  <c r="H49" i="154"/>
  <c r="I49"/>
  <c r="I36"/>
  <c r="H36"/>
  <c r="M31" i="146"/>
  <c r="L31"/>
  <c r="L32" s="1"/>
  <c r="F16" i="136"/>
  <c r="G21" i="122"/>
  <c r="G22" i="154"/>
  <c r="G33" i="122"/>
  <c r="G48" i="154"/>
  <c r="E44" i="136"/>
  <c r="F41"/>
  <c r="F44" s="1"/>
  <c r="H19" i="122"/>
  <c r="I19"/>
  <c r="K32" i="146"/>
  <c r="H32" i="122"/>
  <c r="I32"/>
  <c r="G37" i="154"/>
  <c r="G28" i="122"/>
  <c r="F31" i="136"/>
  <c r="F36" s="1"/>
  <c r="M10" i="146"/>
  <c r="K14"/>
  <c r="L10"/>
  <c r="L36"/>
  <c r="M36"/>
  <c r="K38"/>
  <c r="S6"/>
  <c r="T6"/>
  <c r="H38" i="122"/>
  <c r="I38"/>
  <c r="H34"/>
  <c r="I34"/>
  <c r="I27"/>
  <c r="H27"/>
  <c r="H61" i="154"/>
  <c r="H63" s="1"/>
  <c r="H66" s="1"/>
  <c r="I61"/>
  <c r="I63" s="1"/>
  <c r="I66" s="1"/>
  <c r="G63"/>
  <c r="G66" s="1"/>
  <c r="I42"/>
  <c r="I43" s="1"/>
  <c r="H42"/>
  <c r="H43" s="1"/>
  <c r="G43"/>
  <c r="M37" i="146"/>
  <c r="L37"/>
  <c r="I21" i="154"/>
  <c r="H21"/>
  <c r="F48" i="136"/>
  <c r="F50" s="1"/>
  <c r="E50"/>
  <c r="G36" i="122"/>
  <c r="G55" i="154"/>
  <c r="G25" i="122"/>
  <c r="E26" i="136"/>
  <c r="G30" i="154"/>
  <c r="F24" i="136"/>
  <c r="F26" s="1"/>
  <c r="M11" i="146"/>
  <c r="L11"/>
  <c r="E36" i="136"/>
  <c r="M32" i="146"/>
  <c r="Q9" l="1"/>
  <c r="K15"/>
  <c r="K59" s="1"/>
  <c r="I37" i="154"/>
  <c r="I38" s="1"/>
  <c r="I44" s="1"/>
  <c r="H37"/>
  <c r="H48"/>
  <c r="H50" s="1"/>
  <c r="H53" s="1"/>
  <c r="I48"/>
  <c r="I50" s="1"/>
  <c r="I53" s="1"/>
  <c r="G50"/>
  <c r="G53" s="1"/>
  <c r="F20" i="136"/>
  <c r="F59" s="1"/>
  <c r="H25" i="122"/>
  <c r="I25"/>
  <c r="I69" i="154"/>
  <c r="H28" i="122"/>
  <c r="I28"/>
  <c r="I21"/>
  <c r="H21"/>
  <c r="L14" i="146"/>
  <c r="H38" i="154"/>
  <c r="E59" i="136"/>
  <c r="I36" i="122"/>
  <c r="H36"/>
  <c r="H44" i="154"/>
  <c r="H69"/>
  <c r="I22"/>
  <c r="H22"/>
  <c r="H18" i="122"/>
  <c r="I18"/>
  <c r="G41"/>
  <c r="L38" i="146"/>
  <c r="H30" i="154"/>
  <c r="H31" s="1"/>
  <c r="H34" s="1"/>
  <c r="I30"/>
  <c r="I31" s="1"/>
  <c r="I34" s="1"/>
  <c r="G31"/>
  <c r="G34" s="1"/>
  <c r="H55"/>
  <c r="H56" s="1"/>
  <c r="H59" s="1"/>
  <c r="I55"/>
  <c r="I56" s="1"/>
  <c r="I59" s="1"/>
  <c r="G56"/>
  <c r="G59" s="1"/>
  <c r="G44"/>
  <c r="G69"/>
  <c r="H33" i="122"/>
  <c r="I33"/>
  <c r="H19" i="154"/>
  <c r="H23" s="1"/>
  <c r="I19"/>
  <c r="I23" s="1"/>
  <c r="G23"/>
  <c r="M38" i="146"/>
  <c r="M14"/>
  <c r="M15" s="1"/>
  <c r="M59" s="1"/>
  <c r="G38" i="154"/>
  <c r="S9" i="146" l="1"/>
  <c r="S13" s="1"/>
  <c r="T9"/>
  <c r="T13" s="1"/>
  <c r="Q13"/>
  <c r="Q21" s="1"/>
  <c r="H68" i="154"/>
  <c r="H71" s="1"/>
  <c r="H28"/>
  <c r="I68"/>
  <c r="I71" s="1"/>
  <c r="I28"/>
  <c r="R9" i="146"/>
  <c r="R13" s="1"/>
  <c r="L15"/>
  <c r="L59" s="1"/>
  <c r="I41" i="122"/>
  <c r="G68" i="154"/>
  <c r="G71" s="1"/>
  <c r="G28"/>
  <c r="H41" i="122"/>
  <c r="R21" i="146" l="1"/>
  <c r="R23" s="1"/>
  <c r="R25" s="1"/>
  <c r="S21"/>
  <c r="T21"/>
  <c r="Q23"/>
  <c r="T23" l="1"/>
  <c r="T25" s="1"/>
  <c r="Q25"/>
  <c r="S23"/>
  <c r="S25" s="1"/>
</calcChain>
</file>

<file path=xl/comments1.xml><?xml version="1.0" encoding="utf-8"?>
<comments xmlns="http://schemas.openxmlformats.org/spreadsheetml/2006/main">
  <authors>
    <author>Administrador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Administrador:</t>
        </r>
        <r>
          <rPr>
            <sz val="9"/>
            <color indexed="81"/>
            <rFont val="Tahoma"/>
            <family val="2"/>
          </rPr>
          <t xml:space="preserve">
Serão 4, distribuídos da seguinte forma: 
2 Recepção; 
1 Cejusc e 1 NIT.</t>
        </r>
      </text>
    </comment>
    <comment ref="F20" authorId="0">
      <text>
        <r>
          <rPr>
            <b/>
            <sz val="9"/>
            <color indexed="81"/>
            <rFont val="Tahoma"/>
            <family val="2"/>
          </rPr>
          <t>Administrador:</t>
        </r>
        <r>
          <rPr>
            <sz val="9"/>
            <color indexed="81"/>
            <rFont val="Tahoma"/>
            <family val="2"/>
          </rPr>
          <t xml:space="preserve">
1º de 7h às 12h
2º de 11h às 16h
Ambos começam pela compo e terminam nos banheiros</t>
        </r>
      </text>
    </comment>
  </commentList>
</comments>
</file>

<file path=xl/sharedStrings.xml><?xml version="1.0" encoding="utf-8"?>
<sst xmlns="http://schemas.openxmlformats.org/spreadsheetml/2006/main" count="6992" uniqueCount="685">
  <si>
    <t>A</t>
  </si>
  <si>
    <t>B</t>
  </si>
  <si>
    <t>C</t>
  </si>
  <si>
    <t>D</t>
  </si>
  <si>
    <t>Composição da Remuneração</t>
  </si>
  <si>
    <t>Valor (R$)</t>
  </si>
  <si>
    <t>E</t>
  </si>
  <si>
    <t>F</t>
  </si>
  <si>
    <t>G</t>
  </si>
  <si>
    <t>Intrajornada</t>
  </si>
  <si>
    <t>H</t>
  </si>
  <si>
    <t>Outros</t>
  </si>
  <si>
    <t>Insumos Diversos</t>
  </si>
  <si>
    <t>Materiais</t>
  </si>
  <si>
    <t>4.1</t>
  </si>
  <si>
    <t>%</t>
  </si>
  <si>
    <t>INCRA</t>
  </si>
  <si>
    <t>FGTS</t>
  </si>
  <si>
    <t>SEBRAE</t>
  </si>
  <si>
    <t>4.2</t>
  </si>
  <si>
    <t>13º Salário</t>
  </si>
  <si>
    <t>Subtotal</t>
  </si>
  <si>
    <t>Tributos</t>
  </si>
  <si>
    <t>C.1</t>
  </si>
  <si>
    <t>C.2</t>
  </si>
  <si>
    <t>C.3</t>
  </si>
  <si>
    <t>SECRETARIA ADMINISTRATIVA</t>
  </si>
  <si>
    <t>NÚCLEO DE ADMINISTRAÇÃO</t>
  </si>
  <si>
    <t>OBJETO:</t>
  </si>
  <si>
    <t>Nº DO PROCESSO:</t>
  </si>
  <si>
    <t>NOME DA PLANILHA:</t>
  </si>
  <si>
    <t>MODALIDADE DE LICITAÇÃO:</t>
  </si>
  <si>
    <t>PREGÃO ELETRÔNICO</t>
  </si>
  <si>
    <t>REGIME DE CONTRATAÇÃO:</t>
  </si>
  <si>
    <t>CONVENÇÃO COLETIVA UTILIZADA:</t>
  </si>
  <si>
    <t>OBSERVAÇÃO:</t>
  </si>
  <si>
    <t>VALOR MENSAL</t>
  </si>
  <si>
    <t>VALOR TOTAL/MÊS</t>
  </si>
  <si>
    <t>TOTAL CONTRATO</t>
  </si>
  <si>
    <t>VALOR ANUAL</t>
  </si>
  <si>
    <t>VALOR CONTRATO</t>
  </si>
  <si>
    <t>ITEM</t>
  </si>
  <si>
    <t>DESCRIÇÃO</t>
  </si>
  <si>
    <t>QUANTIDADE ANO</t>
  </si>
  <si>
    <t>Capa de chuva</t>
  </si>
  <si>
    <t>Fardamento</t>
  </si>
  <si>
    <t>COEFICIENTE</t>
  </si>
  <si>
    <t>VALOR</t>
  </si>
  <si>
    <t>VALOR/MÊS</t>
  </si>
  <si>
    <t>SISTEMA DE PREÇOS</t>
  </si>
  <si>
    <t>11457/ORSE</t>
  </si>
  <si>
    <t>10597/ORSE</t>
  </si>
  <si>
    <t>00941/ORSE</t>
  </si>
  <si>
    <t>11403/ORSE</t>
  </si>
  <si>
    <t>01599/ORSE</t>
  </si>
  <si>
    <t>01651/ORSE</t>
  </si>
  <si>
    <t>10599/ORSE</t>
  </si>
  <si>
    <t>TOTAL</t>
  </si>
  <si>
    <t>PREÇO GLOBAL</t>
  </si>
  <si>
    <t>DESCRIÇÃO DO OBJETO</t>
  </si>
  <si>
    <t>CUSTOS FIXOS</t>
  </si>
  <si>
    <t>(DE ACORDO COM A LEI 13.467/2017)</t>
  </si>
  <si>
    <t>Dia ___/___/20___, às ___:___ horas</t>
  </si>
  <si>
    <t>Discriminação dos Serviços (dados referentes à contratação):</t>
  </si>
  <si>
    <t>Data de apresentação da proposta (dia/mês/ano) - Revisão</t>
  </si>
  <si>
    <t>__/___/20____</t>
  </si>
  <si>
    <t>Município/UF</t>
  </si>
  <si>
    <t>Ano Acordo, Convenção ou Sentença Normativa em Dissídio Coletivo</t>
  </si>
  <si>
    <t>Nº de meses de execução contratual</t>
  </si>
  <si>
    <t>Local Sede do Serviço</t>
  </si>
  <si>
    <t>Tipo de serviço</t>
  </si>
  <si>
    <t>Unid</t>
  </si>
  <si>
    <t>Quant.</t>
  </si>
  <si>
    <t>POSTO</t>
  </si>
  <si>
    <t>1. MÓDULOS</t>
  </si>
  <si>
    <t>Mão-de-obra vinculada à execução contratual:</t>
  </si>
  <si>
    <t>Dados complementares para composição dos custos referente à mão de obra</t>
  </si>
  <si>
    <t>Tipo de serviço (mesmo serviço com características distintas)</t>
  </si>
  <si>
    <t>Classificação Brasileira de Ocupações (CBO)</t>
  </si>
  <si>
    <t>Salário Normativo da Categoria Profissional (Piso Salarial)</t>
  </si>
  <si>
    <t>Categoria profissional (Vinculada à execução contratual)</t>
  </si>
  <si>
    <t>Data base da categoria (dia/mês/ano)</t>
  </si>
  <si>
    <t>Percentual</t>
  </si>
  <si>
    <t>Valor</t>
  </si>
  <si>
    <t>Adicional de hora noturna reduzida</t>
  </si>
  <si>
    <t>Adicional de hora extra no feriado trabalhado</t>
  </si>
  <si>
    <t>2.1</t>
  </si>
  <si>
    <t xml:space="preserve">Subtotal </t>
  </si>
  <si>
    <t>2.2</t>
  </si>
  <si>
    <t>GPS, FGTS e outras contribuições</t>
  </si>
  <si>
    <t>Salário educação</t>
  </si>
  <si>
    <t>SESC ou SESI</t>
  </si>
  <si>
    <t>SENAI - SENAC</t>
  </si>
  <si>
    <t>2.3</t>
  </si>
  <si>
    <t>Benefícios mensiais e diários</t>
  </si>
  <si>
    <t>QUADRO-RESUMO DO MÓDULO 2 - ENCARGOS E BENEFÍCIOS ANUAIS, MENSAIS E DIÁRIOS</t>
  </si>
  <si>
    <t>Encargos e Benefícios Anuais, Mensais e Diários</t>
  </si>
  <si>
    <t>Benefícios Mensais e Diários</t>
  </si>
  <si>
    <t>Provisão para rescisão</t>
  </si>
  <si>
    <t>Ausências legais</t>
  </si>
  <si>
    <t>Intervalo para repouso ou alimentação</t>
  </si>
  <si>
    <t>QUADRO-RESUMO DO MÓDULO 4 - CUSTO DE REPOSIÇÃO DO PROFISSIONAL AUSENTE</t>
  </si>
  <si>
    <t>Custo de Reposição do Profissional Ausente</t>
  </si>
  <si>
    <t>MÓDULO 6: CUSTOS INDIRETOS, TRIBUTOS E LUCRO</t>
  </si>
  <si>
    <t>Custos Indiretos, Tributos e Lucros</t>
  </si>
  <si>
    <t>Tributos (incidentes sobre o Valor Total por Empregado)</t>
  </si>
  <si>
    <t>2. QUADRO-RESUMO DO CUSTO POR EMPREGADO</t>
  </si>
  <si>
    <t>Mão-de-obra vinculada à execução contratual (valor por empregado)</t>
  </si>
  <si>
    <t>Módulo 1 - Composição da Remuneração</t>
  </si>
  <si>
    <t>Módulo 2 - Encargos e Benefícios Anuais, Mensais e Diários</t>
  </si>
  <si>
    <t>Módulo 3 - Provisão para Rescisão</t>
  </si>
  <si>
    <t>Módulo 4 - Custo de reposição de Profissional Ausente</t>
  </si>
  <si>
    <t>Módulo 5 - Insumos Diversos</t>
  </si>
  <si>
    <t>Módulo 6 - Custos Indiretos, Tributos e Lucros</t>
  </si>
  <si>
    <t>Valor Total por Empregado</t>
  </si>
  <si>
    <t>3. QUADRO-RESUMO - VALOR MENSAL POR POSTO DE SERVIÇO</t>
  </si>
  <si>
    <t>Tipo do Serviço</t>
  </si>
  <si>
    <t>Valor por Empregado</t>
  </si>
  <si>
    <t>Empregados por Posto</t>
  </si>
  <si>
    <t>Valor por Posto</t>
  </si>
  <si>
    <t>Postos</t>
  </si>
  <si>
    <t>Valor Total do Serviço</t>
  </si>
  <si>
    <t>(A)</t>
  </si>
  <si>
    <t>(B)</t>
  </si>
  <si>
    <t>(C)</t>
  </si>
  <si>
    <t>(D) = (BxC)</t>
  </si>
  <si>
    <t>(E)</t>
  </si>
  <si>
    <t>(F) = (DxE)</t>
  </si>
  <si>
    <t>Valor Mensal dos Serviços</t>
  </si>
  <si>
    <t>4. QUADRO-DEMONSTRATIVO - VALOR PARCIAL DA PROPOSTA</t>
  </si>
  <si>
    <t>Descrição</t>
  </si>
  <si>
    <t>Valor por posto</t>
  </si>
  <si>
    <t>PLANILHA DE CUSTOS E FORMAÇÃO DE PREÇOS - IN 05/2017 - SEGES/MP</t>
  </si>
  <si>
    <t>MÊS DE REFERÊNCIA</t>
  </si>
  <si>
    <t>SEQ.</t>
  </si>
  <si>
    <t>GRUPO</t>
  </si>
  <si>
    <t>PLANILHA DE CUSTOS E FORMAÇÃO DE PREÇOS</t>
  </si>
  <si>
    <t>COPEIRA</t>
  </si>
  <si>
    <t>NATAL</t>
  </si>
  <si>
    <t>DESCRIÇÃO DO SERVIÇO</t>
  </si>
  <si>
    <t>Supervisão</t>
  </si>
  <si>
    <t>4101-05</t>
  </si>
  <si>
    <t>Exames de Admissão/Periódico/Demissional</t>
  </si>
  <si>
    <t>COMPOSIÇÃO DOS VALORES DE MÃO DE OBRA</t>
  </si>
  <si>
    <t>Licitação nº ___/2021 - ___________________</t>
  </si>
  <si>
    <r>
      <rPr>
        <b/>
        <sz val="10"/>
        <color indexed="56"/>
        <rFont val="Arial"/>
        <family val="2"/>
      </rPr>
      <t>MÓDULO 1:</t>
    </r>
    <r>
      <rPr>
        <b/>
        <sz val="10"/>
        <color indexed="8"/>
        <rFont val="Arial"/>
        <family val="2"/>
      </rPr>
      <t xml:space="preserve"> COMPOSIÇÃO DA REMUNERAÇÃO</t>
    </r>
  </si>
  <si>
    <r>
      <t xml:space="preserve">Salário Base - </t>
    </r>
    <r>
      <rPr>
        <b/>
        <sz val="10"/>
        <color indexed="56"/>
        <rFont val="Arial"/>
        <family val="2"/>
      </rPr>
      <t>CCT</t>
    </r>
  </si>
  <si>
    <r>
      <t>Adicional de Insalubridade -</t>
    </r>
    <r>
      <rPr>
        <b/>
        <sz val="10"/>
        <color indexed="56"/>
        <rFont val="Arial"/>
        <family val="2"/>
      </rPr>
      <t xml:space="preserve"> CCT e NR's</t>
    </r>
  </si>
  <si>
    <r>
      <t xml:space="preserve">Adicional Noturno - </t>
    </r>
    <r>
      <rPr>
        <b/>
        <sz val="10"/>
        <color indexed="56"/>
        <rFont val="Arial"/>
        <family val="2"/>
      </rPr>
      <t>CCT</t>
    </r>
  </si>
  <si>
    <r>
      <rPr>
        <b/>
        <sz val="10"/>
        <color indexed="56"/>
        <rFont val="Arial"/>
        <family val="2"/>
      </rPr>
      <t>Submódulo 2.2:</t>
    </r>
    <r>
      <rPr>
        <b/>
        <sz val="10"/>
        <color indexed="8"/>
        <rFont val="Arial"/>
        <family val="2"/>
      </rPr>
      <t xml:space="preserve"> Encargos previdenciários (GPS), FGTS e outras contribuições</t>
    </r>
  </si>
  <si>
    <r>
      <rPr>
        <b/>
        <sz val="10"/>
        <color indexed="56"/>
        <rFont val="Arial"/>
        <family val="2"/>
      </rPr>
      <t>Submódulo 2.3:</t>
    </r>
    <r>
      <rPr>
        <b/>
        <sz val="10"/>
        <color indexed="8"/>
        <rFont val="Arial"/>
        <family val="2"/>
      </rPr>
      <t xml:space="preserve"> Benefícios Mensais e Diários</t>
    </r>
  </si>
  <si>
    <r>
      <t xml:space="preserve">Transporte - </t>
    </r>
    <r>
      <rPr>
        <b/>
        <sz val="10"/>
        <color indexed="56"/>
        <rFont val="Arial"/>
        <family val="2"/>
      </rPr>
      <t xml:space="preserve">CCT e Lei  7418/1985 </t>
    </r>
  </si>
  <si>
    <r>
      <t xml:space="preserve">Auxílio-refeição/alimentação - </t>
    </r>
    <r>
      <rPr>
        <b/>
        <sz val="10"/>
        <color indexed="56"/>
        <rFont val="Arial"/>
        <family val="2"/>
      </rPr>
      <t>Claúsula 14ª CCT 2021</t>
    </r>
  </si>
  <si>
    <r>
      <t xml:space="preserve">Seguro de vida, invalidez e funeral - </t>
    </r>
    <r>
      <rPr>
        <b/>
        <sz val="10"/>
        <color indexed="56"/>
        <rFont val="Arial"/>
        <family val="2"/>
      </rPr>
      <t>CCT (Depende da empresa)</t>
    </r>
  </si>
  <si>
    <r>
      <rPr>
        <b/>
        <sz val="10"/>
        <color indexed="56"/>
        <rFont val="Arial"/>
        <family val="2"/>
      </rPr>
      <t>Submódulo 4.1:</t>
    </r>
    <r>
      <rPr>
        <b/>
        <sz val="10"/>
        <color indexed="8"/>
        <rFont val="Arial"/>
        <family val="2"/>
      </rPr>
      <t xml:space="preserve"> Ausências Legais</t>
    </r>
  </si>
  <si>
    <r>
      <rPr>
        <b/>
        <sz val="10"/>
        <color indexed="56"/>
        <rFont val="Arial"/>
        <family val="2"/>
      </rPr>
      <t>Submódulo 4.2:</t>
    </r>
    <r>
      <rPr>
        <b/>
        <sz val="10"/>
        <color indexed="8"/>
        <rFont val="Arial"/>
        <family val="2"/>
      </rPr>
      <t xml:space="preserve"> Intrajornada</t>
    </r>
  </si>
  <si>
    <r>
      <rPr>
        <sz val="10"/>
        <rFont val="Arial"/>
        <family val="2"/>
      </rPr>
      <t>Valor global da proposta (valor mensal do serviço x 36 meses</t>
    </r>
    <r>
      <rPr>
        <sz val="10"/>
        <color indexed="8"/>
        <rFont val="Arial"/>
        <family val="2"/>
      </rPr>
      <t>)</t>
    </r>
  </si>
  <si>
    <t>Identificação do Serviço</t>
  </si>
  <si>
    <t>MÓDULO 2: ENCARGOS E BENEFÍCIOS ANUAIS, MENSAIS E DIÁRIOS</t>
  </si>
  <si>
    <t>MÓDULO 3: PROVISÃO PARA RESCISÃO</t>
  </si>
  <si>
    <t>MÓDULO 4: CUSTO DE REPOSIÇÃO DO PROFISSIONAL AUSENTE</t>
  </si>
  <si>
    <t>MÓDULO 5: INSUMOS DIVERSOS</t>
  </si>
  <si>
    <t>COMPOSIÇÃO DE FARDAMENTOS E EPI´S</t>
  </si>
  <si>
    <t>INSS Empregador</t>
  </si>
  <si>
    <t>SAT - GIL/RAT</t>
  </si>
  <si>
    <t>RECEPCIONISTA</t>
  </si>
  <si>
    <t>VALOR UNITÁRIO</t>
  </si>
  <si>
    <t>PRAZO DE DURAÇÃO DO CONTRATO (MESES)</t>
  </si>
  <si>
    <t>PRAZO DO CONTRATO (MESES):</t>
  </si>
  <si>
    <t>SUB TOTAL 1</t>
  </si>
  <si>
    <t>SUB TOTAL 2</t>
  </si>
  <si>
    <t>SUB TOTAL 3</t>
  </si>
  <si>
    <t>SUB TOTAL 4</t>
  </si>
  <si>
    <t>SUB TOTAL 5</t>
  </si>
  <si>
    <t>SUB TOTAL 6</t>
  </si>
  <si>
    <t>FEV/2021-1</t>
  </si>
  <si>
    <t>COMPOSIÇÃO DOS PREÇOS DE FARDAMENTO E EPI - SUPERVISORES</t>
  </si>
  <si>
    <t>MÉTODO DE CÁLCULO</t>
  </si>
  <si>
    <t>1 luvas por semana</t>
  </si>
  <si>
    <t>2 máscaras por semana</t>
  </si>
  <si>
    <t>2 óculos por ano</t>
  </si>
  <si>
    <t>2 frascos por ano</t>
  </si>
  <si>
    <t>PESQUISA</t>
  </si>
  <si>
    <t>MAIO - 2021</t>
  </si>
  <si>
    <t>Luva Nitrílica Amarela com CA</t>
  </si>
  <si>
    <t>Protetor solar fps 30 com 120 ml  com CA</t>
  </si>
  <si>
    <t>Óculos branco proteção  com CA</t>
  </si>
  <si>
    <t>Máscara descartável (3m ou similar)  com CA</t>
  </si>
  <si>
    <t>Luva malha Pigmentada com CA</t>
  </si>
  <si>
    <t>Botina BI densidade com elástico, ref.: ECB 19, da Marluvas  com CA</t>
  </si>
  <si>
    <t>Bota de pvc preta, cano medio, sem forro</t>
  </si>
  <si>
    <t>36145/SINAPI</t>
  </si>
  <si>
    <t>2 botas por ano</t>
  </si>
  <si>
    <t>Touca Árabe</t>
  </si>
  <si>
    <t>2 toucas por ano</t>
  </si>
  <si>
    <t>COMPOSIÇÃO DE EQUIPAMENTOS E FERRAMENTAS</t>
  </si>
  <si>
    <t>UNID.</t>
  </si>
  <si>
    <t>QTE</t>
  </si>
  <si>
    <t>PREÇOS LEVANTADOS CESTA DE PREÇOS ACEITÁVEIS</t>
  </si>
  <si>
    <t>MÉDIA GERAL</t>
  </si>
  <si>
    <t>VALORES SANEADOS</t>
  </si>
  <si>
    <t>MÉDIA SANEADA</t>
  </si>
  <si>
    <t>MEDIANA</t>
  </si>
  <si>
    <t>DESVIO PADRÃO</t>
  </si>
  <si>
    <t>VALOR DETERMINADO</t>
  </si>
  <si>
    <t>VR GLOBAL MÁXIMO</t>
  </si>
  <si>
    <t>FONTE DE PESQUISA</t>
  </si>
  <si>
    <t>VR UNIT</t>
  </si>
  <si>
    <t>VR UNIT (R$)</t>
  </si>
  <si>
    <t xml:space="preserve">VALOR TOTAL DE REFERÊNCIA (R$): </t>
  </si>
  <si>
    <t>PREÇOS DE EQUIPAMENTOS E FERRAMENTAS</t>
  </si>
  <si>
    <t>VARIAÇÃO PERCENTUAL EM RELAÇÃO A MÉDIA GERAL (&gt;30%)</t>
  </si>
  <si>
    <t>Kit</t>
  </si>
  <si>
    <r>
      <t xml:space="preserve">Kit de banheiro - </t>
    </r>
    <r>
      <rPr>
        <b/>
        <sz val="10"/>
        <rFont val="Arial"/>
        <family val="2"/>
      </rPr>
      <t>Referência: DOBLO 50 L Braslímpia</t>
    </r>
  </si>
  <si>
    <t>Supervisor</t>
  </si>
  <si>
    <t>Assistência médica e familiar</t>
  </si>
  <si>
    <r>
      <t xml:space="preserve">Auxílio Saúde - </t>
    </r>
    <r>
      <rPr>
        <b/>
        <sz val="10"/>
        <color indexed="56"/>
        <rFont val="Arial"/>
        <family val="2"/>
      </rPr>
      <t>Claúsula 19ª CCT 2022</t>
    </r>
  </si>
  <si>
    <t>Férias</t>
  </si>
  <si>
    <t>Faxineiro</t>
  </si>
  <si>
    <t>Copeira</t>
  </si>
  <si>
    <t>Recepcionista</t>
  </si>
  <si>
    <t>Auxiliar de Serviços Gerais</t>
  </si>
  <si>
    <t>5134-25</t>
  </si>
  <si>
    <t>4221-05</t>
  </si>
  <si>
    <t>Gratificação de Auxiliar de Supervisão</t>
  </si>
  <si>
    <t>5143-20</t>
  </si>
  <si>
    <r>
      <t xml:space="preserve">Lavadora de pressão Lavadora de alta pressão 1.600 libras - </t>
    </r>
    <r>
      <rPr>
        <b/>
        <sz val="10"/>
        <rFont val="Arial"/>
        <family val="2"/>
      </rPr>
      <t xml:space="preserve">Referência: Fabricante: KARCHER - Modelo: HD585 </t>
    </r>
  </si>
  <si>
    <r>
      <t xml:space="preserve">Escada Doméstica em Alumínio 3 Degraus - </t>
    </r>
    <r>
      <rPr>
        <b/>
        <sz val="10"/>
        <rFont val="Arial"/>
        <family val="2"/>
      </rPr>
      <t>Referência: Modelo: ESCALLI-EAD3</t>
    </r>
  </si>
  <si>
    <t>DUTRA MÁQUINAS - INTERNET</t>
  </si>
  <si>
    <t>LOJA DO PROFISSIONAL - INTERNET</t>
  </si>
  <si>
    <t>RR MÁQUINAS - INTERNET</t>
  </si>
  <si>
    <t>IPC BRASIL - INTERNET</t>
  </si>
  <si>
    <t>COLAR - INTERNET</t>
  </si>
  <si>
    <t>Nº PREGÃO: 42020 / UASG: 160371</t>
  </si>
  <si>
    <t>PALÁCIO DAS FERRAMENTAS - INTERNET</t>
  </si>
  <si>
    <t>LOJA DO MECÂNICO - INTERNET</t>
  </si>
  <si>
    <t>KARCHER CENTER MAX - INTERNET</t>
  </si>
  <si>
    <t>MÉRITO COMERCIAL - INTERNET</t>
  </si>
  <si>
    <t>PIRES MARTINS - INTERNET</t>
  </si>
  <si>
    <t>ARG - INTERNET</t>
  </si>
  <si>
    <t>DANPLER - INTERNET</t>
  </si>
  <si>
    <t>CCS EQUIPAMENTOS - INTERNET</t>
  </si>
  <si>
    <t>DE A A Z SOLUÇÕES - INTERNET</t>
  </si>
  <si>
    <t>HIGISTORE - INTERNET</t>
  </si>
  <si>
    <t>DELUPO - INTERNET</t>
  </si>
  <si>
    <t>CASA SIMÕES - INTERNET</t>
  </si>
  <si>
    <t>LEROY MERLIN - INTERNET</t>
  </si>
  <si>
    <t>Nº PREGÃO: 12021 / UASG: 160140</t>
  </si>
  <si>
    <t>AMERICANAS - INTERNET</t>
  </si>
  <si>
    <t>GÁLATA - INTERNET</t>
  </si>
  <si>
    <t>ECLIPSE SUL - INTERNET</t>
  </si>
  <si>
    <t>ISMAFER FERRAMENTAS - INTERNET</t>
  </si>
  <si>
    <t>ASG</t>
  </si>
  <si>
    <t>LOCAL</t>
  </si>
  <si>
    <t>Nº LICITAÇÃO: 842417</t>
  </si>
  <si>
    <t>SUPER EPI - INTERNET</t>
  </si>
  <si>
    <t>UP MAIS - INTERNET</t>
  </si>
  <si>
    <t>LOJA ZEUS DO BRASIL - INTERNET</t>
  </si>
  <si>
    <t>DE PAULA EPIS - INTERNET</t>
  </si>
  <si>
    <t>Fardamentos e EPI´s</t>
  </si>
  <si>
    <t>Equipamentos e Ferramentas</t>
  </si>
  <si>
    <t>Adicional de Férias</t>
  </si>
  <si>
    <t>SERVIÇOS DE SUPERVISOR DE LIMPEZA (NATAL)</t>
  </si>
  <si>
    <t>COMPOSIÇÃO DOS PREÇOS DE FARDAMENTO E EPI - COPEIRAS</t>
  </si>
  <si>
    <t>COMPOSIÇÃO DOS PREÇOS DE FARDAMENTO E EPI - RECEPCIONISTAS</t>
  </si>
  <si>
    <r>
      <t>Incidência do FGTS sobre o aviso prévio indenizado</t>
    </r>
    <r>
      <rPr>
        <sz val="8"/>
        <color indexed="8"/>
        <rFont val="Arial"/>
        <family val="2"/>
      </rPr>
      <t xml:space="preserve"> (8% sobre o valor do aviso - </t>
    </r>
    <r>
      <rPr>
        <b/>
        <sz val="8"/>
        <color indexed="8"/>
        <rFont val="Arial"/>
        <family val="2"/>
      </rPr>
      <t>A</t>
    </r>
    <r>
      <rPr>
        <sz val="8"/>
        <color indexed="8"/>
        <rFont val="Arial"/>
        <family val="2"/>
      </rPr>
      <t>)</t>
    </r>
  </si>
  <si>
    <r>
      <t xml:space="preserve">Aviso prévio trabalhado </t>
    </r>
    <r>
      <rPr>
        <sz val="8"/>
        <color indexed="8"/>
        <rFont val="Arial"/>
        <family val="2"/>
      </rPr>
      <t>(7 dias de aviso / 30 dias / 12 meses)</t>
    </r>
  </si>
  <si>
    <r>
      <t xml:space="preserve">Cofins </t>
    </r>
    <r>
      <rPr>
        <sz val="8"/>
        <color indexed="8"/>
        <rFont val="Arial"/>
        <family val="2"/>
      </rPr>
      <t>(Conforme Nota Técnica 01/2013 CJF)</t>
    </r>
  </si>
  <si>
    <r>
      <t xml:space="preserve">PIS </t>
    </r>
    <r>
      <rPr>
        <sz val="8"/>
        <color indexed="8"/>
        <rFont val="Arial"/>
        <family val="2"/>
      </rPr>
      <t>(Conforme Nota Técnica 01/2013 CJF)</t>
    </r>
  </si>
  <si>
    <r>
      <t xml:space="preserve">ISS </t>
    </r>
    <r>
      <rPr>
        <sz val="8"/>
        <color indexed="8"/>
        <rFont val="Arial"/>
        <family val="2"/>
      </rPr>
      <t>(Conforme Nota Técnica 01/2013 CJF)</t>
    </r>
  </si>
  <si>
    <r>
      <t>Aviso prévio indenizado</t>
    </r>
    <r>
      <rPr>
        <sz val="8"/>
        <color indexed="8"/>
        <rFont val="Arial"/>
        <family val="2"/>
      </rPr>
      <t xml:space="preserve"> (1/12; 5,0% dos trabalhadores são demitidos sem solicitar)</t>
    </r>
  </si>
  <si>
    <t xml:space="preserve">VALOR RESIDUAL - 20% (R$): </t>
  </si>
  <si>
    <t xml:space="preserve">VALOR A SER DEPRECIADO (R$): </t>
  </si>
  <si>
    <t>Subtotal antes da incidência de proporcional de férias, 1/3 e 13º sobre custo de reposição</t>
  </si>
  <si>
    <r>
      <t>Proporcional de férias, 1/3 e 13º sobre custo de reposição (</t>
    </r>
    <r>
      <rPr>
        <b/>
        <sz val="10"/>
        <color indexed="8"/>
        <rFont val="Arial"/>
        <family val="2"/>
      </rPr>
      <t>exceto licença maternidade</t>
    </r>
    <r>
      <rPr>
        <sz val="10"/>
        <color indexed="8"/>
        <rFont val="Arial"/>
        <family val="2"/>
      </rPr>
      <t>)</t>
    </r>
  </si>
  <si>
    <t>Incidência do submódulo 2.2 sobre o custo de reposição</t>
  </si>
  <si>
    <r>
      <t>Multa do FGTS sobre o aviso prévio indenizado</t>
    </r>
    <r>
      <rPr>
        <sz val="8"/>
        <color indexed="8"/>
        <rFont val="Arial"/>
        <family val="2"/>
      </rPr>
      <t xml:space="preserve">  ( [1 + 2/12 + (1/3 x 1/12)] x 0,08 x 0,4 x 0,95)</t>
    </r>
  </si>
  <si>
    <r>
      <t xml:space="preserve">Incidência dos encargos do submódulo 2.2 sobre o aviso prévio trabalhado (Incidência Submódulo 2.2 em </t>
    </r>
    <r>
      <rPr>
        <b/>
        <sz val="9.5"/>
        <color indexed="8"/>
        <rFont val="Arial"/>
        <family val="2"/>
      </rPr>
      <t>D</t>
    </r>
    <r>
      <rPr>
        <sz val="9.5"/>
        <color indexed="8"/>
        <rFont val="Arial"/>
        <family val="2"/>
      </rPr>
      <t>)</t>
    </r>
  </si>
  <si>
    <t>13º Salário e adicional de férias</t>
  </si>
  <si>
    <r>
      <rPr>
        <b/>
        <sz val="10"/>
        <color indexed="56"/>
        <rFont val="Arial"/>
        <family val="2"/>
      </rPr>
      <t>Submódulo 2.1:</t>
    </r>
    <r>
      <rPr>
        <b/>
        <sz val="10"/>
        <color indexed="8"/>
        <rFont val="Arial"/>
        <family val="2"/>
      </rPr>
      <t xml:space="preserve"> 13º Salário e Adicional de Férias</t>
    </r>
  </si>
  <si>
    <r>
      <t>Submódulo 2.1:</t>
    </r>
    <r>
      <rPr>
        <b/>
        <sz val="10"/>
        <color indexed="8"/>
        <rFont val="Arial"/>
        <family val="2"/>
      </rPr>
      <t xml:space="preserve"> 13º Salário e Adicional de Férias</t>
    </r>
  </si>
  <si>
    <t>13º Salário e Adicional de Férias</t>
  </si>
  <si>
    <t>ORÇAMENTO ESTIMATIVO GLOBAL IDEAL</t>
  </si>
  <si>
    <t>Recepcionista - PDF e Assú</t>
  </si>
  <si>
    <r>
      <t xml:space="preserve">Adicional de Periculosidade - </t>
    </r>
    <r>
      <rPr>
        <b/>
        <sz val="10"/>
        <color indexed="56"/>
        <rFont val="Arial"/>
        <family val="2"/>
      </rPr>
      <t>CCT</t>
    </r>
  </si>
  <si>
    <t>Ausências por doenças</t>
  </si>
  <si>
    <t>Licença paternidade</t>
  </si>
  <si>
    <t>Afastamento maternidade</t>
  </si>
  <si>
    <t>Ausência por acidente de trabalho</t>
  </si>
  <si>
    <r>
      <t xml:space="preserve">Multa do FGTS sobre o aviso prévio trabalhado ( 0,08 x 0,4 x Aviso Prévio Trabalhado - </t>
    </r>
    <r>
      <rPr>
        <b/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)</t>
    </r>
  </si>
  <si>
    <r>
      <t xml:space="preserve">Multa do FGTS sobre o aviso prévio trabalhado ( 0,08 x 0,4 x Aviso Prévio Trabalhado - </t>
    </r>
    <r>
      <rPr>
        <b/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)</t>
    </r>
  </si>
  <si>
    <t>Camisa Social</t>
  </si>
  <si>
    <t>UND.</t>
  </si>
  <si>
    <t>Nº DO PREGÃO: 92021 / UASG: 550005</t>
  </si>
  <si>
    <t>Nº DO PREGÃO: 1582021 / UASG: 925373</t>
  </si>
  <si>
    <t>Nº DO PREGÃO: 22021 / UASG: 160106</t>
  </si>
  <si>
    <t>Nº DA DISPENSA DE LICITAÇÃO: 11/2021 / UASG: 160418</t>
  </si>
  <si>
    <t>Nº DO PREGÃO: 32021 / UASG: 160250</t>
  </si>
  <si>
    <t>C&amp;A - INTERNET</t>
  </si>
  <si>
    <t>ZATTINI - INTERNET</t>
  </si>
  <si>
    <t>BOM PANO - INTERNET</t>
  </si>
  <si>
    <t>NETSHOES - INTERNET</t>
  </si>
  <si>
    <t>Uniforme - Blazer</t>
  </si>
  <si>
    <t>DONNA MILA - INTERNET</t>
  </si>
  <si>
    <t>MARISA - INTERNET</t>
  </si>
  <si>
    <t>POSTHAUS - INTERNET</t>
  </si>
  <si>
    <t>Uniforme - Calça Social</t>
  </si>
  <si>
    <t>Nº DA DISPENSA DE LICITAÇÃO: 107/2021 / UASG: 160111</t>
  </si>
  <si>
    <t>Nº DA DISPENSA DE LICITAÇÃO: 18/2021 / UASG: 160471</t>
  </si>
  <si>
    <t>Nº DO PREGÃO: 12021 / UASG: 160038</t>
  </si>
  <si>
    <t>Nº DO PREGÃO: 42021 / UASG: 160005</t>
  </si>
  <si>
    <t>Sapato Social</t>
  </si>
  <si>
    <t>Nº DO PREGÃO: 282020 / UASG: 160113</t>
  </si>
  <si>
    <t>Nº DO PREGÃO: 62021 / UASG: 160517</t>
  </si>
  <si>
    <t>Nº DO PREGÃO: 102020 / UASG: 160058</t>
  </si>
  <si>
    <t>Nº DO PREGÃO: 102020 UASG: 160122</t>
  </si>
  <si>
    <t>Nº DA DISPENSA DE LICITAÇÃO: 24/2021 / UASG: 160068</t>
  </si>
  <si>
    <t>PODER JUDUCIÁRIO FEDERAL</t>
  </si>
  <si>
    <t>JUSTIÇA FEDERAL DE PRIMEIRO GRAU NO RIO GRANDE DO NORTE</t>
  </si>
  <si>
    <t>FARDAMENTO - CONTRATO DE LIMPEZA E APOIO</t>
  </si>
  <si>
    <t>PREÇOS LEVANTADOS</t>
  </si>
  <si>
    <r>
      <t xml:space="preserve">VARIAÇÃO PERCENTUAL EM RELAÇÃO A MÉDIA GERAL </t>
    </r>
    <r>
      <rPr>
        <b/>
        <sz val="10"/>
        <color indexed="10"/>
        <rFont val="Arial"/>
        <family val="2"/>
      </rPr>
      <t>(&gt;30%)</t>
    </r>
  </si>
  <si>
    <t>COMPOSIÇÃO</t>
  </si>
  <si>
    <t>PRAZO INICIAL (MESES):</t>
  </si>
  <si>
    <r>
      <t>Férias</t>
    </r>
    <r>
      <rPr>
        <sz val="9"/>
        <color indexed="8"/>
        <rFont val="Arial"/>
        <family val="2"/>
      </rPr>
      <t xml:space="preserve"> (1/12 x 100)</t>
    </r>
  </si>
  <si>
    <t xml:space="preserve">Lucro </t>
  </si>
  <si>
    <t xml:space="preserve">Custos Indiretos </t>
  </si>
  <si>
    <t>Lucro</t>
  </si>
  <si>
    <t>Custos Indiretos</t>
  </si>
  <si>
    <t>SETOR DE SERVIÇOS GERAIS</t>
  </si>
  <si>
    <t>0001305-55.2020.4.05.7400</t>
  </si>
  <si>
    <t>CONTRATAÇÃO DE  EMPRESA ESPECIALIZADA NA PRESTAÇÃO DE SERVIÇOS CONTINUADOS DE APOIO ADMINISTRATIVO E DE LIMPEZA, ASSEIO E CONSERVAÇÃO PREDIAL, COM DISPONIBILIZAÇÃO DE MÃO-DE-OBRA, PARA SEDE E SUBSEÇÕES JUDICIÁRIAS DA JUSTIÇA FEDERAL NA PARAÍBA.</t>
  </si>
  <si>
    <t>OBJETO: CONTRATAÇÃO DE  EMPRESA ESPECIALIZADA NA PRESTAÇÃO DE SERVIÇOS CONTINUADOS DE APOIO ADMINISTRATIVO E DE LIMPEZA, ASSEIO E CONSERVAÇÃO PREDIAL, COM DISPONIBILIZAÇÃO DE MÃO-DE-OBRA, PARA SEDE E SUBSEÇÕES JUDICIÁRIAS DA JUSTIÇA FEDERAL NA PARAÍBA.</t>
  </si>
  <si>
    <t>JOÃO PESSOA</t>
  </si>
  <si>
    <t>GUARABIRA</t>
  </si>
  <si>
    <t>CAMPINA GRANDE</t>
  </si>
  <si>
    <t>MONTEIRO</t>
  </si>
  <si>
    <t>PATOS</t>
  </si>
  <si>
    <t>SOUSA</t>
  </si>
  <si>
    <t>JARDINEIRO</t>
  </si>
  <si>
    <t>Supervisor Geral - João Pessoa</t>
  </si>
  <si>
    <t>João Pessoa PB</t>
  </si>
  <si>
    <t>PB000047/2021</t>
  </si>
  <si>
    <r>
      <t xml:space="preserve">Auxílio Saúde - </t>
    </r>
    <r>
      <rPr>
        <b/>
        <sz val="10"/>
        <color indexed="56"/>
        <rFont val="Arial"/>
        <family val="2"/>
      </rPr>
      <t>Claúsula 14ª CCT 2021</t>
    </r>
  </si>
  <si>
    <r>
      <t xml:space="preserve">Auxílio-refeição/alimentação - </t>
    </r>
    <r>
      <rPr>
        <b/>
        <sz val="10"/>
        <color indexed="56"/>
        <rFont val="Arial"/>
        <family val="2"/>
      </rPr>
      <t>Claúsula 14 CCT 2021</t>
    </r>
  </si>
  <si>
    <r>
      <t xml:space="preserve">Seguro de vida e auxílio funeral - </t>
    </r>
    <r>
      <rPr>
        <b/>
        <sz val="10"/>
        <color indexed="8"/>
        <rFont val="Arial"/>
        <family val="2"/>
      </rPr>
      <t xml:space="preserve">Claúsula 16 e 14 </t>
    </r>
    <r>
      <rPr>
        <b/>
        <sz val="10"/>
        <color indexed="56"/>
        <rFont val="Arial"/>
        <family val="2"/>
      </rPr>
      <t>CCT 2021 (R$ 5,00 + R$ 5,00)</t>
    </r>
  </si>
  <si>
    <r>
      <t xml:space="preserve">Exames de </t>
    </r>
    <r>
      <rPr>
        <b/>
        <sz val="10"/>
        <color indexed="10"/>
        <rFont val="Arial"/>
        <family val="2"/>
      </rPr>
      <t>Admissão</t>
    </r>
    <r>
      <rPr>
        <sz val="10"/>
        <color indexed="10"/>
        <rFont val="Arial"/>
        <family val="2"/>
      </rPr>
      <t>/Periódico/Demissional</t>
    </r>
  </si>
  <si>
    <t>CCT PB000047/2021</t>
  </si>
  <si>
    <t>Processo Administrativo nº 0001305-55.2020.4.05.7400</t>
  </si>
  <si>
    <t>ASG - JOÃO PESSOA</t>
  </si>
  <si>
    <t>ASG Insalubridade - JOÃO PESSOA</t>
  </si>
  <si>
    <t>ASG - GUARABIRA</t>
  </si>
  <si>
    <t>SERVIÇO DE LIMPEZA (JOÃO PESSOA)</t>
  </si>
  <si>
    <t>SERVIÇO DE SUPERVISOR ADMINISTRATIVO (JOÃO PESSOA)</t>
  </si>
  <si>
    <t>SERVIÇO DE LIMPEZA (GUARABIRA)</t>
  </si>
  <si>
    <t>SERVIÇO DE LIMPEZA COM INSALUBRIDADE (  JOÃO PESSOA  )</t>
  </si>
  <si>
    <t>ASG Insalubridade - CAMPINA GRANDE</t>
  </si>
  <si>
    <t>ASG Insalubridade - MONTEIRO</t>
  </si>
  <si>
    <t>ASG Insalubridade - PATOS</t>
  </si>
  <si>
    <t>SERVIÇOS DE LIMPEZA COM INSALUBRIDADE (PATOS)</t>
  </si>
  <si>
    <t>SERVIÇOS DE LIMPEZA (SOUSA)</t>
  </si>
  <si>
    <t>ASG - SOUSA</t>
  </si>
  <si>
    <t>ASG Insalubridade - SOUSA</t>
  </si>
  <si>
    <t>SERVIÇODE LIMPEZA  COM INSALUBRIDADE (CAMPINA GRANDE)
)</t>
  </si>
  <si>
    <t>SERVIÇOS DE LIMPEZA  COM INSALUBRIDADE (MONTEIRO)</t>
  </si>
  <si>
    <t>SERVIÇOS DE LIMPEZA COM INSALUBRIDADE (SOUSA)</t>
  </si>
  <si>
    <t>SERVIÇO DE COPEIRAGEM</t>
  </si>
  <si>
    <t>Copeiragem - JOÃO PESSOA</t>
  </si>
  <si>
    <t>Copeiragem - CAMPINA GRANDE</t>
  </si>
  <si>
    <t>SERVIÇOS DE COPEIRAGEM</t>
  </si>
  <si>
    <t>SERVIÇOS DE RECEPÇÃO (JOÃO PESSOA)</t>
  </si>
  <si>
    <t>Recepcionista - MONTEIRO</t>
  </si>
  <si>
    <t>SERVIÇOS DE RECEPÇÃO (MONTEIRO)</t>
  </si>
  <si>
    <t>Recepcionista - CAMPINA GRANDE</t>
  </si>
  <si>
    <t>SERVIÇOS DE RECEPÇAO (CAMPINA GRANDE)</t>
  </si>
  <si>
    <t>SERVIÇOS DE RECEPÇÃO (GUARABIRA)</t>
  </si>
  <si>
    <t>Recepcionista - GUARABIRA</t>
  </si>
  <si>
    <t>Recepcionista - JOÃO PESSOA</t>
  </si>
  <si>
    <t>Recepcionista - PATOS</t>
  </si>
  <si>
    <t>SERVIÇOS DE RECEPÇÃO (PATOS)</t>
  </si>
  <si>
    <t>Aux Limp Instalações Santitárias</t>
  </si>
  <si>
    <t>Outros (Gratificação de Supervisão Auxiliar)</t>
  </si>
  <si>
    <t>6220-10</t>
  </si>
  <si>
    <t>Jardinagem</t>
  </si>
  <si>
    <t>Jardineiro</t>
  </si>
  <si>
    <t>Jardineiro - JOÃO PESSOA</t>
  </si>
  <si>
    <t>SERVIÇOS DE JARDINAGEM (JOÃO PESSOA)</t>
  </si>
  <si>
    <t>Jardineiro - CAMPINA GRANDE</t>
  </si>
  <si>
    <t>SERVIÇOS DE JARDINAGEM (CAMPINA GRANDE)</t>
  </si>
  <si>
    <t>ASG - CAMPINA GRANDE</t>
  </si>
  <si>
    <t>SERVIÇO DE LIMPEZA (CAMPINA GRANDE)</t>
  </si>
  <si>
    <t>TOTAL GERAL</t>
  </si>
  <si>
    <r>
      <t xml:space="preserve">CONVENÇÕES COLETIVAS DE TRABALHO 2021/2021:
</t>
    </r>
    <r>
      <rPr>
        <b/>
        <sz val="10"/>
        <color indexed="8"/>
        <rFont val="Tahoma"/>
        <family val="2"/>
      </rPr>
      <t>PB000047/2021</t>
    </r>
    <r>
      <rPr>
        <sz val="10"/>
        <color indexed="8"/>
        <rFont val="Tahoma"/>
        <family val="2"/>
      </rPr>
      <t xml:space="preserve"> - SINDICATO DAS EMPRESAS DE ASSEIO E CONSERVAÇÃO DO ESTADO DA PARAÍBA SEAC-PB;
</t>
    </r>
    <r>
      <rPr>
        <b/>
        <sz val="10"/>
        <color indexed="8"/>
        <rFont val="Tahoma"/>
        <family val="2"/>
      </rPr>
      <t>PB000100/2021</t>
    </r>
    <r>
      <rPr>
        <sz val="10"/>
        <color indexed="8"/>
        <rFont val="Tahoma"/>
        <family val="2"/>
      </rPr>
      <t xml:space="preserve"> - SINDICATO DOS TRABALHADORES NAS EMPEMPRESAS PRESTADORAS DE SERVIÇOS EM CAMPINA GRANDE-PB</t>
    </r>
  </si>
  <si>
    <t>COMPOSIÇÃO DOS PREÇOS DE FARDAMENTO E EPI - ASG'S E JARDINEIRO</t>
  </si>
  <si>
    <t>Óculos branco proteção  e escuro com lente verde com CA</t>
  </si>
  <si>
    <t>4 jogos completos por ano</t>
  </si>
  <si>
    <t>2 botinas por ano</t>
  </si>
  <si>
    <t>1 capa de chuva por ano</t>
  </si>
  <si>
    <t>Kit de proteção para uso de roçadeira</t>
  </si>
  <si>
    <t>OUT - 2021</t>
  </si>
  <si>
    <t>Cinto duplo para uso de roçadeira</t>
  </si>
  <si>
    <t>1 kit por ano</t>
  </si>
  <si>
    <t>1 Cinto por ano</t>
  </si>
  <si>
    <t>MAGUALU - INTERNET</t>
  </si>
  <si>
    <t>Cinto colete ombro duplo profissional para uso de roçadeira</t>
  </si>
  <si>
    <t>AMARICANAS - INTERNET</t>
  </si>
  <si>
    <t>MERCADO LIVRE - INTERNET</t>
  </si>
  <si>
    <t>SOUB - INTERNET</t>
  </si>
  <si>
    <t>Kit segurança operador roçadeira</t>
  </si>
  <si>
    <t>AMERICANAS/VGATECNOLOGIA - INTERNET</t>
  </si>
  <si>
    <t>TECNOPONTO - INTERNET</t>
  </si>
  <si>
    <t>AMERICANAS/OLIST STORE - INTERNET</t>
  </si>
  <si>
    <r>
      <t xml:space="preserve">Roçadeira Eletríca com carretel de nylon e/ou lâmina, corte de grama, vegetação e acabamento, potência 1200W - 220V.
</t>
    </r>
    <r>
      <rPr>
        <b/>
        <sz val="10"/>
        <rFont val="Arial"/>
        <family val="2"/>
      </rPr>
      <t>Referência: Fabricante:
TRAPP - Modelo: MASTER 1000</t>
    </r>
  </si>
  <si>
    <t>MAGAZINE DANI - INTERNET</t>
  </si>
  <si>
    <t>CASAS BAHIA - INTERNET</t>
  </si>
  <si>
    <t>FERRAMENTAS CAMELO AZUL - INTERNET</t>
  </si>
  <si>
    <r>
      <t xml:space="preserve">Máquina de cortar grama 2 CV, 2500W e 220V, com botão trava de segurança, rodas traseiras maior, cabo ergonômico, base de aço, com cesto recolhedor.
</t>
    </r>
    <r>
      <rPr>
        <b/>
        <sz val="10"/>
        <rFont val="Arial"/>
        <family val="2"/>
      </rPr>
      <t>Referência: Fabricante:
TRAPP - Modelo: RM 80e</t>
    </r>
  </si>
  <si>
    <t>SUBMARINO - INTERNET</t>
  </si>
  <si>
    <t>CARREOUR - INTERNET</t>
  </si>
  <si>
    <r>
      <t xml:space="preserve">Triturador de resíduos orgânicos, potência 1,5cv, elétrico 220V monofásico, funil removível com trava de segurança, tratamento anticorrosivo e pintura poliéster polimerizado. Triturar galhos de até 1 polegada.
</t>
    </r>
    <r>
      <rPr>
        <b/>
        <sz val="10"/>
        <rFont val="Arial"/>
        <family val="2"/>
      </rPr>
      <t>Referência: Fabricante:
TRAPP - Modelo: TR-200</t>
    </r>
  </si>
  <si>
    <t>Agromáquinasonline - INTERNET</t>
  </si>
  <si>
    <t>AMERICANAS/RM FERRAMENTAS</t>
  </si>
  <si>
    <t>CANAL AGRÍCOLA - INTERNET</t>
  </si>
  <si>
    <t>CASAS BAHIA/PALÁCIO DAS FERRAMENTAS - INTERNET</t>
  </si>
  <si>
    <r>
      <t xml:space="preserve">Caixa de compostagem, capacidade entre 400 e 600 litros, para produção de adubo orgânico, em poliuretano altamente resistente, com abertura p/ ventilação e tampa com trava.
</t>
    </r>
    <r>
      <rPr>
        <b/>
        <sz val="10"/>
        <rFont val="Arial"/>
        <family val="2"/>
      </rPr>
      <t>Referência: Fabricante:
TRAPP - Modelo: CC 435l</t>
    </r>
  </si>
  <si>
    <t>AMERICANAS/ESTELA10 - INTERNET</t>
  </si>
  <si>
    <t>CASAS BAHIA/PRONTA REFORMA - INTERNET</t>
  </si>
  <si>
    <t>DSL MULTIMARCAS - INTERNET</t>
  </si>
  <si>
    <t>PIKOT SHOP - INTERNET</t>
  </si>
  <si>
    <t>CASAS BAHIA/CIDADE &amp; CAMPO - INTERNET</t>
  </si>
  <si>
    <r>
      <t xml:space="preserve">Conjunto Mop Pó profissional, 60 cm, base articulada multidirecional, cabo alumínio retrátil anodizado 1,40m, armação dobrável em poliprpileno e aço galvanizado 60cm x 10cm, com refil.
</t>
    </r>
    <r>
      <rPr>
        <b/>
        <sz val="10"/>
        <rFont val="Arial"/>
        <family val="2"/>
      </rPr>
      <t>Referência: Fabricante:
BRALIMPIA - Modelo: CJ60E</t>
    </r>
  </si>
  <si>
    <t>CASAS BAHIA/HIGISTORE - INTERNET</t>
  </si>
  <si>
    <t>MAGAZINE LUIZA/RR MÁQUINAS2 - INTERNET</t>
  </si>
  <si>
    <t>RJ EPI - INTERNET</t>
  </si>
  <si>
    <t>AMERICANAS/PROTA REFORMA</t>
  </si>
  <si>
    <t>FACILIMP - INTERNET</t>
  </si>
  <si>
    <r>
      <t xml:space="preserve">Pá Coletora com Manopla Ergométrica com Tampa e Mini Vassoura Nylon Tts
- Comprimento: 29 cm, Largura: 29 cm, Altura: 14 cm, Cabo alumínio: 70 cm e Mini vassoura nylon
</t>
    </r>
    <r>
      <rPr>
        <b/>
        <sz val="10"/>
        <rFont val="Arial"/>
        <family val="2"/>
      </rPr>
      <t xml:space="preserve">Fabricante: Bralimpia / TTS
Modelo: Profi MVPP502 / </t>
    </r>
  </si>
  <si>
    <t>CEPEL - INTERNET</t>
  </si>
  <si>
    <r>
      <t xml:space="preserve">Conjunto de Mop Spray, para áreas de saúde, com reservatório de 1 litro e refis super absorventes, composto por:
1 Cabo 1,40m c/ reservatório
1 Armação de 49cm
1 Refil Microfibra 49cm
</t>
    </r>
    <r>
      <rPr>
        <b/>
        <sz val="10"/>
        <rFont val="Arial"/>
        <family val="2"/>
      </rPr>
      <t>Referência: Fabricante:
BRALIMPIA - Modelo: BMPROF1</t>
    </r>
  </si>
  <si>
    <r>
      <t xml:space="preserve">Carro de mão, pintura eletrostática, ergonômico, borda reforçada, eixo em aço de alta resistência e bucha de nylon autolubrificante, caçamba  reforçada de 0,9mm (chapa 20), capacidade 65 litros, pneu com câmara 3.5/8".
</t>
    </r>
    <r>
      <rPr>
        <b/>
        <sz val="10"/>
        <rFont val="Arial"/>
        <family val="2"/>
      </rPr>
      <t>Fabricante: Tramontina.
Modelo: Extrafot 435</t>
    </r>
  </si>
  <si>
    <t>FERREIRA COSTA - INTERNET</t>
  </si>
  <si>
    <t>CARAJÁS HOME CENTER</t>
  </si>
  <si>
    <t>HIPERFER - INTERNET</t>
  </si>
  <si>
    <t>ULTRA MÁQUINAS - INTERNET</t>
  </si>
  <si>
    <r>
      <t xml:space="preserve">Pulverizador costal, manual, ergonômico e material resistente, válvula de registro com trava, haste de pulverização em fibra de vidro, alavanca metálica, empunhadura plástica, cinto com sistema de regulagem, capacidade 15  a 16 L
</t>
    </r>
    <r>
      <rPr>
        <b/>
        <sz val="10"/>
        <rFont val="Arial"/>
        <family val="2"/>
      </rPr>
      <t>Fabricante: TRAMONTINA, VONDER, JACTO...</t>
    </r>
  </si>
  <si>
    <t>INSTA AGRO -INTERNET</t>
  </si>
  <si>
    <t>AMARICANAS/ESTRELA 10</t>
  </si>
  <si>
    <t>FERRAMENTAS KENNEDY</t>
  </si>
  <si>
    <t>AMAZON - INTERNET</t>
  </si>
  <si>
    <r>
      <t xml:space="preserve">Jogo jarinagem 11 peças em aço carbono, plástico e boracha, conteúdo: 1 Tesoura para grama; 1 Tesoura para poda; 1 Sacho; 1 Borrifador; 2 Pás; 2 mini pás; 1 mini rastelo; 1 Foice pequena; 1 Maleta.
</t>
    </r>
    <r>
      <rPr>
        <b/>
        <sz val="10"/>
        <rFont val="Arial"/>
        <family val="2"/>
      </rPr>
      <t>Fabricante: Lugatools.
Modelo: BC008</t>
    </r>
    <r>
      <rPr>
        <sz val="10"/>
        <rFont val="Arial"/>
        <family val="2"/>
      </rPr>
      <t xml:space="preserve">
</t>
    </r>
  </si>
  <si>
    <t>AMAZON/LOJA STANDER - INTERNET</t>
  </si>
  <si>
    <t>COBASI - INTERNET</t>
  </si>
  <si>
    <t>ABC GARDEN - INTERNET</t>
  </si>
  <si>
    <r>
      <t xml:space="preserve">Conjunto de aplicador de cera,  composto por um balde aplicador fabricado em polipropileno, dois refis para a aplicação de cera, uma armação para acomodar o refil e um cabo de alumínio de 1,40m
</t>
    </r>
    <r>
      <rPr>
        <b/>
        <sz val="10"/>
        <rFont val="Arial"/>
        <family val="2"/>
      </rPr>
      <t xml:space="preserve">Fabricante: Bralimpia 
Modelo: Conjunto Finish </t>
    </r>
  </si>
  <si>
    <t>Qtde</t>
  </si>
  <si>
    <t>Marca</t>
  </si>
  <si>
    <t>Vlr Unit</t>
  </si>
  <si>
    <t>Total</t>
  </si>
  <si>
    <t>Equipamentos para Jardinagem</t>
  </si>
  <si>
    <t>TRAMONTINA</t>
  </si>
  <si>
    <t>AMAZON</t>
  </si>
  <si>
    <t>AMERICANAS</t>
  </si>
  <si>
    <t>Mangueira Flex PVC 3 Camadas 50 m</t>
  </si>
  <si>
    <t>Mangueira Flex PVC 3 Camadas 25 m</t>
  </si>
  <si>
    <t>Tesoura Serrilhada para Cerca Viva</t>
  </si>
  <si>
    <t>Serrote Poda 5 dentes p/polegada aço carb</t>
  </si>
  <si>
    <t>Podador Galhos Serrote Prof 11,5"/290mm</t>
  </si>
  <si>
    <t>Tesourão de poda tipo anvil aço com cabos extensíveis</t>
  </si>
  <si>
    <t>Sacho Coração aço com cabo madeira 60 cm</t>
  </si>
  <si>
    <t>Pá quadrada 472/20, cabo 71 cm e empunhadura</t>
  </si>
  <si>
    <t>Machadinha com Unha 450 g</t>
  </si>
  <si>
    <t>Vassoura 26 dentes (ancinho) cabo 120 cm</t>
  </si>
  <si>
    <t>Conjunto engates rápidos e hidropistola 4 pçs</t>
  </si>
  <si>
    <t>Conector engate rápido</t>
  </si>
  <si>
    <t>Enrolador de mangueira com rodinhas</t>
  </si>
  <si>
    <t>Enxadão estreito 2.5 em aço, cabo madeira 130 cm</t>
  </si>
  <si>
    <t>JPA</t>
  </si>
  <si>
    <t>CG</t>
  </si>
  <si>
    <t>GUA</t>
  </si>
  <si>
    <t>MON</t>
  </si>
  <si>
    <t>PTS</t>
  </si>
  <si>
    <t>SSA</t>
  </si>
  <si>
    <t>TRAMONTINA - INTERNET</t>
  </si>
  <si>
    <t>EXTRA/LOJA GIMBA - INTERNET</t>
  </si>
  <si>
    <t>ANT FERRAMENTAS - INTERNET</t>
  </si>
  <si>
    <t>MAGAZINE LUIZA/DD MÁQUINAS - INTERNET</t>
  </si>
  <si>
    <t>LF MÁQUINAS - INTERNET</t>
  </si>
  <si>
    <r>
      <t xml:space="preserve">O Aspirador profissional,  baixo ruído, potenciômetro, indicador de filtro cheio, filtro hepa.
Tenção 220 v; Potência 870 W; Aspiração 183 m³/h; Vácuo 24/2420 kPa/mmH²0; Potência sonora 76 Lw dB(A);Peso 9,1 kg
</t>
    </r>
    <r>
      <rPr>
        <b/>
        <sz val="10"/>
        <rFont val="Arial"/>
        <family val="2"/>
      </rPr>
      <t xml:space="preserve">Fabricante: IPC 
Modelo: LEO LUXO </t>
    </r>
  </si>
  <si>
    <t>MERCADO LIVRE / HAMYLOJAOFICIAL</t>
  </si>
  <si>
    <t>MAGAZINE LUIZA / HZSHOP</t>
  </si>
  <si>
    <t>AMERICANAS / OLIST</t>
  </si>
  <si>
    <t>SOUBARATO - INTERNET</t>
  </si>
  <si>
    <t>MERCADO LIVRE / HAMY MAGAZINE</t>
  </si>
  <si>
    <r>
      <t xml:space="preserve">Kit 10 Rádios Comunicadore Portáteis - completos com antena, bateria, carregador e clipe de cinto. 
</t>
    </r>
    <r>
      <rPr>
        <b/>
        <sz val="10"/>
        <rFont val="Arial"/>
        <family val="2"/>
      </rPr>
      <t>Referência: Fabricante: BAOFENG
Modelo: UV-9R</t>
    </r>
  </si>
  <si>
    <r>
      <t xml:space="preserve">Lavadora e Secadora de Piso - 
</t>
    </r>
    <r>
      <rPr>
        <b/>
        <sz val="10"/>
        <rFont val="Arial"/>
        <family val="2"/>
      </rPr>
      <t>Referência Karcher BD 50/50 C Classic</t>
    </r>
  </si>
  <si>
    <r>
      <t xml:space="preserve">Enceradeira Industrial - 
</t>
    </r>
    <r>
      <rPr>
        <b/>
        <sz val="10"/>
        <rFont val="Arial"/>
        <family val="2"/>
      </rPr>
      <t>Referência: CLEANER CL 350</t>
    </r>
  </si>
  <si>
    <r>
      <t xml:space="preserve">Lavadora de vidros através de água pura, através de um sistema de extensores para lavar vidros e com até 20 metros de altura. 
Possui motor elétrico e bomba pressurizadora. 
</t>
    </r>
    <r>
      <rPr>
        <b/>
        <sz val="10"/>
        <rFont val="Arial"/>
        <family val="2"/>
      </rPr>
      <t>Referência: KAPTA-16 IPC</t>
    </r>
  </si>
  <si>
    <r>
      <t xml:space="preserve">Kit Master de Limpeza de vidros
</t>
    </r>
    <r>
      <rPr>
        <b/>
        <sz val="10"/>
        <rFont val="Arial"/>
        <family val="2"/>
      </rPr>
      <t>Referência: Braslímpia
Modelo: Kit Master</t>
    </r>
  </si>
  <si>
    <r>
      <t xml:space="preserve">Lavadora de carpete e aspirador 27 litros 1.400 watts
</t>
    </r>
    <r>
      <rPr>
        <b/>
        <sz val="10"/>
        <rFont val="Arial"/>
        <family val="2"/>
      </rPr>
      <t>Referência: EA135 IPC</t>
    </r>
    <r>
      <rPr>
        <sz val="10"/>
        <rFont val="Arial"/>
        <family val="2"/>
      </rPr>
      <t xml:space="preserve"> ou</t>
    </r>
    <r>
      <rPr>
        <b/>
        <sz val="10"/>
        <rFont val="Arial"/>
        <family val="2"/>
      </rPr>
      <t xml:space="preserve"> Kärcher SE 4001</t>
    </r>
  </si>
  <si>
    <r>
      <t xml:space="preserve">Kit para limpeza profissional n° 3 Amarelo - NYKT03 - 
</t>
    </r>
    <r>
      <rPr>
        <b/>
        <sz val="10"/>
        <rFont val="Arial"/>
        <family val="2"/>
      </rPr>
      <t>Referência: Bralímpia</t>
    </r>
  </si>
  <si>
    <r>
      <t xml:space="preserve">Soprador de Folhas à Gasolina 4T 24,5CC + Kit Aspiração - 
</t>
    </r>
    <r>
      <rPr>
        <b/>
        <sz val="10"/>
        <rFont val="Arial"/>
        <family val="2"/>
      </rPr>
      <t>Referência: BHX2500</t>
    </r>
  </si>
  <si>
    <r>
      <t xml:space="preserve">Micro Lavadora e secadora de Operação a Pé - 
</t>
    </r>
    <r>
      <rPr>
        <b/>
        <sz val="10"/>
        <rFont val="Arial"/>
        <family val="2"/>
      </rPr>
      <t>Referência: LPTB01709 IPC</t>
    </r>
    <r>
      <rPr>
        <sz val="10"/>
        <rFont val="Arial"/>
        <family val="2"/>
      </rPr>
      <t xml:space="preserve"> ou </t>
    </r>
    <r>
      <rPr>
        <b/>
        <sz val="10"/>
        <rFont val="Arial"/>
        <family val="2"/>
      </rPr>
      <t>KARCHER BD 30/4 BATERIA LITHIUM</t>
    </r>
    <r>
      <rPr>
        <sz val="10"/>
        <rFont val="Arial"/>
        <family val="2"/>
      </rPr>
      <t xml:space="preserve"> ou</t>
    </r>
    <r>
      <rPr>
        <b/>
        <sz val="10"/>
        <rFont val="Arial"/>
        <family val="2"/>
      </rPr>
      <t xml:space="preserve"> ALFA MINI</t>
    </r>
  </si>
  <si>
    <r>
      <t xml:space="preserve">Equipamentos diversos para jardinagem, conforme descrito na planilha específica "Equip Jardinagem"
</t>
    </r>
    <r>
      <rPr>
        <b/>
        <sz val="10"/>
        <rFont val="Arial"/>
        <family val="2"/>
      </rPr>
      <t>Fabricante: TRAMONTINA</t>
    </r>
    <r>
      <rPr>
        <sz val="10"/>
        <rFont val="Arial"/>
        <family val="2"/>
      </rPr>
      <t xml:space="preserve">
</t>
    </r>
  </si>
  <si>
    <t>MERCADO LIVRE / VENDAS.SHOP</t>
  </si>
  <si>
    <r>
      <t xml:space="preserve">Rodo Combinado limpa vidros 25 cm 2 em 1 c/cabo extensor 3,1 M
</t>
    </r>
    <r>
      <rPr>
        <b/>
        <sz val="10"/>
        <rFont val="Arial"/>
        <family val="2"/>
      </rPr>
      <t>Referência: Branlímpia - CB150</t>
    </r>
  </si>
  <si>
    <t>AMERICANAS / VENDAS.SHOP</t>
  </si>
  <si>
    <t>MERCADO LIVRE / KIKA.STORE</t>
  </si>
  <si>
    <t>MERCADO LIVRE / FLEX_DISTRIBUIDORA</t>
  </si>
  <si>
    <r>
      <t xml:space="preserve">Varredeira mecânica, 3 escovas, sendo 2 laterais, produtividade 3000 m²/h
</t>
    </r>
    <r>
      <rPr>
        <b/>
        <sz val="10"/>
        <rFont val="Arial"/>
        <family val="2"/>
      </rPr>
      <t>Referência: Modelo: S6 TWIN - Fabricante: Karcher</t>
    </r>
  </si>
  <si>
    <t>CASAS BAHIA / VENDAS.SHOP</t>
  </si>
  <si>
    <t>MERCADO LIVRE / EURO BAZAR</t>
  </si>
  <si>
    <t>GIMBA - INTERNET</t>
  </si>
  <si>
    <t>UPMAIS - INTERNET</t>
  </si>
  <si>
    <t>Cinto de seguraça para trabalho em altura</t>
  </si>
  <si>
    <t>NOV - 2021</t>
  </si>
  <si>
    <t>Respirador para operações de pulverização.</t>
  </si>
  <si>
    <t>Capacete de segurança</t>
  </si>
  <si>
    <t>Cinto para trabalho em altura tipo paraquedista - serviço de jardinagem.</t>
  </si>
  <si>
    <t>EPIS ON LINE - INTERNET</t>
  </si>
  <si>
    <t>NA NET SUPRIMENTOS</t>
  </si>
  <si>
    <t>DIMENCIONAL - INTERNET</t>
  </si>
  <si>
    <t>Mascara Respiratória com 2 filtros p/ gases ácidos + Óculos.</t>
  </si>
  <si>
    <t>MAGALU / ETOOL FERRAMENTAS</t>
  </si>
  <si>
    <t>Capacete de proteção com suspensão e jugular</t>
  </si>
  <si>
    <t>MERCADO LIVRE - DAMISEGEPI</t>
  </si>
  <si>
    <t>CASAS BAHIA / PROTELOJA EPIS</t>
  </si>
  <si>
    <t>NET SUPRIMENTOS - INTERNET</t>
  </si>
  <si>
    <t>1 Respirador por ano</t>
  </si>
  <si>
    <t>1 Capacete por ano</t>
  </si>
  <si>
    <t>Outros (Gratificação Supervisão Geral 20% sobre o salário de supervisor)</t>
  </si>
  <si>
    <t>CONTRATAÇÃO DE SERVIÇOS DE APOIO ADMINISTRATIVO E DE LIMPEZA</t>
  </si>
  <si>
    <t>CIDADE</t>
  </si>
  <si>
    <t>GRUPO
ÚNICO / 
ATIVIDADE</t>
  </si>
  <si>
    <t>CBO</t>
  </si>
  <si>
    <t>CATEGORIA</t>
  </si>
  <si>
    <t>QTDE</t>
  </si>
  <si>
    <t>CARGA HORÁRIA
SEMANAL</t>
  </si>
  <si>
    <t>PISO
SALARIAL
CCT 2021</t>
  </si>
  <si>
    <t xml:space="preserve">SALÁRIO
BRUTO </t>
  </si>
  <si>
    <t>VALOR POR EMPREGADO
PROPORC QTDE HORAS</t>
  </si>
  <si>
    <t>TOTAL MENSAL</t>
  </si>
  <si>
    <t>TOTAL EM
12 MESES</t>
  </si>
  <si>
    <t>Qtde Atual</t>
  </si>
  <si>
    <t>Qtde Prop</t>
  </si>
  <si>
    <t>TOTAL 12 MESES</t>
  </si>
  <si>
    <t>TOTAL 24 MESES</t>
  </si>
  <si>
    <t>TOTAL 36 MESES</t>
  </si>
  <si>
    <t>APOIO ADM</t>
  </si>
  <si>
    <t>Sede I</t>
  </si>
  <si>
    <t>APOIO ADM 2022</t>
  </si>
  <si>
    <r>
      <t xml:space="preserve">Supervisor(a) Geral
</t>
    </r>
    <r>
      <rPr>
        <b/>
        <sz val="8"/>
        <color indexed="10"/>
        <rFont val="Calibri"/>
        <family val="2"/>
      </rPr>
      <t>(Gratificação 20%)</t>
    </r>
  </si>
  <si>
    <t>LIMPEZA 2022</t>
  </si>
  <si>
    <t>SUBTOTAL</t>
  </si>
  <si>
    <t>LIMPEZA</t>
  </si>
  <si>
    <r>
      <t xml:space="preserve">ALIS </t>
    </r>
    <r>
      <rPr>
        <sz val="8"/>
        <color indexed="10"/>
        <rFont val="Calibri"/>
        <family val="2"/>
      </rPr>
      <t>Insalubridade 40%</t>
    </r>
  </si>
  <si>
    <r>
      <t>ASG</t>
    </r>
    <r>
      <rPr>
        <sz val="8"/>
        <color indexed="10"/>
        <rFont val="Calibri"/>
        <family val="2"/>
      </rPr>
      <t xml:space="preserve"> Insalubridade 10%</t>
    </r>
  </si>
  <si>
    <t>TOTAL ATUAL DE LIMPEZA E MANUTENÇÃO EM 2021</t>
  </si>
  <si>
    <t>TOTAL PROPOSTO MÊS DE APOIO ADM E LIMP 2022</t>
  </si>
  <si>
    <t>TOTAL PROPOSTO MÊS DE MANUTENÇÃO 2022</t>
  </si>
  <si>
    <t>Obs 1.: Insalubridade ilustrativa para cotação de preços! O percentual será definido pela contratada após laudos peiciais (CCT2021), considerando ambiente e carga horária efetiva de exposição.</t>
  </si>
  <si>
    <t>TOTAL GERAL PROPOSTO PARA 2022</t>
  </si>
  <si>
    <t>LIMITE MÁXIMO TOTAL 2022</t>
  </si>
  <si>
    <t xml:space="preserve">SALÁRIO P/
CARGA HORA + GRATIFICAÇÃO </t>
  </si>
  <si>
    <r>
      <rPr>
        <b/>
        <sz val="11"/>
        <color indexed="8"/>
        <rFont val="Calibri"/>
        <family val="2"/>
      </rPr>
      <t>GUARABIRA</t>
    </r>
    <r>
      <rPr>
        <sz val="11"/>
        <color theme="1"/>
        <rFont val="Calibri"/>
        <family val="2"/>
        <scheme val="minor"/>
      </rPr>
      <t xml:space="preserve">
Subseção Judiciária</t>
    </r>
  </si>
  <si>
    <t>Sede</t>
  </si>
  <si>
    <r>
      <t xml:space="preserve">Recepcionista
</t>
    </r>
    <r>
      <rPr>
        <sz val="8"/>
        <color indexed="10"/>
        <rFont val="Calibri"/>
        <family val="2"/>
      </rPr>
      <t>Supervisora Auxiliar (gratific 220,00)</t>
    </r>
  </si>
  <si>
    <r>
      <t>ASG</t>
    </r>
    <r>
      <rPr>
        <sz val="8"/>
        <color indexed="8"/>
        <rFont val="Calibri"/>
        <family val="2"/>
      </rPr>
      <t xml:space="preserve"> </t>
    </r>
    <r>
      <rPr>
        <sz val="8"/>
        <color indexed="10"/>
        <rFont val="Calibri"/>
        <family val="2"/>
      </rPr>
      <t>Insalubridade 10%</t>
    </r>
  </si>
  <si>
    <t>Obs.: Insalubridade ilustrativa para cotação de preços! O percentual será definido pela contratada após laudos periciais (CCT2021), considerando ambiente e carga horária efetiva em banheiros.</t>
  </si>
  <si>
    <r>
      <rPr>
        <b/>
        <sz val="11"/>
        <color indexed="8"/>
        <rFont val="Calibri"/>
        <family val="2"/>
      </rPr>
      <t>CAMPINA GRANDE</t>
    </r>
    <r>
      <rPr>
        <sz val="11"/>
        <color theme="1"/>
        <rFont val="Calibri"/>
        <family val="2"/>
        <scheme val="minor"/>
      </rPr>
      <t xml:space="preserve">
Subseção Judiciária
Sede e Anexo</t>
    </r>
  </si>
  <si>
    <t>Sede/Anexo</t>
  </si>
  <si>
    <r>
      <t>ALIS</t>
    </r>
    <r>
      <rPr>
        <sz val="8"/>
        <color indexed="8"/>
        <rFont val="Calibri"/>
        <family val="2"/>
      </rPr>
      <t xml:space="preserve"> </t>
    </r>
    <r>
      <rPr>
        <sz val="8"/>
        <color indexed="10"/>
        <rFont val="Calibri"/>
        <family val="2"/>
      </rPr>
      <t>Insalubridade 40%</t>
    </r>
  </si>
  <si>
    <r>
      <rPr>
        <b/>
        <sz val="11"/>
        <color indexed="8"/>
        <rFont val="Calibri"/>
        <family val="2"/>
      </rPr>
      <t>MONTEIRO</t>
    </r>
    <r>
      <rPr>
        <sz val="11"/>
        <color theme="1"/>
        <rFont val="Calibri"/>
        <family val="2"/>
        <scheme val="minor"/>
      </rPr>
      <t xml:space="preserve">
Subseção Judiciária</t>
    </r>
  </si>
  <si>
    <r>
      <t xml:space="preserve">ASG </t>
    </r>
    <r>
      <rPr>
        <sz val="8"/>
        <color indexed="10"/>
        <rFont val="Calibri"/>
        <family val="2"/>
      </rPr>
      <t>Insalubridade 10%</t>
    </r>
  </si>
  <si>
    <r>
      <rPr>
        <b/>
        <sz val="11"/>
        <color indexed="8"/>
        <rFont val="Calibri"/>
        <family val="2"/>
      </rPr>
      <t>PATOS</t>
    </r>
    <r>
      <rPr>
        <sz val="11"/>
        <color theme="1"/>
        <rFont val="Calibri"/>
        <family val="2"/>
        <scheme val="minor"/>
      </rPr>
      <t xml:space="preserve">
Subseção Judiciária</t>
    </r>
  </si>
  <si>
    <r>
      <t>Recepcionista</t>
    </r>
    <r>
      <rPr>
        <sz val="10"/>
        <color indexed="8"/>
        <rFont val="Calibri"/>
        <family val="2"/>
      </rPr>
      <t xml:space="preserve">
</t>
    </r>
    <r>
      <rPr>
        <sz val="8"/>
        <color indexed="10"/>
        <rFont val="Calibri"/>
        <family val="2"/>
      </rPr>
      <t>Supervisora Auxiliar (gratific 220,00)</t>
    </r>
  </si>
  <si>
    <t>Obs 1.: Insalubridade ilustrativa para cotação de preços! O percentual será definido pela contratada após laudos periciais (CCT2021), considerando ambiente e carga horária efetiva em banheiros.</t>
  </si>
  <si>
    <t>Obs 2.: A Subseção de Patos está em reforma para aumentar a área atual em uns 300 m2, não ultrapassando o total de 900 m2. O quantitativo de ASG continua o mesmo 1 terceirizado.</t>
  </si>
  <si>
    <r>
      <rPr>
        <b/>
        <sz val="11"/>
        <color indexed="8"/>
        <rFont val="Calibri"/>
        <family val="2"/>
      </rPr>
      <t>SOUSA</t>
    </r>
    <r>
      <rPr>
        <sz val="11"/>
        <color theme="1"/>
        <rFont val="Calibri"/>
        <family val="2"/>
        <scheme val="minor"/>
      </rPr>
      <t xml:space="preserve">
Subseção Judiciária</t>
    </r>
  </si>
  <si>
    <t>ASG COM INSALUBRIDADE 10%</t>
  </si>
  <si>
    <t>ALIS COM INSALUBRIDADE 40%</t>
  </si>
  <si>
    <t>SUPERVISOR GERAL GRATIFICAÇÃO 20%</t>
  </si>
  <si>
    <t>RECEPCIONISTA - SUPERV AUX GRAT R$ 220,00</t>
  </si>
  <si>
    <t>ROYAL MAQUINAS - INTERNET</t>
  </si>
  <si>
    <t>CS FERRAMENTAS - INTERNET</t>
  </si>
  <si>
    <t>AMERICANAS / RM ESCADAS</t>
  </si>
  <si>
    <r>
      <t xml:space="preserve">Escada Articulada 4x4 alumínio/Aço com Plataforma, dobrável e multifuncional - </t>
    </r>
    <r>
      <rPr>
        <b/>
        <sz val="10"/>
        <rFont val="Arial"/>
        <family val="2"/>
      </rPr>
      <t>Referência: Modelo: MOR, VONDER, LAR &amp; LAZER</t>
    </r>
  </si>
  <si>
    <r>
      <t xml:space="preserve">Relógio de Ponto com identificação biométrica, com software de gestão, livre acesso aos dados registrados.  Homologado pelo Ministério do Trabalho e Emprego (MTE) e certificado pelo INMETRO.
</t>
    </r>
    <r>
      <rPr>
        <b/>
        <sz val="10"/>
        <rFont val="Arial"/>
        <family val="2"/>
      </rPr>
      <t>Referência: Fabricante:
Control iD - Modelo: REP iD Class</t>
    </r>
    <r>
      <rPr>
        <sz val="10"/>
        <rFont val="Arial"/>
        <family val="2"/>
      </rPr>
      <t xml:space="preserve"> </t>
    </r>
  </si>
  <si>
    <t/>
  </si>
  <si>
    <t>CONSUMO MÉDIO DO VEÍCULO DE REFERÊNCIA</t>
  </si>
  <si>
    <t>PREÇO MÉDIO DO LITRO DE COMBUSTÍVEL</t>
  </si>
  <si>
    <t>PREÇO DE LOCAÇÃO DIÁRIA DE VEÍCULO</t>
  </si>
  <si>
    <r>
      <t xml:space="preserve">SAÍDA DE </t>
    </r>
    <r>
      <rPr>
        <b/>
        <sz val="11"/>
        <color indexed="8"/>
        <rFont val="Arial"/>
        <family val="2"/>
      </rPr>
      <t>JOÃO PESSOA</t>
    </r>
  </si>
  <si>
    <t>QUANTIDADE DE PROFISSIONAIS</t>
  </si>
  <si>
    <t>DIAS C/ PERNOITE</t>
  </si>
  <si>
    <t>ROTA</t>
  </si>
  <si>
    <t>JPA - Guarabira - CG - Patos - Sousa - Monteiro - JPA</t>
  </si>
  <si>
    <r>
      <t xml:space="preserve">PERCURSO </t>
    </r>
    <r>
      <rPr>
        <sz val="10"/>
        <color indexed="8"/>
        <rFont val="Arial"/>
        <family val="2"/>
      </rPr>
      <t>(IDA E VOLTA)</t>
    </r>
  </si>
  <si>
    <t>LOCAÇÃO DE VEÍCULO</t>
  </si>
  <si>
    <t>COMBUSTÍVEL</t>
  </si>
  <si>
    <t>REFEIÇÃO</t>
  </si>
  <si>
    <t>HOSPEDAGEM</t>
  </si>
  <si>
    <t>TOTAL DESLOCAMENTO PREVENTIVO ANUAL</t>
  </si>
  <si>
    <t>PERIODICIDADE</t>
  </si>
  <si>
    <t>DESCRIÇÃO DO CUSTO INDIRETO</t>
  </si>
  <si>
    <t>BIMESTRAL</t>
  </si>
  <si>
    <r>
      <t xml:space="preserve">Outros </t>
    </r>
    <r>
      <rPr>
        <sz val="10"/>
        <color indexed="12"/>
        <rFont val="Arial"/>
        <family val="2"/>
      </rPr>
      <t>(Gratificação Supervisor Auxiliar)</t>
    </r>
  </si>
  <si>
    <t>ASG FUNC SUPERV AUX GRAT R$ 220,00</t>
  </si>
  <si>
    <t>TOTAL EM 12 MESES</t>
  </si>
  <si>
    <t>Sede I e DCT</t>
  </si>
  <si>
    <r>
      <t xml:space="preserve">Recepcionista 
</t>
    </r>
    <r>
      <rPr>
        <sz val="8"/>
        <color indexed="10"/>
        <rFont val="Calibri"/>
        <family val="2"/>
      </rPr>
      <t>Supervisora Auxiliar (gratific 220,00)</t>
    </r>
  </si>
  <si>
    <t>DCT</t>
  </si>
  <si>
    <t>Obs 2 .: Recepcionista serão distribuídas: 2 Recepção; 1 Cejusc;  e 1 Perícia.</t>
  </si>
  <si>
    <r>
      <t>ASG</t>
    </r>
    <r>
      <rPr>
        <sz val="10"/>
        <color indexed="10"/>
        <rFont val="Calibri"/>
        <family val="2"/>
      </rPr>
      <t/>
    </r>
  </si>
  <si>
    <t>TOTAL PROPOSTO PARA 2022</t>
  </si>
  <si>
    <t>Redução IN 05/2017</t>
  </si>
  <si>
    <t xml:space="preserve">Redução </t>
  </si>
  <si>
    <r>
      <rPr>
        <b/>
        <sz val="10"/>
        <color indexed="8"/>
        <rFont val="Calibri"/>
        <family val="2"/>
      </rPr>
      <t>ASG</t>
    </r>
    <r>
      <rPr>
        <sz val="8"/>
        <color indexed="10"/>
        <rFont val="Calibri"/>
        <family val="2"/>
      </rPr>
      <t xml:space="preserve"> 
Supervisora Auxiliar (gratific 220,00)</t>
    </r>
  </si>
  <si>
    <r>
      <rPr>
        <b/>
        <sz val="11"/>
        <color indexed="8"/>
        <rFont val="Calibri"/>
        <family val="2"/>
      </rPr>
      <t>JOÃO PESSOA</t>
    </r>
    <r>
      <rPr>
        <sz val="11"/>
        <color theme="1"/>
        <rFont val="Calibri"/>
        <family val="2"/>
        <scheme val="minor"/>
      </rPr>
      <t xml:space="preserve">
Seção Judiciária
Sede e Anexos Gaopão do Arquivo e Salas no DCT</t>
    </r>
  </si>
  <si>
    <t>TOTAL EM
36 MESES</t>
  </si>
  <si>
    <t>JFPB</t>
  </si>
  <si>
    <t>SUBTOTAL JOÃO PESSOA</t>
  </si>
  <si>
    <t>SUBTOTAL GUARABIRA</t>
  </si>
  <si>
    <t>SUBTOTAL CAMPINA GRANDE</t>
  </si>
  <si>
    <t>SUBTOTAL MONTEIRO</t>
  </si>
  <si>
    <t>SUBTOTAL PATOS</t>
  </si>
  <si>
    <t>SUBTOTAL SOUSA</t>
  </si>
  <si>
    <t>DESLOCAMENTO DO SUPERVISOR ÀS SUBSEÇÕES PARA ORIENTAÇÃO, COORDENAÇÃO E FISCALIZAÇÃO</t>
  </si>
  <si>
    <t>SALDO POSITIVO - PARA MATERIAL DE LIMPEZA</t>
  </si>
  <si>
    <t>LDI</t>
  </si>
  <si>
    <t xml:space="preserve">VALOR TOTAL DE MANUTENÇÃO / REPOSIÇÃO (0,5%/MÊS) (R$): </t>
  </si>
  <si>
    <r>
      <t>VALOR POR ASG'S 27 + JARD 2 = (</t>
    </r>
    <r>
      <rPr>
        <b/>
        <sz val="10"/>
        <color indexed="10"/>
        <rFont val="Arial"/>
        <family val="2"/>
      </rPr>
      <t xml:space="preserve">30 </t>
    </r>
    <r>
      <rPr>
        <b/>
        <sz val="10"/>
        <color indexed="10"/>
        <rFont val="Arial"/>
        <family val="2"/>
      </rPr>
      <t>FUNCIONÁRIOS</t>
    </r>
    <r>
      <rPr>
        <b/>
        <sz val="10"/>
        <rFont val="Arial"/>
        <family val="2"/>
      </rPr>
      <t xml:space="preserve">) (R$): </t>
    </r>
  </si>
  <si>
    <t>DESLOCAMENTOS PREVENTIVOS BIMESTRAIS</t>
  </si>
  <si>
    <t>Obs.: Considerou-se vida útil média de 5 anos e valor residual de 20%.</t>
  </si>
  <si>
    <t xml:space="preserve">(Tx mensal depreciação 1,67%) + (Tx mensal de manut e reposição 5%) = VALOR TOTAL POR MÊS (R$): </t>
  </si>
  <si>
    <t>Taxa mensal de depreciação:</t>
  </si>
  <si>
    <t>Obs.: Conforme descrito no Anexo 8 do EPT, cujos detalhes podem ser revistos entre a fiscalização e a Contratada.</t>
  </si>
  <si>
    <t>Uniforme - Camisa Social</t>
  </si>
  <si>
    <t>Avental impermeável, para lavagem, proteção EPI</t>
  </si>
  <si>
    <t>AMARICANAS/MORATH - INTERNET</t>
  </si>
  <si>
    <t>CAPITAL EQUIPAMENTOS - INTERNET</t>
  </si>
  <si>
    <t>Avental de proteção</t>
  </si>
  <si>
    <t>6 aventais por ano</t>
  </si>
  <si>
    <t>MAI/2021-1</t>
  </si>
  <si>
    <t>MAI/2021</t>
  </si>
  <si>
    <t>OUT/2021</t>
  </si>
  <si>
    <t>mai/2021-1</t>
  </si>
  <si>
    <r>
      <t xml:space="preserve">TOTAIS C/ LDI </t>
    </r>
    <r>
      <rPr>
        <sz val="11"/>
        <color indexed="8"/>
        <rFont val="Arial"/>
        <family val="2"/>
      </rPr>
      <t>- BIMESTRAL</t>
    </r>
  </si>
  <si>
    <t>TOTAIS S/ LDI - BIMESTRAL</t>
  </si>
  <si>
    <r>
      <t>OBS 1.: Os deslocamentos globais acima referenciados, a serem realizados pelo</t>
    </r>
    <r>
      <rPr>
        <b/>
        <sz val="8"/>
        <color indexed="8"/>
        <rFont val="Arial"/>
        <family val="2"/>
      </rPr>
      <t xml:space="preserve"> Supervisor Geral</t>
    </r>
    <r>
      <rPr>
        <sz val="8"/>
        <color indexed="8"/>
        <rFont val="Arial"/>
        <family val="2"/>
      </rPr>
      <t xml:space="preserve"> responsável da empresa contratada, consideram uma periodicidade </t>
    </r>
    <r>
      <rPr>
        <b/>
        <sz val="8"/>
        <color indexed="8"/>
        <rFont val="Arial"/>
        <family val="2"/>
      </rPr>
      <t>bimestral</t>
    </r>
    <r>
      <rPr>
        <sz val="8"/>
        <color indexed="8"/>
        <rFont val="Arial"/>
        <family val="2"/>
      </rPr>
      <t xml:space="preserve">, a fim de viabilizar a inspeção em caráter preventivo aos sistemas que compõem os prédios da Justiça Federal na Paraíba. </t>
    </r>
  </si>
  <si>
    <t>OBS 2.: O LDI está com o percentual do DBI tendo em vista a instabilidade dos preços dos combustíveis neste ano de 2021.</t>
  </si>
  <si>
    <t>OBS 3.: Estes valosres já constam na planilha de composição de custos e formação de preços.</t>
  </si>
  <si>
    <t>NOVEMBRO DE 2021</t>
  </si>
  <si>
    <t>MOVEMBRO DE 2021</t>
  </si>
  <si>
    <t>CUSTOS COM DESLOCAMENTO DA SUPERVISÃO</t>
  </si>
  <si>
    <t>DISTRIBUIÇÃO DOS TERCEIRIZADOS POR UNIDADE JUDICIÁRIA</t>
  </si>
  <si>
    <t>Referência</t>
  </si>
  <si>
    <r>
      <t xml:space="preserve">Contratação de  empresa especializada na prestação de limpeza, asseio e conservação predial, com disponibilização de mão-de-obra (mensalista)
</t>
    </r>
    <r>
      <rPr>
        <b/>
        <sz val="10"/>
        <color indexed="8"/>
        <rFont val="Tahoma"/>
        <family val="2"/>
      </rPr>
      <t>CATSER - 25194</t>
    </r>
    <r>
      <rPr>
        <sz val="10"/>
        <color indexed="8"/>
        <rFont val="Tahoma"/>
        <family val="2"/>
      </rPr>
      <t xml:space="preserve">
</t>
    </r>
  </si>
  <si>
    <t>DESCRIÇÃO - CATSER</t>
  </si>
  <si>
    <r>
      <t xml:space="preserve">Contratação de  empresa especializada na prestação de serviços continuados de apoio administrativo com disponibilização de mão-de-obra (mensalista)
</t>
    </r>
    <r>
      <rPr>
        <b/>
        <sz val="10"/>
        <color indexed="8"/>
        <rFont val="Tahoma"/>
        <family val="2"/>
      </rPr>
      <t>CATSER - 5380</t>
    </r>
  </si>
  <si>
    <r>
      <t xml:space="preserve">Contratação de  empresa especializada na prestação de limpeza, asseio e conservação predial, com disponibilização de mão-de-obra (mensalista)
</t>
    </r>
    <r>
      <rPr>
        <b/>
        <sz val="10"/>
        <color indexed="8"/>
        <rFont val="Tahoma"/>
        <family val="2"/>
      </rPr>
      <t>CATSER - 25194</t>
    </r>
  </si>
  <si>
    <r>
      <t xml:space="preserve">Contratação de  empresa especializada na prestação de serviços continuados de apoio administrativo com disponibilização de mão-de-obra (mensalista)
</t>
    </r>
    <r>
      <rPr>
        <b/>
        <sz val="10"/>
        <color indexed="8"/>
        <rFont val="Tahoma"/>
        <family val="2"/>
      </rPr>
      <t>CATSER - 5380</t>
    </r>
  </si>
  <si>
    <r>
      <t xml:space="preserve">Contratação de  empresa especializada na prestação de limpeza, asseio e conservação predial, com disponibilização de mão-de-obra (mensalista)
</t>
    </r>
    <r>
      <rPr>
        <b/>
        <sz val="10"/>
        <color indexed="8"/>
        <rFont val="Tahoma"/>
        <family val="2"/>
      </rPr>
      <t>CATSER - 2519413</t>
    </r>
  </si>
  <si>
    <t>UNID</t>
  </si>
  <si>
    <t>CATSER</t>
  </si>
  <si>
    <t>SUBTOTAL 1 JOÃO PESSOA</t>
  </si>
  <si>
    <t>SUBTOTAL 2 GUARABIRA</t>
  </si>
  <si>
    <t>SUBTOTAL DE LIMPEZA</t>
  </si>
  <si>
    <t>SUBTOTAL DE APOIO ADM</t>
  </si>
  <si>
    <t>SUBTORAL DE LIMPEZA</t>
  </si>
  <si>
    <t>TOTAL 4 MONTEIRO</t>
  </si>
  <si>
    <t>TOTAL 5 PATOS</t>
  </si>
  <si>
    <t>TOTAL 6 SOUSA</t>
  </si>
  <si>
    <t>TOTAL DE LIMPEZA - CATSER 25194</t>
  </si>
  <si>
    <t>TOTAL DE APOIO ADM - CARTSER 5380</t>
  </si>
  <si>
    <t>FUNÇÃO</t>
  </si>
  <si>
    <t>ATUALIZADO EM 19/11/2021</t>
  </si>
  <si>
    <t>Carlos A C Sousa - Mat 1089</t>
  </si>
  <si>
    <t>(01 Encarregado CG; 05 Aux Carrego e Descarrego JPA e CG; e 03 Copeiras CG, MON e PTS)</t>
  </si>
  <si>
    <t>(10 Aux Serviços Gerais JPA, 05 CG; 01 SSA)</t>
  </si>
  <si>
    <t>TOTAL 3 CAMPINA GRANDE</t>
  </si>
  <si>
    <t>TOTAL GERAL DE CUSTOS FIXOS (TOTAIS DE 1 A 6)</t>
  </si>
  <si>
    <t>TOTAL GERAL DE CUSTOS FIXOS</t>
  </si>
  <si>
    <t>CUSTO INDIRETO</t>
  </si>
  <si>
    <t>TOTAL GERAL CUSTOS FIXOS</t>
  </si>
  <si>
    <t>CUSTOS INDIRETO DE EVENTUAIS DE DESLOCAMENTO</t>
  </si>
</sst>
</file>

<file path=xl/styles.xml><?xml version="1.0" encoding="utf-8"?>
<styleSheet xmlns="http://schemas.openxmlformats.org/spreadsheetml/2006/main">
  <numFmts count="13">
    <numFmt numFmtId="44" formatCode="_-&quot;R$&quot;\ * #,##0.00_-;\-&quot;R$&quot;\ * #,##0.00_-;_-&quot;R$&quot;\ * &quot;-&quot;??_-;_-@_-"/>
    <numFmt numFmtId="43" formatCode="_-* #,##0.00_-;\-* #,##0.00_-;_-* &quot;-&quot;??_-;_-@_-"/>
    <numFmt numFmtId="167" formatCode="&quot;R$&quot;#,##0.00;[Red]\-&quot;R$&quot;#,##0.00"/>
    <numFmt numFmtId="169" formatCode="_-&quot;R$&quot;* #,##0.00_-;\-&quot;R$&quot;* #,##0.00_-;_-&quot;R$&quot;* &quot;-&quot;??_-;_-@_-"/>
    <numFmt numFmtId="170" formatCode="0.000"/>
    <numFmt numFmtId="171" formatCode="00"/>
    <numFmt numFmtId="172" formatCode="&quot;R$&quot;\ #,##0.00"/>
    <numFmt numFmtId="173" formatCode="_(* #,##0.00_);_(* \(#,##0.00\);_(* &quot;-&quot;??_);_(@_)"/>
    <numFmt numFmtId="174" formatCode="0.0"/>
    <numFmt numFmtId="175" formatCode="0.000%"/>
    <numFmt numFmtId="190" formatCode="0.00\ &quot;km/l&quot;"/>
    <numFmt numFmtId="191" formatCode="0\ &quot;km&quot;"/>
    <numFmt numFmtId="193" formatCode="_-[$R$-416]\ * #,##0.00_-;\-[$R$-416]\ * #,##0.00_-;_-[$R$-416]\ * &quot;-&quot;??_-;_-@_-"/>
  </numFmts>
  <fonts count="136">
    <font>
      <sz val="11"/>
      <color theme="1"/>
      <name val="Calibri"/>
      <family val="2"/>
      <scheme val="minor"/>
    </font>
    <font>
      <sz val="10"/>
      <color indexed="8"/>
      <name val="Tahoma"/>
      <family val="2"/>
    </font>
    <font>
      <i/>
      <sz val="10"/>
      <name val="Tahoma"/>
      <family val="2"/>
    </font>
    <font>
      <b/>
      <sz val="10"/>
      <color indexed="8"/>
      <name val="Tahoma"/>
      <family val="2"/>
    </font>
    <font>
      <sz val="8"/>
      <name val="Arial"/>
      <family val="2"/>
    </font>
    <font>
      <sz val="11"/>
      <name val="Calibri"/>
      <family val="2"/>
    </font>
    <font>
      <sz val="20"/>
      <name val="Calibri"/>
      <family val="2"/>
    </font>
    <font>
      <sz val="12"/>
      <name val="Calib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5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color indexed="8"/>
      <name val="Tahoma"/>
      <family val="2"/>
    </font>
    <font>
      <b/>
      <sz val="9"/>
      <name val="Arial"/>
      <family val="2"/>
    </font>
    <font>
      <sz val="8"/>
      <name val="Calibri"/>
      <family val="2"/>
    </font>
    <font>
      <b/>
      <sz val="11"/>
      <color indexed="8"/>
      <name val="Tahoma"/>
      <family val="2"/>
    </font>
    <font>
      <b/>
      <sz val="8"/>
      <name val="Arial"/>
      <family val="2"/>
    </font>
    <font>
      <sz val="7"/>
      <name val="Arial"/>
      <family val="2"/>
    </font>
    <font>
      <sz val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9.5"/>
      <color indexed="8"/>
      <name val="Arial"/>
      <family val="2"/>
    </font>
    <font>
      <b/>
      <sz val="9.5"/>
      <color indexed="8"/>
      <name val="Arial"/>
      <family val="2"/>
    </font>
    <font>
      <sz val="9"/>
      <name val="Arial"/>
      <family val="2"/>
    </font>
    <font>
      <b/>
      <sz val="11"/>
      <name val="Tahoma"/>
      <family val="2"/>
    </font>
    <font>
      <b/>
      <sz val="10"/>
      <color indexed="10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Tahoma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8"/>
      <name val="Tahoma"/>
      <family val="2"/>
    </font>
    <font>
      <b/>
      <sz val="10"/>
      <color indexed="8"/>
      <name val="Tahoma"/>
      <family val="2"/>
    </font>
    <font>
      <b/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indexed="10"/>
      <name val="Calibri"/>
      <family val="2"/>
    </font>
    <font>
      <sz val="8"/>
      <color indexed="8"/>
      <name val="Calibri"/>
      <family val="2"/>
    </font>
    <font>
      <b/>
      <sz val="8"/>
      <color indexed="10"/>
      <name val="Calibri"/>
      <family val="2"/>
    </font>
    <font>
      <sz val="8"/>
      <color indexed="1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Calibri"/>
      <family val="2"/>
    </font>
    <font>
      <sz val="8"/>
      <color indexed="10"/>
      <name val="Calibri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sz val="10"/>
      <color indexed="8"/>
      <name val="Tahoma"/>
      <family val="2"/>
    </font>
    <font>
      <b/>
      <sz val="10"/>
      <color indexed="8"/>
      <name val="Tahoma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9"/>
      <color theme="10"/>
      <name val="Arial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rgb="FF000000"/>
      <name val="Times New Roman"/>
      <family val="1"/>
    </font>
    <font>
      <sz val="20"/>
      <color rgb="FF000000"/>
      <name val="Calibri"/>
      <family val="2"/>
    </font>
    <font>
      <b/>
      <sz val="20"/>
      <color rgb="FF000000"/>
      <name val="Arial"/>
      <family val="2"/>
    </font>
    <font>
      <b/>
      <sz val="12"/>
      <color rgb="FF002060"/>
      <name val="Arial"/>
      <family val="2"/>
    </font>
    <font>
      <sz val="8"/>
      <color rgb="FF253A7D"/>
      <name val="Arial"/>
      <family val="2"/>
    </font>
    <font>
      <b/>
      <sz val="10"/>
      <color theme="0"/>
      <name val="Tahoma"/>
      <family val="2"/>
    </font>
    <font>
      <b/>
      <sz val="10"/>
      <color theme="0"/>
      <name val="Arial"/>
      <family val="2"/>
    </font>
    <font>
      <b/>
      <sz val="12"/>
      <color theme="0"/>
      <name val="Tahoma"/>
      <family val="2"/>
    </font>
    <font>
      <sz val="8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11"/>
      <color theme="1"/>
      <name val="Arial"/>
      <family val="2"/>
    </font>
    <font>
      <b/>
      <sz val="11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0.5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0"/>
      <color theme="1"/>
      <name val="Tahoma"/>
      <family val="2"/>
    </font>
    <font>
      <sz val="10"/>
      <color rgb="FF0000FF"/>
      <name val="Tahoma"/>
      <family val="2"/>
    </font>
    <font>
      <sz val="14"/>
      <color theme="1"/>
      <name val="Tahoma"/>
      <family val="2"/>
    </font>
    <font>
      <b/>
      <sz val="12"/>
      <color theme="1"/>
      <name val="Tahoma"/>
      <family val="2"/>
    </font>
    <font>
      <sz val="12"/>
      <color theme="1"/>
      <name val="Tahoma"/>
      <family val="2"/>
    </font>
    <font>
      <b/>
      <sz val="16"/>
      <color theme="0"/>
      <name val="Tahoma"/>
      <family val="2"/>
    </font>
    <font>
      <sz val="16"/>
      <color theme="1"/>
      <name val="Tahoma"/>
      <family val="2"/>
    </font>
    <font>
      <b/>
      <sz val="14"/>
      <color theme="0"/>
      <name val="Tahoma"/>
      <family val="2"/>
    </font>
    <font>
      <b/>
      <sz val="18"/>
      <color theme="1"/>
      <name val="Tahoma"/>
      <family val="2"/>
    </font>
    <font>
      <b/>
      <sz val="10.5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0"/>
      <color rgb="FF0000FF"/>
      <name val="Tahoma"/>
      <family val="2"/>
    </font>
    <font>
      <b/>
      <sz val="10"/>
      <color rgb="FF253A7D"/>
      <name val="Tahoma"/>
      <family val="2"/>
    </font>
    <font>
      <b/>
      <sz val="15"/>
      <color rgb="FF000000"/>
      <name val="Arial"/>
      <family val="2"/>
    </font>
    <font>
      <b/>
      <sz val="12"/>
      <color rgb="FF000000"/>
      <name val="Arial"/>
      <family val="2"/>
    </font>
    <font>
      <sz val="10"/>
      <color rgb="FFFF0000"/>
      <name val="Arial"/>
      <family val="2"/>
    </font>
    <font>
      <sz val="9.5"/>
      <color theme="1"/>
      <name val="Arial"/>
      <family val="2"/>
    </font>
    <font>
      <b/>
      <sz val="10"/>
      <color rgb="FFC00000"/>
      <name val="Arial"/>
      <family val="2"/>
    </font>
    <font>
      <b/>
      <sz val="10"/>
      <color rgb="FF0000FF"/>
      <name val="Arial"/>
      <family val="2"/>
    </font>
    <font>
      <b/>
      <sz val="12"/>
      <color theme="0"/>
      <name val="Arial"/>
      <family val="2"/>
    </font>
    <font>
      <sz val="10"/>
      <color rgb="FF0000FF"/>
      <name val="Arial"/>
      <family val="2"/>
    </font>
    <font>
      <b/>
      <sz val="8.5"/>
      <color theme="1"/>
      <name val="Arial"/>
      <family val="2"/>
    </font>
    <font>
      <b/>
      <sz val="10"/>
      <color rgb="FFFF0000"/>
      <name val="Arial"/>
      <family val="2"/>
    </font>
    <font>
      <b/>
      <sz val="11"/>
      <color theme="0"/>
      <name val="Tahoma"/>
      <family val="2"/>
    </font>
    <font>
      <sz val="8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.5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FF0000"/>
      <name val="Arial"/>
      <family val="2"/>
    </font>
    <font>
      <b/>
      <sz val="10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238B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3300"/>
        <bgColor rgb="FF003300"/>
      </patternFill>
    </fill>
    <fill>
      <patternFill patternType="solid">
        <fgColor rgb="FF253A7D"/>
        <bgColor indexed="64"/>
      </patternFill>
    </fill>
    <fill>
      <patternFill patternType="solid">
        <fgColor theme="0" tint="-0.14996795556505021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</borders>
  <cellStyleXfs count="531">
    <xf numFmtId="0" fontId="0" fillId="0" borderId="0"/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0" fontId="1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1" fillId="0" borderId="0" applyFont="0" applyFill="0" applyBorder="0" applyAlignment="0" applyProtection="0"/>
    <xf numFmtId="43" fontId="57" fillId="0" borderId="0" applyFont="0" applyFill="0" applyBorder="0" applyAlignment="0" applyProtection="0"/>
  </cellStyleXfs>
  <cellXfs count="1136">
    <xf numFmtId="0" fontId="0" fillId="0" borderId="0" xfId="0"/>
    <xf numFmtId="0" fontId="2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/>
    <xf numFmtId="0" fontId="1" fillId="0" borderId="0" xfId="0" applyFont="1" applyAlignment="1">
      <alignment horizontal="left" vertical="center"/>
    </xf>
    <xf numFmtId="0" fontId="63" fillId="0" borderId="0" xfId="0" applyFont="1"/>
    <xf numFmtId="44" fontId="63" fillId="0" borderId="0" xfId="0" applyNumberFormat="1" applyFont="1" applyAlignment="1">
      <alignment horizontal="center" vertical="center"/>
    </xf>
    <xf numFmtId="0" fontId="63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5" fillId="0" borderId="0" xfId="0" applyFont="1"/>
    <xf numFmtId="44" fontId="65" fillId="0" borderId="0" xfId="3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5" fillId="0" borderId="0" xfId="0" applyFont="1" applyAlignment="1">
      <alignment horizontal="center"/>
    </xf>
    <xf numFmtId="44" fontId="65" fillId="0" borderId="1" xfId="3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44" fontId="65" fillId="0" borderId="1" xfId="3" applyFont="1" applyBorder="1" applyAlignment="1">
      <alignment horizontal="center" vertical="center" wrapText="1"/>
    </xf>
    <xf numFmtId="170" fontId="65" fillId="0" borderId="1" xfId="0" applyNumberFormat="1" applyFont="1" applyBorder="1" applyAlignment="1">
      <alignment horizontal="center" vertical="center"/>
    </xf>
    <xf numFmtId="44" fontId="63" fillId="0" borderId="1" xfId="3" applyFont="1" applyBorder="1" applyAlignment="1">
      <alignment horizontal="center" vertical="center"/>
    </xf>
    <xf numFmtId="0" fontId="4" fillId="0" borderId="0" xfId="0" applyFont="1" applyFill="1" applyBorder="1"/>
    <xf numFmtId="0" fontId="66" fillId="2" borderId="63" xfId="0" applyFont="1" applyFill="1" applyBorder="1"/>
    <xf numFmtId="0" fontId="66" fillId="2" borderId="64" xfId="0" applyFont="1" applyFill="1" applyBorder="1"/>
    <xf numFmtId="0" fontId="66" fillId="2" borderId="65" xfId="0" applyFont="1" applyFill="1" applyBorder="1"/>
    <xf numFmtId="0" fontId="66" fillId="0" borderId="0" xfId="0" applyFont="1"/>
    <xf numFmtId="0" fontId="0" fillId="0" borderId="0" xfId="0" applyFont="1" applyAlignment="1"/>
    <xf numFmtId="0" fontId="66" fillId="2" borderId="66" xfId="0" applyFont="1" applyFill="1" applyBorder="1"/>
    <xf numFmtId="0" fontId="66" fillId="2" borderId="0" xfId="0" applyFont="1" applyFill="1" applyBorder="1"/>
    <xf numFmtId="0" fontId="66" fillId="2" borderId="67" xfId="0" applyFont="1" applyFill="1" applyBorder="1"/>
    <xf numFmtId="0" fontId="66" fillId="2" borderId="68" xfId="0" applyFont="1" applyFill="1" applyBorder="1"/>
    <xf numFmtId="0" fontId="66" fillId="2" borderId="69" xfId="0" applyFont="1" applyFill="1" applyBorder="1"/>
    <xf numFmtId="0" fontId="66" fillId="2" borderId="70" xfId="0" applyFont="1" applyFill="1" applyBorder="1"/>
    <xf numFmtId="0" fontId="65" fillId="0" borderId="1" xfId="0" applyFont="1" applyBorder="1" applyAlignment="1">
      <alignment vertical="center"/>
    </xf>
    <xf numFmtId="44" fontId="65" fillId="0" borderId="1" xfId="3" applyFont="1" applyBorder="1" applyAlignment="1">
      <alignment vertical="center"/>
    </xf>
    <xf numFmtId="0" fontId="65" fillId="0" borderId="0" xfId="0" applyFont="1" applyAlignment="1">
      <alignment vertical="center"/>
    </xf>
    <xf numFmtId="0" fontId="67" fillId="0" borderId="0" xfId="85" applyFont="1" applyAlignment="1">
      <alignment vertical="center"/>
    </xf>
    <xf numFmtId="0" fontId="67" fillId="0" borderId="0" xfId="85" applyFont="1" applyFill="1" applyBorder="1" applyAlignment="1">
      <alignment vertical="center"/>
    </xf>
    <xf numFmtId="0" fontId="68" fillId="0" borderId="0" xfId="85" applyFont="1" applyAlignment="1">
      <alignment vertical="center"/>
    </xf>
    <xf numFmtId="0" fontId="68" fillId="0" borderId="0" xfId="85" applyFont="1" applyBorder="1" applyAlignment="1">
      <alignment horizontal="left" vertical="center"/>
    </xf>
    <xf numFmtId="10" fontId="68" fillId="0" borderId="0" xfId="520" applyNumberFormat="1" applyFont="1" applyBorder="1" applyAlignment="1">
      <alignment horizontal="center" vertical="center"/>
    </xf>
    <xf numFmtId="44" fontId="68" fillId="0" borderId="0" xfId="4" applyFont="1" applyBorder="1" applyAlignment="1">
      <alignment horizontal="center" vertical="center"/>
    </xf>
    <xf numFmtId="0" fontId="69" fillId="0" borderId="0" xfId="0" applyFont="1"/>
    <xf numFmtId="4" fontId="0" fillId="0" borderId="0" xfId="0" applyNumberFormat="1"/>
    <xf numFmtId="4" fontId="69" fillId="0" borderId="0" xfId="0" applyNumberFormat="1" applyFont="1"/>
    <xf numFmtId="0" fontId="65" fillId="3" borderId="1" xfId="0" applyFont="1" applyFill="1" applyBorder="1" applyAlignment="1">
      <alignment horizontal="center" vertical="center"/>
    </xf>
    <xf numFmtId="44" fontId="63" fillId="0" borderId="2" xfId="3" applyFont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63" fillId="0" borderId="0" xfId="0" applyFont="1" applyAlignment="1">
      <alignment horizontal="center" vertical="center"/>
    </xf>
    <xf numFmtId="0" fontId="70" fillId="0" borderId="0" xfId="0" applyFont="1" applyAlignment="1"/>
    <xf numFmtId="0" fontId="68" fillId="0" borderId="0" xfId="85" applyFont="1" applyFill="1" applyBorder="1" applyAlignment="1">
      <alignment horizontal="center" vertical="center"/>
    </xf>
    <xf numFmtId="0" fontId="14" fillId="0" borderId="0" xfId="0" applyFont="1" applyAlignment="1"/>
    <xf numFmtId="0" fontId="71" fillId="2" borderId="66" xfId="0" applyFont="1" applyFill="1" applyBorder="1" applyAlignment="1">
      <alignment vertical="center" wrapText="1"/>
    </xf>
    <xf numFmtId="0" fontId="6" fillId="0" borderId="0" xfId="0" applyFont="1" applyBorder="1" applyAlignment="1"/>
    <xf numFmtId="0" fontId="6" fillId="0" borderId="67" xfId="0" applyFont="1" applyBorder="1" applyAlignment="1"/>
    <xf numFmtId="0" fontId="6" fillId="0" borderId="66" xfId="0" applyFont="1" applyBorder="1" applyAlignment="1"/>
    <xf numFmtId="0" fontId="68" fillId="0" borderId="3" xfId="85" applyFont="1" applyFill="1" applyBorder="1" applyAlignment="1">
      <alignment vertical="center" wrapText="1"/>
    </xf>
    <xf numFmtId="0" fontId="68" fillId="0" borderId="0" xfId="85" applyFont="1" applyFill="1" applyBorder="1" applyAlignment="1">
      <alignment horizontal="left" vertical="center"/>
    </xf>
    <xf numFmtId="0" fontId="72" fillId="0" borderId="0" xfId="85" applyFont="1" applyFill="1" applyBorder="1" applyAlignment="1">
      <alignment horizontal="center" vertical="center"/>
    </xf>
    <xf numFmtId="0" fontId="67" fillId="0" borderId="0" xfId="85" applyFont="1" applyFill="1" applyBorder="1" applyAlignment="1">
      <alignment horizontal="center" vertical="center"/>
    </xf>
    <xf numFmtId="0" fontId="67" fillId="0" borderId="0" xfId="85" applyFont="1" applyFill="1" applyBorder="1" applyAlignment="1">
      <alignment horizontal="left" vertical="center"/>
    </xf>
    <xf numFmtId="14" fontId="68" fillId="0" borderId="0" xfId="85" applyNumberFormat="1" applyFont="1" applyFill="1" applyBorder="1" applyAlignment="1">
      <alignment horizontal="center" vertical="center"/>
    </xf>
    <xf numFmtId="0" fontId="67" fillId="0" borderId="0" xfId="85" applyFont="1" applyBorder="1" applyAlignment="1">
      <alignment horizontal="center" vertical="center"/>
    </xf>
    <xf numFmtId="44" fontId="68" fillId="0" borderId="0" xfId="4" applyFont="1" applyFill="1" applyBorder="1" applyAlignment="1">
      <alignment horizontal="center" vertical="center"/>
    </xf>
    <xf numFmtId="0" fontId="68" fillId="0" borderId="0" xfId="85" applyFont="1" applyBorder="1" applyAlignment="1">
      <alignment horizontal="right" vertical="center"/>
    </xf>
    <xf numFmtId="10" fontId="68" fillId="3" borderId="0" xfId="85" applyNumberFormat="1" applyFont="1" applyFill="1" applyBorder="1" applyAlignment="1">
      <alignment horizontal="center" vertical="center"/>
    </xf>
    <xf numFmtId="0" fontId="68" fillId="3" borderId="0" xfId="85" applyFont="1" applyFill="1" applyBorder="1" applyAlignment="1">
      <alignment horizontal="center" vertical="center"/>
    </xf>
    <xf numFmtId="44" fontId="68" fillId="3" borderId="0" xfId="4" applyFont="1" applyFill="1" applyBorder="1" applyAlignment="1">
      <alignment horizontal="center" vertical="center"/>
    </xf>
    <xf numFmtId="0" fontId="68" fillId="0" borderId="4" xfId="85" applyFont="1" applyFill="1" applyBorder="1" applyAlignment="1">
      <alignment horizontal="center" vertical="center"/>
    </xf>
    <xf numFmtId="0" fontId="68" fillId="4" borderId="5" xfId="85" applyFont="1" applyFill="1" applyBorder="1" applyAlignment="1">
      <alignment vertical="center"/>
    </xf>
    <xf numFmtId="0" fontId="68" fillId="4" borderId="6" xfId="85" applyFont="1" applyFill="1" applyBorder="1" applyAlignment="1">
      <alignment vertical="center"/>
    </xf>
    <xf numFmtId="0" fontId="68" fillId="4" borderId="7" xfId="85" applyFont="1" applyFill="1" applyBorder="1" applyAlignment="1">
      <alignment vertical="center"/>
    </xf>
    <xf numFmtId="0" fontId="64" fillId="4" borderId="1" xfId="0" applyFont="1" applyFill="1" applyBorder="1" applyAlignment="1">
      <alignment horizontal="center" vertical="center"/>
    </xf>
    <xf numFmtId="0" fontId="64" fillId="4" borderId="1" xfId="0" applyFont="1" applyFill="1" applyBorder="1" applyAlignment="1">
      <alignment horizontal="center" vertical="center" wrapText="1"/>
    </xf>
    <xf numFmtId="44" fontId="64" fillId="4" borderId="1" xfId="3" applyFont="1" applyFill="1" applyBorder="1" applyAlignment="1">
      <alignment horizontal="center" vertical="center"/>
    </xf>
    <xf numFmtId="0" fontId="73" fillId="0" borderId="0" xfId="0" applyFont="1" applyFill="1" applyBorder="1"/>
    <xf numFmtId="9" fontId="67" fillId="0" borderId="0" xfId="519" applyFont="1" applyAlignment="1">
      <alignment vertical="center"/>
    </xf>
    <xf numFmtId="0" fontId="67" fillId="4" borderId="5" xfId="85" applyFont="1" applyFill="1" applyBorder="1" applyAlignment="1">
      <alignment vertical="center"/>
    </xf>
    <xf numFmtId="0" fontId="67" fillId="4" borderId="7" xfId="85" applyFont="1" applyFill="1" applyBorder="1" applyAlignment="1">
      <alignment vertical="center"/>
    </xf>
    <xf numFmtId="0" fontId="68" fillId="4" borderId="8" xfId="85" applyFont="1" applyFill="1" applyBorder="1" applyAlignment="1">
      <alignment vertical="center"/>
    </xf>
    <xf numFmtId="0" fontId="68" fillId="4" borderId="4" xfId="85" applyFont="1" applyFill="1" applyBorder="1" applyAlignment="1">
      <alignment vertical="center"/>
    </xf>
    <xf numFmtId="0" fontId="68" fillId="4" borderId="9" xfId="85" applyFont="1" applyFill="1" applyBorder="1" applyAlignment="1">
      <alignment vertical="center"/>
    </xf>
    <xf numFmtId="44" fontId="67" fillId="4" borderId="5" xfId="4" applyFont="1" applyFill="1" applyBorder="1" applyAlignment="1">
      <alignment vertical="center"/>
    </xf>
    <xf numFmtId="44" fontId="67" fillId="4" borderId="6" xfId="4" applyFont="1" applyFill="1" applyBorder="1" applyAlignment="1">
      <alignment vertical="center"/>
    </xf>
    <xf numFmtId="44" fontId="67" fillId="4" borderId="7" xfId="4" applyFont="1" applyFill="1" applyBorder="1" applyAlignment="1">
      <alignment vertical="center"/>
    </xf>
    <xf numFmtId="0" fontId="63" fillId="0" borderId="0" xfId="0" applyFont="1" applyAlignment="1">
      <alignment horizontal="center"/>
    </xf>
    <xf numFmtId="2" fontId="63" fillId="0" borderId="0" xfId="3" applyNumberFormat="1" applyFont="1" applyAlignment="1">
      <alignment horizontal="center" vertical="center"/>
    </xf>
    <xf numFmtId="0" fontId="63" fillId="0" borderId="1" xfId="0" applyFont="1" applyBorder="1" applyAlignment="1">
      <alignment horizontal="left" vertical="center"/>
    </xf>
    <xf numFmtId="44" fontId="63" fillId="0" borderId="1" xfId="0" applyNumberFormat="1" applyFont="1" applyBorder="1" applyAlignment="1">
      <alignment horizontal="center" vertical="center"/>
    </xf>
    <xf numFmtId="44" fontId="74" fillId="5" borderId="1" xfId="3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9" fontId="65" fillId="0" borderId="1" xfId="0" applyNumberFormat="1" applyFont="1" applyBorder="1" applyAlignment="1">
      <alignment horizontal="center" vertical="center"/>
    </xf>
    <xf numFmtId="0" fontId="4" fillId="0" borderId="0" xfId="72" applyFont="1"/>
    <xf numFmtId="0" fontId="17" fillId="0" borderId="0" xfId="256" applyFont="1" applyAlignment="1">
      <alignment horizontal="center" vertical="center" wrapText="1"/>
    </xf>
    <xf numFmtId="2" fontId="17" fillId="0" borderId="0" xfId="256" applyNumberFormat="1" applyFont="1" applyAlignment="1">
      <alignment horizontal="center" vertical="center" wrapText="1"/>
    </xf>
    <xf numFmtId="0" fontId="4" fillId="0" borderId="0" xfId="72" applyFont="1" applyAlignment="1">
      <alignment horizontal="left"/>
    </xf>
    <xf numFmtId="0" fontId="18" fillId="0" borderId="0" xfId="72" applyFont="1" applyAlignment="1">
      <alignment vertical="center" wrapText="1"/>
    </xf>
    <xf numFmtId="0" fontId="18" fillId="0" borderId="0" xfId="72" applyFont="1" applyAlignment="1">
      <alignment horizontal="center" vertical="center" wrapText="1"/>
    </xf>
    <xf numFmtId="0" fontId="4" fillId="0" borderId="0" xfId="72" applyFont="1" applyAlignment="1">
      <alignment horizontal="center" vertical="center"/>
    </xf>
    <xf numFmtId="4" fontId="19" fillId="0" borderId="0" xfId="72" applyNumberFormat="1" applyFont="1" applyAlignment="1">
      <alignment horizontal="center" vertical="center"/>
    </xf>
    <xf numFmtId="0" fontId="20" fillId="0" borderId="0" xfId="72" applyFont="1" applyAlignment="1">
      <alignment vertical="center" wrapText="1"/>
    </xf>
    <xf numFmtId="0" fontId="11" fillId="4" borderId="1" xfId="72" applyFill="1" applyBorder="1" applyAlignment="1">
      <alignment horizontal="center" vertical="center" wrapText="1"/>
    </xf>
    <xf numFmtId="44" fontId="11" fillId="4" borderId="1" xfId="5" applyFont="1" applyFill="1" applyBorder="1" applyAlignment="1">
      <alignment horizontal="center" vertical="center"/>
    </xf>
    <xf numFmtId="10" fontId="11" fillId="4" borderId="1" xfId="72" applyNumberFormat="1" applyFill="1" applyBorder="1" applyAlignment="1">
      <alignment horizontal="center" vertical="center"/>
    </xf>
    <xf numFmtId="0" fontId="11" fillId="0" borderId="1" xfId="72" applyBorder="1" applyAlignment="1">
      <alignment horizontal="center" vertical="center" wrapText="1"/>
    </xf>
    <xf numFmtId="44" fontId="11" fillId="0" borderId="1" xfId="5" applyFont="1" applyFill="1" applyBorder="1" applyAlignment="1">
      <alignment horizontal="center" vertical="center"/>
    </xf>
    <xf numFmtId="44" fontId="11" fillId="0" borderId="10" xfId="5" applyFont="1" applyFill="1" applyBorder="1" applyAlignment="1">
      <alignment horizontal="center" vertical="center"/>
    </xf>
    <xf numFmtId="10" fontId="11" fillId="3" borderId="1" xfId="72" applyNumberFormat="1" applyFill="1" applyBorder="1" applyAlignment="1">
      <alignment horizontal="center" vertical="center"/>
    </xf>
    <xf numFmtId="0" fontId="19" fillId="0" borderId="0" xfId="72" applyFont="1" applyAlignment="1">
      <alignment horizontal="center" vertical="center"/>
    </xf>
    <xf numFmtId="4" fontId="4" fillId="0" borderId="0" xfId="72" applyNumberFormat="1" applyFont="1" applyAlignment="1">
      <alignment horizontal="center" vertical="center"/>
    </xf>
    <xf numFmtId="2" fontId="4" fillId="0" borderId="0" xfId="72" applyNumberFormat="1" applyFont="1"/>
    <xf numFmtId="44" fontId="4" fillId="0" borderId="0" xfId="5" applyFont="1" applyFill="1"/>
    <xf numFmtId="10" fontId="17" fillId="0" borderId="0" xfId="256" applyNumberFormat="1" applyFont="1" applyBorder="1" applyAlignment="1">
      <alignment horizontal="center" vertical="center" wrapText="1"/>
    </xf>
    <xf numFmtId="0" fontId="75" fillId="5" borderId="2" xfId="72" applyFont="1" applyFill="1" applyBorder="1" applyAlignment="1">
      <alignment horizontal="center" vertical="center" wrapText="1"/>
    </xf>
    <xf numFmtId="0" fontId="75" fillId="5" borderId="1" xfId="72" applyFont="1" applyFill="1" applyBorder="1" applyAlignment="1">
      <alignment horizontal="center" vertical="center"/>
    </xf>
    <xf numFmtId="0" fontId="75" fillId="5" borderId="1" xfId="72" applyFont="1" applyFill="1" applyBorder="1" applyAlignment="1">
      <alignment horizontal="center" vertical="center" wrapText="1"/>
    </xf>
    <xf numFmtId="0" fontId="11" fillId="0" borderId="1" xfId="72" applyFill="1" applyBorder="1" applyAlignment="1">
      <alignment horizontal="center" vertical="center" wrapText="1"/>
    </xf>
    <xf numFmtId="10" fontId="11" fillId="0" borderId="1" xfId="72" applyNumberFormat="1" applyFill="1" applyBorder="1" applyAlignment="1">
      <alignment horizontal="center" vertical="center"/>
    </xf>
    <xf numFmtId="10" fontId="67" fillId="0" borderId="0" xfId="519" applyNumberFormat="1" applyFont="1" applyAlignment="1">
      <alignment horizontal="center" vertical="center"/>
    </xf>
    <xf numFmtId="44" fontId="67" fillId="0" borderId="0" xfId="85" applyNumberFormat="1" applyFont="1" applyAlignment="1">
      <alignment vertical="center"/>
    </xf>
    <xf numFmtId="0" fontId="68" fillId="0" borderId="0" xfId="85" applyFont="1" applyBorder="1" applyAlignment="1">
      <alignment horizontal="center" vertical="center"/>
    </xf>
    <xf numFmtId="0" fontId="11" fillId="3" borderId="1" xfId="72" applyFill="1" applyBorder="1" applyAlignment="1">
      <alignment horizontal="center" vertical="center" wrapText="1"/>
    </xf>
    <xf numFmtId="44" fontId="11" fillId="3" borderId="1" xfId="5" applyFont="1" applyFill="1" applyBorder="1" applyAlignment="1">
      <alignment horizontal="center" vertical="center"/>
    </xf>
    <xf numFmtId="0" fontId="68" fillId="0" borderId="0" xfId="85" applyFont="1" applyBorder="1" applyAlignment="1">
      <alignment horizontal="center" vertical="center"/>
    </xf>
    <xf numFmtId="0" fontId="67" fillId="0" borderId="0" xfId="85" applyFont="1" applyBorder="1" applyAlignment="1">
      <alignment horizontal="center" vertical="center"/>
    </xf>
    <xf numFmtId="0" fontId="68" fillId="0" borderId="0" xfId="85" applyFont="1" applyBorder="1" applyAlignment="1">
      <alignment horizontal="center" vertical="center"/>
    </xf>
    <xf numFmtId="0" fontId="67" fillId="0" borderId="0" xfId="85" applyFont="1" applyBorder="1" applyAlignment="1">
      <alignment horizontal="center" vertical="center"/>
    </xf>
    <xf numFmtId="44" fontId="74" fillId="5" borderId="1" xfId="0" applyNumberFormat="1" applyFont="1" applyFill="1" applyBorder="1" applyAlignment="1">
      <alignment horizontal="center" vertical="center"/>
    </xf>
    <xf numFmtId="0" fontId="68" fillId="0" borderId="0" xfId="85" applyFont="1" applyBorder="1" applyAlignment="1">
      <alignment horizontal="center" vertical="center"/>
    </xf>
    <xf numFmtId="0" fontId="67" fillId="0" borderId="0" xfId="85" applyFont="1" applyBorder="1" applyAlignment="1">
      <alignment horizontal="center" vertical="center"/>
    </xf>
    <xf numFmtId="44" fontId="65" fillId="0" borderId="0" xfId="0" applyNumberFormat="1" applyFont="1" applyAlignment="1">
      <alignment vertical="center"/>
    </xf>
    <xf numFmtId="39" fontId="75" fillId="6" borderId="1" xfId="72" applyNumberFormat="1" applyFont="1" applyFill="1" applyBorder="1" applyAlignment="1">
      <alignment horizontal="center" vertical="center"/>
    </xf>
    <xf numFmtId="0" fontId="67" fillId="3" borderId="0" xfId="85" applyFont="1" applyFill="1" applyAlignment="1">
      <alignment vertical="center"/>
    </xf>
    <xf numFmtId="0" fontId="67" fillId="3" borderId="0" xfId="85" applyFont="1" applyFill="1" applyBorder="1" applyAlignment="1">
      <alignment vertical="center"/>
    </xf>
    <xf numFmtId="0" fontId="68" fillId="3" borderId="0" xfId="85" applyFont="1" applyFill="1" applyAlignment="1">
      <alignment vertical="center"/>
    </xf>
    <xf numFmtId="44" fontId="67" fillId="3" borderId="0" xfId="85" applyNumberFormat="1" applyFont="1" applyFill="1" applyAlignment="1">
      <alignment vertical="center"/>
    </xf>
    <xf numFmtId="10" fontId="67" fillId="3" borderId="0" xfId="85" applyNumberFormat="1" applyFont="1" applyFill="1" applyAlignment="1">
      <alignment vertical="center"/>
    </xf>
    <xf numFmtId="169" fontId="67" fillId="3" borderId="0" xfId="85" applyNumberFormat="1" applyFont="1" applyFill="1" applyAlignment="1">
      <alignment vertical="center"/>
    </xf>
    <xf numFmtId="0" fontId="68" fillId="0" borderId="4" xfId="85" applyFont="1" applyFill="1" applyBorder="1" applyAlignment="1">
      <alignment horizontal="left" vertical="center"/>
    </xf>
    <xf numFmtId="0" fontId="74" fillId="5" borderId="1" xfId="0" applyFont="1" applyFill="1" applyBorder="1" applyAlignment="1">
      <alignment horizontal="center" vertical="center"/>
    </xf>
    <xf numFmtId="44" fontId="11" fillId="4" borderId="10" xfId="5" applyFont="1" applyFill="1" applyBorder="1" applyAlignment="1">
      <alignment horizontal="center" vertical="center"/>
    </xf>
    <xf numFmtId="10" fontId="11" fillId="0" borderId="1" xfId="72" applyNumberFormat="1" applyBorder="1" applyAlignment="1">
      <alignment horizontal="center" vertical="center"/>
    </xf>
    <xf numFmtId="44" fontId="63" fillId="4" borderId="1" xfId="3" applyFont="1" applyFill="1" applyBorder="1" applyAlignment="1">
      <alignment horizontal="center" vertical="center"/>
    </xf>
    <xf numFmtId="10" fontId="17" fillId="0" borderId="11" xfId="256" applyNumberFormat="1" applyFont="1" applyBorder="1" applyAlignment="1">
      <alignment horizontal="center" vertical="center" wrapText="1"/>
    </xf>
    <xf numFmtId="0" fontId="12" fillId="4" borderId="2" xfId="72" applyFont="1" applyFill="1" applyBorder="1" applyAlignment="1">
      <alignment horizontal="center" vertical="center" wrapText="1"/>
    </xf>
    <xf numFmtId="0" fontId="12" fillId="4" borderId="1" xfId="72" applyFont="1" applyFill="1" applyBorder="1" applyAlignment="1">
      <alignment horizontal="center" vertical="center"/>
    </xf>
    <xf numFmtId="0" fontId="12" fillId="4" borderId="1" xfId="72" applyFont="1" applyFill="1" applyBorder="1" applyAlignment="1">
      <alignment horizontal="center" vertical="center" wrapText="1"/>
    </xf>
    <xf numFmtId="0" fontId="4" fillId="0" borderId="0" xfId="72" applyFont="1" applyFill="1"/>
    <xf numFmtId="0" fontId="4" fillId="0" borderId="0" xfId="72" applyFont="1" applyFill="1" applyAlignment="1">
      <alignment horizontal="center" vertical="center"/>
    </xf>
    <xf numFmtId="17" fontId="65" fillId="0" borderId="1" xfId="0" applyNumberFormat="1" applyFont="1" applyBorder="1" applyAlignment="1">
      <alignment horizontal="center" vertical="center"/>
    </xf>
    <xf numFmtId="44" fontId="63" fillId="4" borderId="2" xfId="3" applyFont="1" applyFill="1" applyBorder="1" applyAlignment="1">
      <alignment horizontal="center" vertical="center"/>
    </xf>
    <xf numFmtId="10" fontId="67" fillId="3" borderId="0" xfId="519" applyNumberFormat="1" applyFont="1" applyFill="1" applyAlignment="1">
      <alignment horizontal="center" vertical="center"/>
    </xf>
    <xf numFmtId="9" fontId="67" fillId="3" borderId="0" xfId="85" applyNumberFormat="1" applyFont="1" applyFill="1" applyAlignment="1">
      <alignment vertical="center"/>
    </xf>
    <xf numFmtId="2" fontId="67" fillId="3" borderId="0" xfId="519" applyNumberFormat="1" applyFont="1" applyFill="1" applyAlignment="1">
      <alignment horizontal="center" vertical="center"/>
    </xf>
    <xf numFmtId="0" fontId="67" fillId="0" borderId="0" xfId="85" applyFont="1" applyFill="1" applyAlignment="1">
      <alignment vertical="center"/>
    </xf>
    <xf numFmtId="0" fontId="74" fillId="5" borderId="1" xfId="0" applyFont="1" applyFill="1" applyBorder="1" applyAlignment="1">
      <alignment horizontal="center" vertical="center"/>
    </xf>
    <xf numFmtId="0" fontId="63" fillId="0" borderId="1" xfId="0" applyFont="1" applyBorder="1" applyAlignment="1">
      <alignment horizontal="center" vertical="center"/>
    </xf>
    <xf numFmtId="0" fontId="68" fillId="0" borderId="4" xfId="85" applyFont="1" applyFill="1" applyBorder="1" applyAlignment="1">
      <alignment horizontal="left" vertical="center"/>
    </xf>
    <xf numFmtId="0" fontId="68" fillId="0" borderId="0" xfId="85" applyFont="1" applyBorder="1" applyAlignment="1">
      <alignment horizontal="center" vertical="center"/>
    </xf>
    <xf numFmtId="0" fontId="67" fillId="0" borderId="0" xfId="85" applyFont="1" applyBorder="1" applyAlignment="1">
      <alignment horizontal="center" vertical="center"/>
    </xf>
    <xf numFmtId="0" fontId="63" fillId="0" borderId="1" xfId="0" applyFont="1" applyFill="1" applyBorder="1" applyAlignment="1">
      <alignment horizontal="center" vertical="center"/>
    </xf>
    <xf numFmtId="0" fontId="63" fillId="0" borderId="1" xfId="0" applyFont="1" applyFill="1" applyBorder="1" applyAlignment="1">
      <alignment horizontal="left" vertical="center"/>
    </xf>
    <xf numFmtId="44" fontId="76" fillId="5" borderId="1" xfId="3" applyFont="1" applyFill="1" applyBorder="1" applyAlignment="1">
      <alignment horizontal="center" vertical="center"/>
    </xf>
    <xf numFmtId="0" fontId="77" fillId="0" borderId="0" xfId="0" applyFont="1" applyFill="1" applyBorder="1"/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79" fillId="0" borderId="0" xfId="0" applyFont="1"/>
    <xf numFmtId="4" fontId="19" fillId="0" borderId="0" xfId="72" applyNumberFormat="1" applyFont="1" applyFill="1" applyAlignment="1">
      <alignment horizontal="center" vertical="center"/>
    </xf>
    <xf numFmtId="0" fontId="19" fillId="0" borderId="0" xfId="72" applyFont="1" applyFill="1" applyAlignment="1">
      <alignment horizontal="center" vertical="center"/>
    </xf>
    <xf numFmtId="4" fontId="4" fillId="0" borderId="0" xfId="72" applyNumberFormat="1" applyFont="1" applyFill="1" applyAlignment="1">
      <alignment horizontal="center" vertical="center"/>
    </xf>
    <xf numFmtId="0" fontId="79" fillId="0" borderId="1" xfId="0" applyFont="1" applyBorder="1" applyAlignment="1">
      <alignment horizontal="center" vertical="center"/>
    </xf>
    <xf numFmtId="49" fontId="79" fillId="0" borderId="1" xfId="0" applyNumberFormat="1" applyFont="1" applyBorder="1" applyAlignment="1">
      <alignment horizontal="center" vertical="center"/>
    </xf>
    <xf numFmtId="0" fontId="79" fillId="0" borderId="1" xfId="0" applyFont="1" applyBorder="1" applyAlignment="1">
      <alignment vertical="center"/>
    </xf>
    <xf numFmtId="44" fontId="79" fillId="0" borderId="1" xfId="3" applyFont="1" applyBorder="1" applyAlignment="1">
      <alignment horizontal="center" vertical="center"/>
    </xf>
    <xf numFmtId="0" fontId="79" fillId="3" borderId="1" xfId="0" applyFont="1" applyFill="1" applyBorder="1" applyAlignment="1">
      <alignment horizontal="center" vertical="center"/>
    </xf>
    <xf numFmtId="170" fontId="79" fillId="0" borderId="1" xfId="0" applyNumberFormat="1" applyFont="1" applyBorder="1" applyAlignment="1">
      <alignment horizontal="center" vertical="center"/>
    </xf>
    <xf numFmtId="44" fontId="79" fillId="0" borderId="1" xfId="3" applyFont="1" applyBorder="1" applyAlignment="1">
      <alignment vertical="center"/>
    </xf>
    <xf numFmtId="44" fontId="11" fillId="4" borderId="10" xfId="5" applyFont="1" applyFill="1" applyBorder="1" applyAlignment="1">
      <alignment horizontal="center" vertical="center"/>
    </xf>
    <xf numFmtId="44" fontId="80" fillId="0" borderId="1" xfId="3" applyFont="1" applyBorder="1" applyAlignment="1">
      <alignment vertical="center"/>
    </xf>
    <xf numFmtId="0" fontId="80" fillId="0" borderId="1" xfId="0" applyFont="1" applyBorder="1" applyAlignment="1">
      <alignment horizontal="center" vertical="center"/>
    </xf>
    <xf numFmtId="0" fontId="11" fillId="0" borderId="1" xfId="72" applyFont="1" applyFill="1" applyBorder="1" applyAlignment="1">
      <alignment horizontal="center" vertical="center" wrapText="1"/>
    </xf>
    <xf numFmtId="10" fontId="11" fillId="0" borderId="1" xfId="72" applyNumberFormat="1" applyFont="1" applyFill="1" applyBorder="1" applyAlignment="1">
      <alignment horizontal="center" vertical="center"/>
    </xf>
    <xf numFmtId="44" fontId="80" fillId="0" borderId="1" xfId="3" applyFont="1" applyFill="1" applyBorder="1" applyAlignment="1">
      <alignment horizontal="center" vertical="center" wrapText="1"/>
    </xf>
    <xf numFmtId="0" fontId="80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3" fontId="57" fillId="0" borderId="0" xfId="525" applyFont="1"/>
    <xf numFmtId="0" fontId="0" fillId="0" borderId="1" xfId="0" applyBorder="1"/>
    <xf numFmtId="0" fontId="0" fillId="0" borderId="1" xfId="0" applyBorder="1" applyAlignment="1">
      <alignment horizontal="center"/>
    </xf>
    <xf numFmtId="0" fontId="81" fillId="0" borderId="1" xfId="0" applyFont="1" applyBorder="1" applyAlignment="1">
      <alignment horizontal="center"/>
    </xf>
    <xf numFmtId="43" fontId="62" fillId="4" borderId="1" xfId="525" applyFont="1" applyFill="1" applyBorder="1" applyAlignment="1">
      <alignment horizontal="center"/>
    </xf>
    <xf numFmtId="43" fontId="57" fillId="4" borderId="1" xfId="525" applyFont="1" applyFill="1" applyBorder="1"/>
    <xf numFmtId="43" fontId="62" fillId="4" borderId="1" xfId="525" applyFont="1" applyFill="1" applyBorder="1"/>
    <xf numFmtId="43" fontId="62" fillId="7" borderId="1" xfId="525" applyFont="1" applyFill="1" applyBorder="1" applyAlignment="1">
      <alignment horizontal="center"/>
    </xf>
    <xf numFmtId="43" fontId="57" fillId="7" borderId="1" xfId="525" applyFont="1" applyFill="1" applyBorder="1"/>
    <xf numFmtId="43" fontId="62" fillId="7" borderId="1" xfId="525" applyFont="1" applyFill="1" applyBorder="1"/>
    <xf numFmtId="43" fontId="62" fillId="8" borderId="1" xfId="525" applyFont="1" applyFill="1" applyBorder="1" applyAlignment="1">
      <alignment horizontal="center"/>
    </xf>
    <xf numFmtId="43" fontId="57" fillId="8" borderId="1" xfId="525" applyFont="1" applyFill="1" applyBorder="1"/>
    <xf numFmtId="43" fontId="62" fillId="8" borderId="1" xfId="525" applyFont="1" applyFill="1" applyBorder="1"/>
    <xf numFmtId="0" fontId="11" fillId="4" borderId="1" xfId="72" applyFont="1" applyFill="1" applyBorder="1" applyAlignment="1">
      <alignment horizontal="center" vertical="center" wrapText="1"/>
    </xf>
    <xf numFmtId="44" fontId="11" fillId="4" borderId="10" xfId="5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43" fontId="57" fillId="0" borderId="0" xfId="525" applyFont="1"/>
    <xf numFmtId="0" fontId="64" fillId="0" borderId="12" xfId="0" applyFont="1" applyBorder="1" applyAlignment="1">
      <alignment horizontal="center" vertical="center" wrapText="1"/>
    </xf>
    <xf numFmtId="0" fontId="83" fillId="0" borderId="71" xfId="0" applyFont="1" applyFill="1" applyBorder="1" applyAlignment="1">
      <alignment horizontal="center" vertical="center" wrapText="1"/>
    </xf>
    <xf numFmtId="0" fontId="64" fillId="0" borderId="13" xfId="0" applyFont="1" applyBorder="1" applyAlignment="1">
      <alignment horizontal="center" vertical="center" wrapText="1"/>
    </xf>
    <xf numFmtId="0" fontId="64" fillId="0" borderId="72" xfId="0" applyFont="1" applyBorder="1" applyAlignment="1">
      <alignment horizontal="center" vertical="center" wrapText="1"/>
    </xf>
    <xf numFmtId="0" fontId="64" fillId="0" borderId="73" xfId="0" applyFont="1" applyBorder="1" applyAlignment="1">
      <alignment horizontal="center" vertical="center" wrapText="1"/>
    </xf>
    <xf numFmtId="43" fontId="64" fillId="0" borderId="73" xfId="525" applyFont="1" applyBorder="1" applyAlignment="1">
      <alignment horizontal="center" vertical="center" wrapText="1"/>
    </xf>
    <xf numFmtId="43" fontId="84" fillId="0" borderId="73" xfId="525" applyFont="1" applyBorder="1" applyAlignment="1">
      <alignment horizontal="center" vertical="center" wrapText="1"/>
    </xf>
    <xf numFmtId="43" fontId="85" fillId="0" borderId="73" xfId="525" applyFont="1" applyBorder="1" applyAlignment="1">
      <alignment horizontal="center" vertical="center" wrapText="1"/>
    </xf>
    <xf numFmtId="43" fontId="86" fillId="9" borderId="13" xfId="525" applyFont="1" applyFill="1" applyBorder="1" applyAlignment="1">
      <alignment horizontal="center" vertical="center" wrapText="1"/>
    </xf>
    <xf numFmtId="0" fontId="65" fillId="7" borderId="2" xfId="0" applyFont="1" applyFill="1" applyBorder="1" applyAlignment="1">
      <alignment wrapText="1"/>
    </xf>
    <xf numFmtId="43" fontId="87" fillId="7" borderId="2" xfId="525" applyFont="1" applyFill="1" applyBorder="1"/>
    <xf numFmtId="43" fontId="88" fillId="7" borderId="2" xfId="525" applyFont="1" applyFill="1" applyBorder="1"/>
    <xf numFmtId="43" fontId="83" fillId="7" borderId="8" xfId="525" applyFont="1" applyFill="1" applyBorder="1"/>
    <xf numFmtId="0" fontId="80" fillId="7" borderId="9" xfId="0" applyFont="1" applyFill="1" applyBorder="1" applyAlignment="1">
      <alignment horizontal="center" vertical="center"/>
    </xf>
    <xf numFmtId="0" fontId="80" fillId="7" borderId="1" xfId="0" applyFont="1" applyFill="1" applyBorder="1"/>
    <xf numFmtId="0" fontId="80" fillId="7" borderId="1" xfId="0" applyFont="1" applyFill="1" applyBorder="1" applyAlignment="1">
      <alignment wrapText="1"/>
    </xf>
    <xf numFmtId="0" fontId="80" fillId="7" borderId="1" xfId="0" applyFont="1" applyFill="1" applyBorder="1" applyAlignment="1">
      <alignment horizontal="center"/>
    </xf>
    <xf numFmtId="0" fontId="65" fillId="7" borderId="1" xfId="0" applyFont="1" applyFill="1" applyBorder="1" applyAlignment="1">
      <alignment horizontal="center"/>
    </xf>
    <xf numFmtId="43" fontId="87" fillId="7" borderId="1" xfId="525" applyFont="1" applyFill="1" applyBorder="1"/>
    <xf numFmtId="43" fontId="88" fillId="7" borderId="1" xfId="525" applyFont="1" applyFill="1" applyBorder="1"/>
    <xf numFmtId="0" fontId="65" fillId="7" borderId="1" xfId="0" applyFont="1" applyFill="1" applyBorder="1"/>
    <xf numFmtId="0" fontId="65" fillId="7" borderId="1" xfId="0" applyFont="1" applyFill="1" applyBorder="1" applyAlignment="1">
      <alignment wrapText="1"/>
    </xf>
    <xf numFmtId="0" fontId="80" fillId="7" borderId="2" xfId="0" applyFont="1" applyFill="1" applyBorder="1" applyAlignment="1">
      <alignment horizontal="center"/>
    </xf>
    <xf numFmtId="43" fontId="83" fillId="7" borderId="8" xfId="525" applyFont="1" applyFill="1" applyBorder="1" applyAlignment="1">
      <alignment horizontal="right"/>
    </xf>
    <xf numFmtId="0" fontId="65" fillId="7" borderId="9" xfId="0" applyFont="1" applyFill="1" applyBorder="1" applyAlignment="1">
      <alignment horizontal="center" vertical="center" wrapText="1"/>
    </xf>
    <xf numFmtId="43" fontId="83" fillId="7" borderId="5" xfId="525" applyFont="1" applyFill="1" applyBorder="1" applyAlignment="1">
      <alignment vertical="center"/>
    </xf>
    <xf numFmtId="0" fontId="65" fillId="7" borderId="7" xfId="0" applyFont="1" applyFill="1" applyBorder="1" applyAlignment="1">
      <alignment horizontal="center" vertical="center" wrapText="1"/>
    </xf>
    <xf numFmtId="0" fontId="65" fillId="7" borderId="10" xfId="0" applyFont="1" applyFill="1" applyBorder="1" applyAlignment="1">
      <alignment vertical="center"/>
    </xf>
    <xf numFmtId="0" fontId="64" fillId="7" borderId="10" xfId="0" applyFont="1" applyFill="1" applyBorder="1" applyAlignment="1">
      <alignment vertical="center" wrapText="1"/>
    </xf>
    <xf numFmtId="0" fontId="65" fillId="7" borderId="1" xfId="0" applyFont="1" applyFill="1" applyBorder="1" applyAlignment="1">
      <alignment horizontal="center" vertical="center"/>
    </xf>
    <xf numFmtId="43" fontId="87" fillId="7" borderId="10" xfId="525" applyFont="1" applyFill="1" applyBorder="1" applyAlignment="1">
      <alignment vertical="center"/>
    </xf>
    <xf numFmtId="43" fontId="88" fillId="7" borderId="10" xfId="525" applyFont="1" applyFill="1" applyBorder="1" applyAlignment="1">
      <alignment vertical="center"/>
    </xf>
    <xf numFmtId="0" fontId="62" fillId="7" borderId="14" xfId="0" applyFont="1" applyFill="1" applyBorder="1" applyAlignment="1">
      <alignment horizontal="center"/>
    </xf>
    <xf numFmtId="0" fontId="65" fillId="4" borderId="15" xfId="0" applyFont="1" applyFill="1" applyBorder="1" applyAlignment="1">
      <alignment horizontal="center"/>
    </xf>
    <xf numFmtId="0" fontId="65" fillId="4" borderId="16" xfId="0" applyFont="1" applyFill="1" applyBorder="1"/>
    <xf numFmtId="0" fontId="65" fillId="4" borderId="16" xfId="0" applyFont="1" applyFill="1" applyBorder="1" applyAlignment="1">
      <alignment wrapText="1"/>
    </xf>
    <xf numFmtId="0" fontId="80" fillId="4" borderId="16" xfId="0" applyFont="1" applyFill="1" applyBorder="1" applyAlignment="1">
      <alignment horizontal="center"/>
    </xf>
    <xf numFmtId="43" fontId="87" fillId="4" borderId="17" xfId="525" applyFont="1" applyFill="1" applyBorder="1"/>
    <xf numFmtId="43" fontId="88" fillId="4" borderId="18" xfId="525" applyFont="1" applyFill="1" applyBorder="1"/>
    <xf numFmtId="43" fontId="83" fillId="4" borderId="5" xfId="525" applyFont="1" applyFill="1" applyBorder="1" applyAlignment="1">
      <alignment vertical="center"/>
    </xf>
    <xf numFmtId="0" fontId="65" fillId="4" borderId="9" xfId="0" applyFont="1" applyFill="1" applyBorder="1" applyAlignment="1">
      <alignment horizontal="center"/>
    </xf>
    <xf numFmtId="0" fontId="65" fillId="4" borderId="1" xfId="0" applyFont="1" applyFill="1" applyBorder="1"/>
    <xf numFmtId="0" fontId="65" fillId="4" borderId="1" xfId="0" applyFont="1" applyFill="1" applyBorder="1" applyAlignment="1">
      <alignment wrapText="1"/>
    </xf>
    <xf numFmtId="0" fontId="80" fillId="4" borderId="10" xfId="0" applyFont="1" applyFill="1" applyBorder="1" applyAlignment="1">
      <alignment horizontal="center"/>
    </xf>
    <xf numFmtId="0" fontId="80" fillId="4" borderId="19" xfId="0" applyFont="1" applyFill="1" applyBorder="1" applyAlignment="1">
      <alignment horizontal="center"/>
    </xf>
    <xf numFmtId="43" fontId="87" fillId="4" borderId="1" xfId="525" applyFont="1" applyFill="1" applyBorder="1"/>
    <xf numFmtId="43" fontId="88" fillId="4" borderId="20" xfId="525" applyFont="1" applyFill="1" applyBorder="1"/>
    <xf numFmtId="0" fontId="62" fillId="10" borderId="13" xfId="0" applyNumberFormat="1" applyFont="1" applyFill="1" applyBorder="1" applyAlignment="1">
      <alignment horizontal="center" vertical="center"/>
    </xf>
    <xf numFmtId="0" fontId="65" fillId="4" borderId="1" xfId="0" applyFont="1" applyFill="1" applyBorder="1" applyAlignment="1">
      <alignment horizontal="center"/>
    </xf>
    <xf numFmtId="0" fontId="80" fillId="4" borderId="1" xfId="0" applyFont="1" applyFill="1" applyBorder="1" applyAlignment="1">
      <alignment horizontal="center"/>
    </xf>
    <xf numFmtId="43" fontId="87" fillId="4" borderId="2" xfId="525" applyFont="1" applyFill="1" applyBorder="1"/>
    <xf numFmtId="43" fontId="88" fillId="4" borderId="1" xfId="525" applyFont="1" applyFill="1" applyBorder="1"/>
    <xf numFmtId="43" fontId="87" fillId="4" borderId="19" xfId="525" applyFont="1" applyFill="1" applyBorder="1"/>
    <xf numFmtId="0" fontId="62" fillId="4" borderId="14" xfId="0" applyFont="1" applyFill="1" applyBorder="1" applyAlignment="1">
      <alignment horizontal="center"/>
    </xf>
    <xf numFmtId="0" fontId="89" fillId="11" borderId="21" xfId="0" applyFont="1" applyFill="1" applyBorder="1" applyAlignment="1">
      <alignment horizontal="center" vertical="center"/>
    </xf>
    <xf numFmtId="0" fontId="90" fillId="0" borderId="0" xfId="0" applyFont="1" applyAlignment="1"/>
    <xf numFmtId="0" fontId="64" fillId="0" borderId="22" xfId="0" applyFont="1" applyBorder="1" applyAlignment="1">
      <alignment horizontal="center" vertical="center" wrapText="1"/>
    </xf>
    <xf numFmtId="0" fontId="64" fillId="0" borderId="74" xfId="0" applyFont="1" applyBorder="1" applyAlignment="1">
      <alignment horizontal="center" vertical="center" wrapText="1"/>
    </xf>
    <xf numFmtId="0" fontId="64" fillId="0" borderId="75" xfId="0" applyFont="1" applyBorder="1" applyAlignment="1">
      <alignment horizontal="center" vertical="center" wrapText="1"/>
    </xf>
    <xf numFmtId="43" fontId="64" fillId="0" borderId="75" xfId="525" applyFont="1" applyBorder="1" applyAlignment="1">
      <alignment horizontal="center" vertical="center" wrapText="1"/>
    </xf>
    <xf numFmtId="43" fontId="84" fillId="0" borderId="22" xfId="525" applyFont="1" applyBorder="1" applyAlignment="1">
      <alignment horizontal="center" vertical="center" wrapText="1"/>
    </xf>
    <xf numFmtId="43" fontId="85" fillId="0" borderId="13" xfId="525" applyFont="1" applyBorder="1" applyAlignment="1">
      <alignment horizontal="center" vertical="center" wrapText="1"/>
    </xf>
    <xf numFmtId="43" fontId="86" fillId="9" borderId="22" xfId="525" applyFont="1" applyFill="1" applyBorder="1" applyAlignment="1">
      <alignment horizontal="center" vertical="center" wrapText="1"/>
    </xf>
    <xf numFmtId="0" fontId="64" fillId="7" borderId="23" xfId="0" applyFont="1" applyFill="1" applyBorder="1" applyAlignment="1">
      <alignment horizontal="center" vertical="center" wrapText="1"/>
    </xf>
    <xf numFmtId="0" fontId="65" fillId="7" borderId="16" xfId="0" applyFont="1" applyFill="1" applyBorder="1" applyAlignment="1">
      <alignment horizontal="center" vertical="center"/>
    </xf>
    <xf numFmtId="0" fontId="65" fillId="7" borderId="15" xfId="0" applyFont="1" applyFill="1" applyBorder="1" applyAlignment="1">
      <alignment vertical="center"/>
    </xf>
    <xf numFmtId="0" fontId="64" fillId="7" borderId="16" xfId="0" applyFont="1" applyFill="1" applyBorder="1" applyAlignment="1">
      <alignment vertical="center" wrapText="1"/>
    </xf>
    <xf numFmtId="43" fontId="87" fillId="7" borderId="16" xfId="525" applyFont="1" applyFill="1" applyBorder="1" applyAlignment="1">
      <alignment vertical="center"/>
    </xf>
    <xf numFmtId="43" fontId="88" fillId="7" borderId="16" xfId="525" applyFont="1" applyFill="1" applyBorder="1" applyAlignment="1">
      <alignment vertical="center"/>
    </xf>
    <xf numFmtId="43" fontId="83" fillId="7" borderId="20" xfId="525" applyFont="1" applyFill="1" applyBorder="1" applyAlignment="1">
      <alignment vertical="center"/>
    </xf>
    <xf numFmtId="0" fontId="64" fillId="4" borderId="24" xfId="0" applyFont="1" applyFill="1" applyBorder="1" applyAlignment="1">
      <alignment horizontal="center" vertical="center"/>
    </xf>
    <xf numFmtId="0" fontId="65" fillId="4" borderId="2" xfId="0" applyFont="1" applyFill="1" applyBorder="1" applyAlignment="1">
      <alignment wrapText="1"/>
    </xf>
    <xf numFmtId="0" fontId="89" fillId="11" borderId="13" xfId="0" applyFont="1" applyFill="1" applyBorder="1" applyAlignment="1">
      <alignment horizontal="center" vertical="center"/>
    </xf>
    <xf numFmtId="0" fontId="91" fillId="0" borderId="0" xfId="0" applyFont="1" applyAlignment="1">
      <alignment wrapText="1"/>
    </xf>
    <xf numFmtId="0" fontId="64" fillId="0" borderId="76" xfId="0" applyFont="1" applyBorder="1" applyAlignment="1">
      <alignment horizontal="center" vertical="center" wrapText="1"/>
    </xf>
    <xf numFmtId="0" fontId="83" fillId="0" borderId="77" xfId="0" applyFont="1" applyFill="1" applyBorder="1" applyAlignment="1">
      <alignment horizontal="center" vertical="center" wrapText="1"/>
    </xf>
    <xf numFmtId="0" fontId="64" fillId="0" borderId="25" xfId="0" applyFont="1" applyBorder="1" applyAlignment="1">
      <alignment horizontal="center" vertical="center" wrapText="1"/>
    </xf>
    <xf numFmtId="43" fontId="84" fillId="0" borderId="13" xfId="525" applyFont="1" applyBorder="1" applyAlignment="1">
      <alignment horizontal="center" vertical="center" wrapText="1"/>
    </xf>
    <xf numFmtId="0" fontId="65" fillId="7" borderId="26" xfId="0" applyFont="1" applyFill="1" applyBorder="1" applyAlignment="1">
      <alignment horizontal="center"/>
    </xf>
    <xf numFmtId="0" fontId="65" fillId="7" borderId="26" xfId="0" applyFont="1" applyFill="1" applyBorder="1"/>
    <xf numFmtId="43" fontId="83" fillId="7" borderId="20" xfId="525" applyFont="1" applyFill="1" applyBorder="1"/>
    <xf numFmtId="0" fontId="65" fillId="7" borderId="9" xfId="0" applyFont="1" applyFill="1" applyBorder="1" applyAlignment="1">
      <alignment horizontal="center" vertical="center"/>
    </xf>
    <xf numFmtId="0" fontId="65" fillId="7" borderId="9" xfId="0" applyFont="1" applyFill="1" applyBorder="1" applyAlignment="1">
      <alignment vertical="center"/>
    </xf>
    <xf numFmtId="0" fontId="64" fillId="7" borderId="1" xfId="0" applyFont="1" applyFill="1" applyBorder="1" applyAlignment="1">
      <alignment vertical="center" wrapText="1"/>
    </xf>
    <xf numFmtId="43" fontId="83" fillId="7" borderId="1" xfId="525" applyFont="1" applyFill="1" applyBorder="1"/>
    <xf numFmtId="0" fontId="65" fillId="7" borderId="9" xfId="0" applyFont="1" applyFill="1" applyBorder="1" applyAlignment="1">
      <alignment horizontal="center"/>
    </xf>
    <xf numFmtId="0" fontId="65" fillId="7" borderId="9" xfId="0" applyFont="1" applyFill="1" applyBorder="1"/>
    <xf numFmtId="0" fontId="65" fillId="7" borderId="2" xfId="0" applyFont="1" applyFill="1" applyBorder="1" applyAlignment="1">
      <alignment horizontal="center" vertical="center"/>
    </xf>
    <xf numFmtId="43" fontId="83" fillId="4" borderId="1" xfId="525" applyFont="1" applyFill="1" applyBorder="1"/>
    <xf numFmtId="0" fontId="65" fillId="4" borderId="7" xfId="0" applyFont="1" applyFill="1" applyBorder="1" applyAlignment="1">
      <alignment horizontal="center"/>
    </xf>
    <xf numFmtId="0" fontId="65" fillId="4" borderId="10" xfId="0" applyFont="1" applyFill="1" applyBorder="1"/>
    <xf numFmtId="0" fontId="65" fillId="4" borderId="10" xfId="0" applyFont="1" applyFill="1" applyBorder="1" applyAlignment="1">
      <alignment wrapText="1"/>
    </xf>
    <xf numFmtId="43" fontId="87" fillId="4" borderId="10" xfId="525" applyFont="1" applyFill="1" applyBorder="1"/>
    <xf numFmtId="43" fontId="88" fillId="4" borderId="10" xfId="525" applyFont="1" applyFill="1" applyBorder="1"/>
    <xf numFmtId="43" fontId="83" fillId="4" borderId="10" xfId="525" applyFont="1" applyFill="1" applyBorder="1"/>
    <xf numFmtId="0" fontId="65" fillId="7" borderId="15" xfId="0" applyFont="1" applyFill="1" applyBorder="1" applyAlignment="1">
      <alignment horizontal="center" vertical="center"/>
    </xf>
    <xf numFmtId="43" fontId="83" fillId="7" borderId="18" xfId="525" applyFont="1" applyFill="1" applyBorder="1" applyAlignment="1">
      <alignment vertical="center"/>
    </xf>
    <xf numFmtId="0" fontId="65" fillId="4" borderId="26" xfId="0" applyFont="1" applyFill="1" applyBorder="1" applyAlignment="1">
      <alignment horizontal="center"/>
    </xf>
    <xf numFmtId="0" fontId="65" fillId="4" borderId="2" xfId="0" applyFont="1" applyFill="1" applyBorder="1"/>
    <xf numFmtId="0" fontId="80" fillId="4" borderId="2" xfId="0" applyFont="1" applyFill="1" applyBorder="1" applyAlignment="1">
      <alignment horizontal="center"/>
    </xf>
    <xf numFmtId="43" fontId="83" fillId="4" borderId="10" xfId="525" applyFont="1" applyFill="1" applyBorder="1" applyAlignment="1">
      <alignment vertical="center"/>
    </xf>
    <xf numFmtId="0" fontId="65" fillId="4" borderId="10" xfId="0" applyFont="1" applyFill="1" applyBorder="1" applyAlignment="1">
      <alignment horizontal="center"/>
    </xf>
    <xf numFmtId="43" fontId="85" fillId="0" borderId="22" xfId="525" applyFont="1" applyBorder="1" applyAlignment="1">
      <alignment horizontal="center" vertical="center" wrapText="1"/>
    </xf>
    <xf numFmtId="0" fontId="83" fillId="7" borderId="23" xfId="0" applyFont="1" applyFill="1" applyBorder="1" applyAlignment="1">
      <alignment horizontal="center" vertical="center" wrapText="1"/>
    </xf>
    <xf numFmtId="0" fontId="65" fillId="7" borderId="16" xfId="0" applyFont="1" applyFill="1" applyBorder="1" applyAlignment="1">
      <alignment vertical="center"/>
    </xf>
    <xf numFmtId="43" fontId="83" fillId="7" borderId="16" xfId="525" applyFont="1" applyFill="1" applyBorder="1" applyAlignment="1">
      <alignment vertical="center"/>
    </xf>
    <xf numFmtId="0" fontId="83" fillId="4" borderId="24" xfId="0" applyFont="1" applyFill="1" applyBorder="1" applyAlignment="1">
      <alignment horizontal="center" vertical="center"/>
    </xf>
    <xf numFmtId="0" fontId="65" fillId="4" borderId="19" xfId="0" applyFont="1" applyFill="1" applyBorder="1" applyAlignment="1">
      <alignment wrapText="1"/>
    </xf>
    <xf numFmtId="0" fontId="0" fillId="0" borderId="0" xfId="0" applyBorder="1" applyAlignment="1">
      <alignment horizontal="center" vertical="center" wrapText="1"/>
    </xf>
    <xf numFmtId="0" fontId="86" fillId="0" borderId="0" xfId="0" applyFont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wrapText="1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 wrapText="1"/>
    </xf>
    <xf numFmtId="0" fontId="92" fillId="0" borderId="0" xfId="0" applyFont="1" applyBorder="1" applyAlignment="1">
      <alignment horizontal="center"/>
    </xf>
    <xf numFmtId="0" fontId="62" fillId="0" borderId="0" xfId="0" applyFont="1" applyBorder="1" applyAlignment="1">
      <alignment wrapText="1"/>
    </xf>
    <xf numFmtId="0" fontId="62" fillId="0" borderId="0" xfId="0" applyFont="1" applyBorder="1" applyAlignment="1">
      <alignment horizontal="center"/>
    </xf>
    <xf numFmtId="0" fontId="81" fillId="0" borderId="0" xfId="0" applyFont="1" applyBorder="1" applyAlignment="1">
      <alignment wrapText="1"/>
    </xf>
    <xf numFmtId="43" fontId="93" fillId="0" borderId="0" xfId="525" applyFont="1"/>
    <xf numFmtId="43" fontId="94" fillId="0" borderId="0" xfId="525" applyFont="1"/>
    <xf numFmtId="0" fontId="92" fillId="0" borderId="0" xfId="0" applyFont="1" applyAlignment="1">
      <alignment horizontal="left"/>
    </xf>
    <xf numFmtId="43" fontId="92" fillId="0" borderId="0" xfId="525" applyFont="1" applyFill="1"/>
    <xf numFmtId="0" fontId="95" fillId="0" borderId="0" xfId="0" applyFont="1" applyFill="1"/>
    <xf numFmtId="0" fontId="95" fillId="0" borderId="0" xfId="0" applyFont="1" applyFill="1" applyAlignment="1">
      <alignment horizontal="center"/>
    </xf>
    <xf numFmtId="44" fontId="74" fillId="0" borderId="0" xfId="0" applyNumberFormat="1" applyFont="1" applyFill="1" applyBorder="1" applyAlignment="1">
      <alignment horizontal="center" vertical="center"/>
    </xf>
    <xf numFmtId="2" fontId="74" fillId="0" borderId="0" xfId="0" applyNumberFormat="1" applyFont="1" applyFill="1" applyBorder="1" applyAlignment="1">
      <alignment horizontal="center" vertical="center"/>
    </xf>
    <xf numFmtId="44" fontId="74" fillId="0" borderId="0" xfId="3" applyFont="1" applyFill="1" applyBorder="1" applyAlignment="1">
      <alignment horizontal="center" vertical="center"/>
    </xf>
    <xf numFmtId="0" fontId="0" fillId="0" borderId="0" xfId="0" applyFill="1"/>
    <xf numFmtId="0" fontId="68" fillId="0" borderId="4" xfId="85" applyFont="1" applyFill="1" applyBorder="1" applyAlignment="1">
      <alignment horizontal="left" vertical="center"/>
    </xf>
    <xf numFmtId="0" fontId="68" fillId="0" borderId="0" xfId="85" applyFont="1" applyBorder="1" applyAlignment="1">
      <alignment horizontal="center" vertical="center"/>
    </xf>
    <xf numFmtId="0" fontId="67" fillId="0" borderId="0" xfId="85" applyFont="1" applyBorder="1" applyAlignment="1">
      <alignment horizontal="center" vertical="center"/>
    </xf>
    <xf numFmtId="0" fontId="9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quotePrefix="1"/>
    <xf numFmtId="0" fontId="96" fillId="0" borderId="27" xfId="0" applyFont="1" applyBorder="1" applyAlignment="1">
      <alignment horizontal="center"/>
    </xf>
    <xf numFmtId="0" fontId="96" fillId="0" borderId="28" xfId="0" applyFont="1" applyBorder="1" applyAlignment="1">
      <alignment horizontal="center"/>
    </xf>
    <xf numFmtId="0" fontId="96" fillId="0" borderId="29" xfId="0" applyFont="1" applyBorder="1" applyAlignment="1">
      <alignment horizontal="center"/>
    </xf>
    <xf numFmtId="0" fontId="96" fillId="0" borderId="30" xfId="0" applyFont="1" applyBorder="1" applyAlignment="1">
      <alignment horizontal="center"/>
    </xf>
    <xf numFmtId="0" fontId="96" fillId="0" borderId="0" xfId="0" applyFont="1" applyBorder="1" applyAlignment="1">
      <alignment horizontal="center"/>
    </xf>
    <xf numFmtId="0" fontId="96" fillId="0" borderId="31" xfId="0" applyFont="1" applyBorder="1" applyAlignment="1">
      <alignment horizontal="center"/>
    </xf>
    <xf numFmtId="172" fontId="0" fillId="0" borderId="0" xfId="0" applyNumberFormat="1" applyFont="1" applyBorder="1" applyAlignment="1"/>
    <xf numFmtId="0" fontId="0" fillId="0" borderId="30" xfId="0" applyBorder="1"/>
    <xf numFmtId="0" fontId="0" fillId="0" borderId="31" xfId="0" applyBorder="1"/>
    <xf numFmtId="0" fontId="0" fillId="0" borderId="3" xfId="0" applyBorder="1" applyAlignment="1">
      <alignment horizontal="center"/>
    </xf>
    <xf numFmtId="0" fontId="0" fillId="0" borderId="8" xfId="0" applyBorder="1"/>
    <xf numFmtId="0" fontId="96" fillId="0" borderId="8" xfId="0" applyFont="1" applyBorder="1" applyAlignment="1">
      <alignment vertical="center"/>
    </xf>
    <xf numFmtId="0" fontId="96" fillId="0" borderId="8" xfId="0" applyFont="1" applyBorder="1"/>
    <xf numFmtId="0" fontId="96" fillId="0" borderId="0" xfId="0" applyFont="1" applyBorder="1"/>
    <xf numFmtId="172" fontId="96" fillId="0" borderId="0" xfId="0" applyNumberFormat="1" applyFont="1" applyFill="1" applyBorder="1" applyAlignment="1">
      <alignment horizontal="center"/>
    </xf>
    <xf numFmtId="0" fontId="96" fillId="0" borderId="0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11" xfId="0" applyBorder="1"/>
    <xf numFmtId="0" fontId="0" fillId="0" borderId="33" xfId="0" applyBorder="1"/>
    <xf numFmtId="190" fontId="0" fillId="0" borderId="28" xfId="0" applyNumberFormat="1" applyBorder="1" applyAlignment="1">
      <alignment horizontal="center"/>
    </xf>
    <xf numFmtId="0" fontId="65" fillId="4" borderId="1" xfId="0" applyFont="1" applyFill="1" applyBorder="1" applyAlignment="1">
      <alignment horizontal="center" vertical="center"/>
    </xf>
    <xf numFmtId="0" fontId="65" fillId="4" borderId="1" xfId="0" applyFont="1" applyFill="1" applyBorder="1" applyAlignment="1">
      <alignment vertical="center"/>
    </xf>
    <xf numFmtId="0" fontId="65" fillId="4" borderId="1" xfId="0" applyFont="1" applyFill="1" applyBorder="1" applyAlignment="1">
      <alignment vertical="center" wrapText="1"/>
    </xf>
    <xf numFmtId="0" fontId="80" fillId="4" borderId="1" xfId="0" applyFont="1" applyFill="1" applyBorder="1" applyAlignment="1">
      <alignment horizontal="center" vertical="center"/>
    </xf>
    <xf numFmtId="43" fontId="87" fillId="4" borderId="2" xfId="525" applyFont="1" applyFill="1" applyBorder="1" applyAlignment="1">
      <alignment vertical="center"/>
    </xf>
    <xf numFmtId="43" fontId="88" fillId="4" borderId="1" xfId="525" applyFont="1" applyFill="1" applyBorder="1" applyAlignment="1">
      <alignment vertical="center"/>
    </xf>
    <xf numFmtId="0" fontId="0" fillId="0" borderId="0" xfId="0" applyAlignment="1">
      <alignment vertical="center"/>
    </xf>
    <xf numFmtId="43" fontId="87" fillId="7" borderId="1" xfId="525" applyFont="1" applyFill="1" applyBorder="1" applyAlignment="1">
      <alignment vertical="center"/>
    </xf>
    <xf numFmtId="1" fontId="63" fillId="0" borderId="1" xfId="3" applyNumberFormat="1" applyFont="1" applyBorder="1" applyAlignment="1">
      <alignment horizontal="center" vertical="center"/>
    </xf>
    <xf numFmtId="1" fontId="63" fillId="0" borderId="1" xfId="3" applyNumberFormat="1" applyFont="1" applyFill="1" applyBorder="1" applyAlignment="1">
      <alignment horizontal="center" vertical="center"/>
    </xf>
    <xf numFmtId="1" fontId="74" fillId="5" borderId="1" xfId="3" applyNumberFormat="1" applyFont="1" applyFill="1" applyBorder="1" applyAlignment="1">
      <alignment horizontal="center" vertical="center"/>
    </xf>
    <xf numFmtId="1" fontId="74" fillId="5" borderId="1" xfId="0" applyNumberFormat="1" applyFont="1" applyFill="1" applyBorder="1" applyAlignment="1">
      <alignment horizontal="center" vertical="center"/>
    </xf>
    <xf numFmtId="1" fontId="80" fillId="7" borderId="1" xfId="0" applyNumberFormat="1" applyFont="1" applyFill="1" applyBorder="1" applyAlignment="1">
      <alignment horizontal="center"/>
    </xf>
    <xf numFmtId="1" fontId="80" fillId="7" borderId="2" xfId="0" applyNumberFormat="1" applyFont="1" applyFill="1" applyBorder="1" applyAlignment="1">
      <alignment horizontal="center"/>
    </xf>
    <xf numFmtId="1" fontId="65" fillId="7" borderId="1" xfId="0" applyNumberFormat="1" applyFont="1" applyFill="1" applyBorder="1" applyAlignment="1">
      <alignment horizontal="center"/>
    </xf>
    <xf numFmtId="1" fontId="65" fillId="7" borderId="10" xfId="0" applyNumberFormat="1" applyFont="1" applyFill="1" applyBorder="1" applyAlignment="1">
      <alignment horizontal="center" vertical="center"/>
    </xf>
    <xf numFmtId="1" fontId="80" fillId="4" borderId="16" xfId="0" applyNumberFormat="1" applyFont="1" applyFill="1" applyBorder="1" applyAlignment="1">
      <alignment horizontal="center"/>
    </xf>
    <xf numFmtId="1" fontId="80" fillId="4" borderId="10" xfId="0" applyNumberFormat="1" applyFont="1" applyFill="1" applyBorder="1" applyAlignment="1">
      <alignment horizontal="center"/>
    </xf>
    <xf numFmtId="1" fontId="80" fillId="4" borderId="1" xfId="0" applyNumberFormat="1" applyFont="1" applyFill="1" applyBorder="1" applyAlignment="1">
      <alignment horizontal="center"/>
    </xf>
    <xf numFmtId="1" fontId="80" fillId="4" borderId="10" xfId="0" applyNumberFormat="1" applyFont="1" applyFill="1" applyBorder="1" applyAlignment="1">
      <alignment horizontal="center" vertical="center"/>
    </xf>
    <xf numFmtId="1" fontId="65" fillId="7" borderId="16" xfId="0" applyNumberFormat="1" applyFont="1" applyFill="1" applyBorder="1" applyAlignment="1">
      <alignment horizontal="center" vertical="center"/>
    </xf>
    <xf numFmtId="1" fontId="65" fillId="7" borderId="2" xfId="0" applyNumberFormat="1" applyFont="1" applyFill="1" applyBorder="1" applyAlignment="1">
      <alignment horizontal="center"/>
    </xf>
    <xf numFmtId="1" fontId="65" fillId="7" borderId="1" xfId="0" applyNumberFormat="1" applyFont="1" applyFill="1" applyBorder="1" applyAlignment="1">
      <alignment horizontal="center" vertical="center"/>
    </xf>
    <xf numFmtId="1" fontId="80" fillId="4" borderId="2" xfId="0" applyNumberFormat="1" applyFont="1" applyFill="1" applyBorder="1" applyAlignment="1">
      <alignment horizontal="center"/>
    </xf>
    <xf numFmtId="0" fontId="62" fillId="0" borderId="13" xfId="0" applyFont="1" applyBorder="1" applyAlignment="1">
      <alignment horizontal="center" vertical="center" wrapText="1"/>
    </xf>
    <xf numFmtId="0" fontId="92" fillId="0" borderId="13" xfId="0" applyFont="1" applyBorder="1" applyAlignment="1">
      <alignment horizontal="center" vertical="center"/>
    </xf>
    <xf numFmtId="0" fontId="97" fillId="0" borderId="13" xfId="0" applyFont="1" applyBorder="1" applyAlignment="1">
      <alignment horizontal="center" vertical="center"/>
    </xf>
    <xf numFmtId="43" fontId="62" fillId="0" borderId="13" xfId="525" applyFont="1" applyBorder="1" applyAlignment="1">
      <alignment horizontal="center" vertical="center"/>
    </xf>
    <xf numFmtId="43" fontId="98" fillId="12" borderId="32" xfId="525" applyFont="1" applyFill="1" applyBorder="1" applyAlignment="1">
      <alignment vertical="center"/>
    </xf>
    <xf numFmtId="43" fontId="98" fillId="12" borderId="11" xfId="525" applyFont="1" applyFill="1" applyBorder="1" applyAlignment="1">
      <alignment vertical="center"/>
    </xf>
    <xf numFmtId="43" fontId="99" fillId="0" borderId="34" xfId="525" applyFont="1" applyBorder="1" applyAlignment="1">
      <alignment vertical="center"/>
    </xf>
    <xf numFmtId="43" fontId="99" fillId="0" borderId="35" xfId="525" applyFont="1" applyBorder="1" applyAlignment="1">
      <alignment vertical="center"/>
    </xf>
    <xf numFmtId="43" fontId="99" fillId="0" borderId="15" xfId="525" applyFont="1" applyBorder="1" applyAlignment="1">
      <alignment vertical="center"/>
    </xf>
    <xf numFmtId="43" fontId="93" fillId="0" borderId="36" xfId="525" applyFont="1" applyBorder="1" applyAlignment="1">
      <alignment vertical="center"/>
    </xf>
    <xf numFmtId="43" fontId="93" fillId="0" borderId="0" xfId="525" applyFont="1" applyBorder="1" applyAlignment="1">
      <alignment vertical="center"/>
    </xf>
    <xf numFmtId="43" fontId="62" fillId="13" borderId="12" xfId="525" applyFont="1" applyFill="1" applyBorder="1" applyAlignment="1">
      <alignment vertical="center"/>
    </xf>
    <xf numFmtId="43" fontId="62" fillId="13" borderId="25" xfId="525" applyFont="1" applyFill="1" applyBorder="1" applyAlignment="1">
      <alignment vertical="center"/>
    </xf>
    <xf numFmtId="0" fontId="90" fillId="0" borderId="0" xfId="0" applyFont="1" applyAlignment="1">
      <alignment vertical="top"/>
    </xf>
    <xf numFmtId="43" fontId="97" fillId="10" borderId="37" xfId="525" applyFont="1" applyFill="1" applyBorder="1" applyAlignment="1">
      <alignment vertical="center"/>
    </xf>
    <xf numFmtId="43" fontId="97" fillId="10" borderId="4" xfId="525" applyFont="1" applyFill="1" applyBorder="1" applyAlignment="1">
      <alignment vertical="center"/>
    </xf>
    <xf numFmtId="43" fontId="97" fillId="10" borderId="9" xfId="525" applyFont="1" applyFill="1" applyBorder="1" applyAlignment="1">
      <alignment vertical="center"/>
    </xf>
    <xf numFmtId="43" fontId="57" fillId="0" borderId="0" xfId="525" applyFont="1" applyAlignment="1">
      <alignment vertical="center"/>
    </xf>
    <xf numFmtId="0" fontId="62" fillId="0" borderId="0" xfId="0" applyFont="1" applyBorder="1" applyAlignment="1">
      <alignment horizontal="center" vertical="center" wrapText="1"/>
    </xf>
    <xf numFmtId="0" fontId="92" fillId="0" borderId="0" xfId="0" applyFont="1" applyBorder="1" applyAlignment="1">
      <alignment horizontal="center" vertical="center"/>
    </xf>
    <xf numFmtId="0" fontId="97" fillId="0" borderId="0" xfId="0" applyFont="1" applyBorder="1" applyAlignment="1">
      <alignment horizontal="center" vertical="center"/>
    </xf>
    <xf numFmtId="43" fontId="62" fillId="0" borderId="0" xfId="525" applyFont="1" applyBorder="1" applyAlignment="1">
      <alignment horizontal="center" vertical="center"/>
    </xf>
    <xf numFmtId="0" fontId="79" fillId="0" borderId="0" xfId="0" applyFont="1" applyAlignment="1">
      <alignment horizontal="right" vertical="center" wrapText="1"/>
    </xf>
    <xf numFmtId="1" fontId="79" fillId="0" borderId="0" xfId="0" applyNumberFormat="1" applyFont="1" applyAlignment="1">
      <alignment horizontal="center" vertical="center"/>
    </xf>
    <xf numFmtId="0" fontId="79" fillId="0" borderId="0" xfId="0" applyFont="1" applyFill="1" applyBorder="1" applyAlignment="1">
      <alignment horizontal="right" vertical="center"/>
    </xf>
    <xf numFmtId="43" fontId="57" fillId="0" borderId="0" xfId="525" applyFont="1" applyFill="1" applyBorder="1" applyAlignment="1">
      <alignment horizontal="center" vertical="center"/>
    </xf>
    <xf numFmtId="43" fontId="79" fillId="0" borderId="0" xfId="525" applyFont="1" applyAlignment="1">
      <alignment vertical="center"/>
    </xf>
    <xf numFmtId="0" fontId="0" fillId="0" borderId="0" xfId="0" applyAlignment="1">
      <alignment horizontal="left"/>
    </xf>
    <xf numFmtId="2" fontId="74" fillId="5" borderId="8" xfId="0" applyNumberFormat="1" applyFont="1" applyFill="1" applyBorder="1" applyAlignment="1">
      <alignment horizontal="center" vertical="center"/>
    </xf>
    <xf numFmtId="2" fontId="74" fillId="5" borderId="4" xfId="0" applyNumberFormat="1" applyFont="1" applyFill="1" applyBorder="1" applyAlignment="1">
      <alignment horizontal="center" vertical="center"/>
    </xf>
    <xf numFmtId="44" fontId="74" fillId="5" borderId="4" xfId="0" applyNumberFormat="1" applyFont="1" applyFill="1" applyBorder="1" applyAlignment="1">
      <alignment horizontal="center" vertical="center"/>
    </xf>
    <xf numFmtId="44" fontId="74" fillId="5" borderId="4" xfId="3" applyFont="1" applyFill="1" applyBorder="1" applyAlignment="1">
      <alignment horizontal="center" vertical="center"/>
    </xf>
    <xf numFmtId="44" fontId="74" fillId="5" borderId="9" xfId="3" applyFont="1" applyFill="1" applyBorder="1" applyAlignment="1">
      <alignment horizontal="center" vertical="center"/>
    </xf>
    <xf numFmtId="0" fontId="86" fillId="10" borderId="13" xfId="0" applyFont="1" applyFill="1" applyBorder="1" applyAlignment="1">
      <alignment horizontal="center" vertical="center"/>
    </xf>
    <xf numFmtId="0" fontId="100" fillId="5" borderId="1" xfId="0" applyFont="1" applyFill="1" applyBorder="1" applyAlignment="1">
      <alignment horizontal="center" vertical="center" wrapText="1"/>
    </xf>
    <xf numFmtId="44" fontId="11" fillId="4" borderId="10" xfId="5" applyFont="1" applyFill="1" applyBorder="1" applyAlignment="1">
      <alignment horizontal="center" vertical="center"/>
    </xf>
    <xf numFmtId="172" fontId="53" fillId="0" borderId="0" xfId="0" applyNumberFormat="1" applyFont="1" applyBorder="1" applyAlignment="1"/>
    <xf numFmtId="10" fontId="62" fillId="0" borderId="0" xfId="0" applyNumberFormat="1" applyFont="1" applyFill="1" applyBorder="1" applyAlignment="1"/>
    <xf numFmtId="0" fontId="67" fillId="14" borderId="0" xfId="85" applyFont="1" applyFill="1" applyAlignment="1">
      <alignment vertical="center"/>
    </xf>
    <xf numFmtId="10" fontId="11" fillId="0" borderId="0" xfId="519" applyNumberFormat="1" applyFont="1"/>
    <xf numFmtId="44" fontId="11" fillId="0" borderId="0" xfId="5" applyFont="1" applyFill="1"/>
    <xf numFmtId="0" fontId="101" fillId="0" borderId="0" xfId="0" applyFont="1" applyAlignment="1">
      <alignment horizontal="right"/>
    </xf>
    <xf numFmtId="10" fontId="20" fillId="0" borderId="0" xfId="519" applyNumberFormat="1" applyFont="1" applyAlignment="1">
      <alignment horizontal="center"/>
    </xf>
    <xf numFmtId="0" fontId="102" fillId="0" borderId="0" xfId="0" applyFont="1"/>
    <xf numFmtId="0" fontId="0" fillId="0" borderId="0" xfId="0" applyAlignment="1">
      <alignment horizontal="center"/>
    </xf>
    <xf numFmtId="170" fontId="65" fillId="0" borderId="1" xfId="0" applyNumberFormat="1" applyFont="1" applyFill="1" applyBorder="1" applyAlignment="1">
      <alignment horizontal="center" vertical="center"/>
    </xf>
    <xf numFmtId="44" fontId="65" fillId="0" borderId="1" xfId="3" applyFont="1" applyFill="1" applyBorder="1" applyAlignment="1">
      <alignment vertical="center"/>
    </xf>
    <xf numFmtId="0" fontId="79" fillId="0" borderId="0" xfId="0" applyFont="1" applyAlignment="1">
      <alignment horizontal="left"/>
    </xf>
    <xf numFmtId="0" fontId="63" fillId="4" borderId="1" xfId="0" applyFont="1" applyFill="1" applyBorder="1" applyAlignment="1">
      <alignment horizontal="left" vertical="center"/>
    </xf>
    <xf numFmtId="0" fontId="103" fillId="0" borderId="0" xfId="0" applyFont="1" applyFill="1" applyBorder="1" applyAlignment="1">
      <alignment horizontal="right"/>
    </xf>
    <xf numFmtId="43" fontId="103" fillId="0" borderId="0" xfId="525" applyFont="1" applyFill="1" applyBorder="1"/>
    <xf numFmtId="44" fontId="103" fillId="0" borderId="0" xfId="0" applyNumberFormat="1" applyFont="1" applyFill="1" applyBorder="1"/>
    <xf numFmtId="0" fontId="103" fillId="0" borderId="0" xfId="0" applyFont="1" applyFill="1" applyBorder="1"/>
    <xf numFmtId="0" fontId="0" fillId="0" borderId="1" xfId="0" applyBorder="1" applyAlignment="1">
      <alignment horizontal="center"/>
    </xf>
    <xf numFmtId="0" fontId="81" fillId="0" borderId="0" xfId="0" applyFont="1"/>
    <xf numFmtId="43" fontId="93" fillId="0" borderId="0" xfId="525" applyFont="1" applyBorder="1" applyAlignment="1">
      <alignment vertical="top"/>
    </xf>
    <xf numFmtId="0" fontId="0" fillId="0" borderId="0" xfId="0" applyAlignment="1">
      <alignment vertical="top"/>
    </xf>
    <xf numFmtId="0" fontId="63" fillId="4" borderId="1" xfId="0" applyFont="1" applyFill="1" applyBorder="1" applyAlignment="1">
      <alignment horizontal="center" vertical="center"/>
    </xf>
    <xf numFmtId="0" fontId="63" fillId="0" borderId="1" xfId="0" applyFont="1" applyBorder="1" applyAlignment="1">
      <alignment horizontal="center" vertical="center"/>
    </xf>
    <xf numFmtId="0" fontId="104" fillId="0" borderId="1" xfId="0" applyFont="1" applyBorder="1" applyAlignment="1">
      <alignment horizontal="center" vertical="center"/>
    </xf>
    <xf numFmtId="0" fontId="74" fillId="5" borderId="1" xfId="0" applyFont="1" applyFill="1" applyBorder="1" applyAlignment="1">
      <alignment horizontal="center" vertical="center"/>
    </xf>
    <xf numFmtId="0" fontId="74" fillId="5" borderId="1" xfId="0" applyFont="1" applyFill="1" applyBorder="1" applyAlignment="1">
      <alignment horizontal="center" vertical="center" wrapText="1"/>
    </xf>
    <xf numFmtId="0" fontId="63" fillId="4" borderId="1" xfId="0" applyFont="1" applyFill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 wrapText="1"/>
    </xf>
    <xf numFmtId="0" fontId="63" fillId="0" borderId="0" xfId="0" applyFont="1" applyAlignment="1">
      <alignment wrapText="1"/>
    </xf>
    <xf numFmtId="0" fontId="1" fillId="0" borderId="0" xfId="0" applyFont="1" applyAlignment="1">
      <alignment horizontal="center" vertical="center" wrapText="1"/>
    </xf>
    <xf numFmtId="44" fontId="105" fillId="0" borderId="1" xfId="0" applyNumberFormat="1" applyFont="1" applyBorder="1" applyAlignment="1">
      <alignment horizontal="center" vertical="center" wrapText="1"/>
    </xf>
    <xf numFmtId="44" fontId="63" fillId="0" borderId="1" xfId="0" applyNumberFormat="1" applyFont="1" applyBorder="1" applyAlignment="1">
      <alignment horizontal="center" vertical="center" wrapText="1"/>
    </xf>
    <xf numFmtId="44" fontId="105" fillId="0" borderId="1" xfId="0" applyNumberFormat="1" applyFont="1" applyFill="1" applyBorder="1" applyAlignment="1">
      <alignment horizontal="center" vertical="center" wrapText="1"/>
    </xf>
    <xf numFmtId="44" fontId="74" fillId="5" borderId="1" xfId="3" applyFont="1" applyFill="1" applyBorder="1" applyAlignment="1">
      <alignment horizontal="center" vertical="center" wrapText="1"/>
    </xf>
    <xf numFmtId="44" fontId="63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44" fontId="74" fillId="0" borderId="0" xfId="0" applyNumberFormat="1" applyFont="1" applyFill="1" applyBorder="1" applyAlignment="1">
      <alignment horizontal="center" vertical="center" wrapText="1"/>
    </xf>
    <xf numFmtId="44" fontId="74" fillId="0" borderId="0" xfId="3" applyFont="1" applyFill="1" applyBorder="1" applyAlignment="1">
      <alignment horizontal="center" vertical="center" wrapText="1"/>
    </xf>
    <xf numFmtId="44" fontId="76" fillId="5" borderId="1" xfId="3" applyFont="1" applyFill="1" applyBorder="1" applyAlignment="1">
      <alignment horizontal="center" vertical="center" wrapText="1"/>
    </xf>
    <xf numFmtId="0" fontId="103" fillId="0" borderId="0" xfId="0" applyFont="1" applyFill="1" applyBorder="1" applyAlignment="1">
      <alignment horizontal="right" wrapText="1"/>
    </xf>
    <xf numFmtId="43" fontId="103" fillId="0" borderId="0" xfId="525" applyFont="1" applyFill="1" applyBorder="1" applyAlignment="1">
      <alignment wrapText="1"/>
    </xf>
    <xf numFmtId="44" fontId="103" fillId="0" borderId="0" xfId="0" applyNumberFormat="1" applyFont="1" applyFill="1" applyBorder="1" applyAlignment="1">
      <alignment wrapText="1"/>
    </xf>
    <xf numFmtId="0" fontId="103" fillId="0" borderId="0" xfId="0" applyFont="1" applyFill="1" applyBorder="1" applyAlignment="1">
      <alignment wrapText="1"/>
    </xf>
    <xf numFmtId="0" fontId="74" fillId="5" borderId="1" xfId="0" applyFont="1" applyFill="1" applyBorder="1" applyAlignment="1">
      <alignment vertical="center"/>
    </xf>
    <xf numFmtId="0" fontId="106" fillId="0" borderId="1" xfId="0" applyFont="1" applyBorder="1" applyAlignment="1">
      <alignment horizontal="center" vertical="center"/>
    </xf>
    <xf numFmtId="0" fontId="104" fillId="0" borderId="0" xfId="0" applyFont="1"/>
    <xf numFmtId="44" fontId="104" fillId="0" borderId="2" xfId="3" applyFont="1" applyBorder="1" applyAlignment="1">
      <alignment horizontal="center" vertical="center"/>
    </xf>
    <xf numFmtId="44" fontId="104" fillId="0" borderId="1" xfId="3" applyFont="1" applyBorder="1" applyAlignment="1">
      <alignment horizontal="center" vertical="center"/>
    </xf>
    <xf numFmtId="0" fontId="104" fillId="4" borderId="1" xfId="0" applyFont="1" applyFill="1" applyBorder="1" applyAlignment="1">
      <alignment horizontal="center" vertical="center"/>
    </xf>
    <xf numFmtId="44" fontId="104" fillId="4" borderId="1" xfId="3" applyFont="1" applyFill="1" applyBorder="1" applyAlignment="1">
      <alignment horizontal="center" vertical="center"/>
    </xf>
    <xf numFmtId="44" fontId="104" fillId="4" borderId="2" xfId="3" applyFont="1" applyFill="1" applyBorder="1" applyAlignment="1">
      <alignment horizontal="center" vertical="center"/>
    </xf>
    <xf numFmtId="0" fontId="104" fillId="0" borderId="1" xfId="0" applyFont="1" applyFill="1" applyBorder="1" applyAlignment="1">
      <alignment horizontal="center" vertical="center"/>
    </xf>
    <xf numFmtId="0" fontId="107" fillId="0" borderId="1" xfId="0" applyFont="1" applyBorder="1" applyAlignment="1">
      <alignment horizontal="center" vertical="center"/>
    </xf>
    <xf numFmtId="44" fontId="107" fillId="0" borderId="2" xfId="3" applyFont="1" applyBorder="1" applyAlignment="1">
      <alignment horizontal="center" vertical="center"/>
    </xf>
    <xf numFmtId="0" fontId="107" fillId="0" borderId="0" xfId="0" applyFont="1"/>
    <xf numFmtId="44" fontId="107" fillId="0" borderId="1" xfId="3" applyFont="1" applyBorder="1" applyAlignment="1">
      <alignment horizontal="center" vertical="center"/>
    </xf>
    <xf numFmtId="0" fontId="104" fillId="4" borderId="8" xfId="0" applyFont="1" applyFill="1" applyBorder="1" applyAlignment="1">
      <alignment horizontal="center" vertical="center"/>
    </xf>
    <xf numFmtId="0" fontId="104" fillId="0" borderId="8" xfId="0" applyFont="1" applyFill="1" applyBorder="1" applyAlignment="1">
      <alignment horizontal="center" vertical="center"/>
    </xf>
    <xf numFmtId="44" fontId="104" fillId="0" borderId="1" xfId="3" applyFont="1" applyFill="1" applyBorder="1" applyAlignment="1">
      <alignment horizontal="center" vertical="center"/>
    </xf>
    <xf numFmtId="0" fontId="104" fillId="0" borderId="0" xfId="0" applyFont="1" applyFill="1"/>
    <xf numFmtId="1" fontId="63" fillId="0" borderId="1" xfId="0" applyNumberFormat="1" applyFont="1" applyBorder="1" applyAlignment="1">
      <alignment horizontal="center" vertical="center"/>
    </xf>
    <xf numFmtId="1" fontId="63" fillId="4" borderId="1" xfId="0" applyNumberFormat="1" applyFont="1" applyFill="1" applyBorder="1" applyAlignment="1">
      <alignment horizontal="center" vertical="center"/>
    </xf>
    <xf numFmtId="0" fontId="104" fillId="0" borderId="8" xfId="0" applyFont="1" applyBorder="1" applyAlignment="1">
      <alignment horizontal="center" vertical="center"/>
    </xf>
    <xf numFmtId="44" fontId="104" fillId="0" borderId="1" xfId="0" applyNumberFormat="1" applyFont="1" applyFill="1" applyBorder="1" applyAlignment="1">
      <alignment horizontal="center" vertical="center"/>
    </xf>
    <xf numFmtId="44" fontId="104" fillId="4" borderId="1" xfId="0" applyNumberFormat="1" applyFont="1" applyFill="1" applyBorder="1" applyAlignment="1">
      <alignment horizontal="center" vertical="center"/>
    </xf>
    <xf numFmtId="0" fontId="108" fillId="0" borderId="0" xfId="0" applyFont="1"/>
    <xf numFmtId="44" fontId="109" fillId="5" borderId="1" xfId="0" applyNumberFormat="1" applyFont="1" applyFill="1" applyBorder="1" applyAlignment="1">
      <alignment vertical="center"/>
    </xf>
    <xf numFmtId="0" fontId="110" fillId="0" borderId="0" xfId="0" applyFont="1"/>
    <xf numFmtId="0" fontId="107" fillId="0" borderId="1" xfId="0" applyFont="1" applyFill="1" applyBorder="1" applyAlignment="1">
      <alignment horizontal="center" vertical="center"/>
    </xf>
    <xf numFmtId="44" fontId="107" fillId="0" borderId="1" xfId="3" applyFont="1" applyFill="1" applyBorder="1" applyAlignment="1">
      <alignment horizontal="center" vertical="center"/>
    </xf>
    <xf numFmtId="44" fontId="107" fillId="0" borderId="2" xfId="3" applyFont="1" applyFill="1" applyBorder="1" applyAlignment="1">
      <alignment horizontal="center" vertical="center"/>
    </xf>
    <xf numFmtId="193" fontId="104" fillId="0" borderId="1" xfId="525" applyNumberFormat="1" applyFont="1" applyFill="1" applyBorder="1" applyAlignment="1">
      <alignment horizontal="center" vertical="center"/>
    </xf>
    <xf numFmtId="193" fontId="63" fillId="0" borderId="0" xfId="0" applyNumberFormat="1" applyFont="1" applyAlignment="1">
      <alignment vertical="center"/>
    </xf>
    <xf numFmtId="1" fontId="63" fillId="0" borderId="1" xfId="0" applyNumberFormat="1" applyFont="1" applyFill="1" applyBorder="1" applyAlignment="1">
      <alignment horizontal="center" vertical="center"/>
    </xf>
    <xf numFmtId="44" fontId="63" fillId="0" borderId="1" xfId="3" applyFont="1" applyFill="1" applyBorder="1" applyAlignment="1">
      <alignment horizontal="center" vertical="center"/>
    </xf>
    <xf numFmtId="44" fontId="63" fillId="0" borderId="2" xfId="3" applyFont="1" applyFill="1" applyBorder="1" applyAlignment="1">
      <alignment horizontal="center" vertical="center"/>
    </xf>
    <xf numFmtId="193" fontId="104" fillId="4" borderId="1" xfId="525" applyNumberFormat="1" applyFont="1" applyFill="1" applyBorder="1" applyAlignment="1">
      <alignment horizontal="center" vertical="center"/>
    </xf>
    <xf numFmtId="0" fontId="107" fillId="15" borderId="1" xfId="0" applyFont="1" applyFill="1" applyBorder="1" applyAlignment="1">
      <alignment horizontal="center" vertical="center"/>
    </xf>
    <xf numFmtId="0" fontId="104" fillId="15" borderId="8" xfId="0" applyFont="1" applyFill="1" applyBorder="1" applyAlignment="1">
      <alignment horizontal="center" vertical="center"/>
    </xf>
    <xf numFmtId="44" fontId="104" fillId="15" borderId="1" xfId="0" applyNumberFormat="1" applyFont="1" applyFill="1" applyBorder="1" applyAlignment="1">
      <alignment horizontal="center" vertical="center"/>
    </xf>
    <xf numFmtId="44" fontId="107" fillId="15" borderId="1" xfId="3" applyFont="1" applyFill="1" applyBorder="1" applyAlignment="1">
      <alignment horizontal="center" vertical="center"/>
    </xf>
    <xf numFmtId="0" fontId="104" fillId="4" borderId="5" xfId="0" applyFont="1" applyFill="1" applyBorder="1" applyAlignment="1">
      <alignment horizontal="center" vertical="center"/>
    </xf>
    <xf numFmtId="0" fontId="111" fillId="5" borderId="4" xfId="0" applyFont="1" applyFill="1" applyBorder="1" applyAlignment="1">
      <alignment horizontal="center" vertical="center"/>
    </xf>
    <xf numFmtId="0" fontId="111" fillId="5" borderId="9" xfId="0" applyFont="1" applyFill="1" applyBorder="1" applyAlignment="1">
      <alignment horizontal="center" vertical="center"/>
    </xf>
    <xf numFmtId="0" fontId="112" fillId="0" borderId="8" xfId="0" applyFont="1" applyFill="1" applyBorder="1" applyAlignment="1">
      <alignment horizontal="center" vertical="center"/>
    </xf>
    <xf numFmtId="0" fontId="112" fillId="0" borderId="4" xfId="0" applyFont="1" applyFill="1" applyBorder="1" applyAlignment="1">
      <alignment horizontal="center" vertical="center"/>
    </xf>
    <xf numFmtId="0" fontId="112" fillId="0" borderId="9" xfId="0" applyFont="1" applyFill="1" applyBorder="1" applyAlignment="1">
      <alignment horizontal="center" vertical="center"/>
    </xf>
    <xf numFmtId="44" fontId="62" fillId="10" borderId="13" xfId="3" applyFont="1" applyFill="1" applyBorder="1" applyAlignment="1">
      <alignment horizontal="center" vertical="center"/>
    </xf>
    <xf numFmtId="44" fontId="99" fillId="0" borderId="16" xfId="3" applyFont="1" applyBorder="1" applyAlignment="1">
      <alignment vertical="center"/>
    </xf>
    <xf numFmtId="44" fontId="99" fillId="0" borderId="38" xfId="3" applyFont="1" applyBorder="1" applyAlignment="1">
      <alignment vertical="center"/>
    </xf>
    <xf numFmtId="44" fontId="97" fillId="10" borderId="1" xfId="3" applyFont="1" applyFill="1" applyBorder="1" applyAlignment="1">
      <alignment vertical="center"/>
    </xf>
    <xf numFmtId="44" fontId="97" fillId="10" borderId="39" xfId="3" applyFont="1" applyFill="1" applyBorder="1" applyAlignment="1">
      <alignment vertical="center"/>
    </xf>
    <xf numFmtId="44" fontId="98" fillId="12" borderId="40" xfId="3" applyFont="1" applyFill="1" applyBorder="1" applyAlignment="1">
      <alignment vertical="center"/>
    </xf>
    <xf numFmtId="44" fontId="98" fillId="12" borderId="41" xfId="3" applyFont="1" applyFill="1" applyBorder="1" applyAlignment="1">
      <alignment vertical="center"/>
    </xf>
    <xf numFmtId="44" fontId="93" fillId="0" borderId="42" xfId="3" applyFont="1" applyBorder="1" applyAlignment="1">
      <alignment vertical="center"/>
    </xf>
    <xf numFmtId="44" fontId="93" fillId="0" borderId="19" xfId="3" applyFont="1" applyBorder="1" applyAlignment="1">
      <alignment vertical="center"/>
    </xf>
    <xf numFmtId="44" fontId="62" fillId="13" borderId="25" xfId="3" applyFont="1" applyFill="1" applyBorder="1" applyAlignment="1">
      <alignment vertical="center"/>
    </xf>
    <xf numFmtId="44" fontId="62" fillId="13" borderId="43" xfId="3" applyFont="1" applyFill="1" applyBorder="1" applyAlignment="1">
      <alignment vertical="center"/>
    </xf>
    <xf numFmtId="44" fontId="93" fillId="0" borderId="0" xfId="3" applyFont="1" applyAlignment="1">
      <alignment vertical="top"/>
    </xf>
    <xf numFmtId="44" fontId="64" fillId="7" borderId="8" xfId="3" applyFont="1" applyFill="1" applyBorder="1"/>
    <xf numFmtId="44" fontId="64" fillId="7" borderId="39" xfId="3" applyFont="1" applyFill="1" applyBorder="1"/>
    <xf numFmtId="44" fontId="64" fillId="7" borderId="1" xfId="3" applyFont="1" applyFill="1" applyBorder="1"/>
    <xf numFmtId="44" fontId="64" fillId="7" borderId="5" xfId="3" applyFont="1" applyFill="1" applyBorder="1" applyAlignment="1">
      <alignment vertical="center"/>
    </xf>
    <xf numFmtId="44" fontId="64" fillId="7" borderId="44" xfId="3" applyFont="1" applyFill="1" applyBorder="1" applyAlignment="1">
      <alignment vertical="center"/>
    </xf>
    <xf numFmtId="44" fontId="62" fillId="7" borderId="45" xfId="3" applyFont="1" applyFill="1" applyBorder="1" applyAlignment="1">
      <alignment horizontal="center"/>
    </xf>
    <xf numFmtId="44" fontId="64" fillId="4" borderId="18" xfId="3" applyFont="1" applyFill="1" applyBorder="1"/>
    <xf numFmtId="44" fontId="64" fillId="4" borderId="38" xfId="3" applyFont="1" applyFill="1" applyBorder="1"/>
    <xf numFmtId="44" fontId="64" fillId="4" borderId="8" xfId="3" applyFont="1" applyFill="1" applyBorder="1"/>
    <xf numFmtId="44" fontId="64" fillId="4" borderId="39" xfId="3" applyFont="1" applyFill="1" applyBorder="1"/>
    <xf numFmtId="44" fontId="64" fillId="4" borderId="5" xfId="3" applyFont="1" applyFill="1" applyBorder="1" applyAlignment="1">
      <alignment vertical="center"/>
    </xf>
    <xf numFmtId="44" fontId="64" fillId="4" borderId="44" xfId="3" applyFont="1" applyFill="1" applyBorder="1" applyAlignment="1">
      <alignment vertical="center"/>
    </xf>
    <xf numFmtId="44" fontId="64" fillId="4" borderId="39" xfId="3" applyFont="1" applyFill="1" applyBorder="1" applyAlignment="1">
      <alignment vertical="center"/>
    </xf>
    <xf numFmtId="44" fontId="62" fillId="4" borderId="43" xfId="3" applyFont="1" applyFill="1" applyBorder="1" applyAlignment="1">
      <alignment horizontal="center"/>
    </xf>
    <xf numFmtId="44" fontId="62" fillId="4" borderId="13" xfId="3" applyFont="1" applyFill="1" applyBorder="1" applyAlignment="1">
      <alignment horizontal="center"/>
    </xf>
    <xf numFmtId="44" fontId="89" fillId="11" borderId="46" xfId="3" applyFont="1" applyFill="1" applyBorder="1" applyAlignment="1">
      <alignment horizontal="center" vertical="center"/>
    </xf>
    <xf numFmtId="44" fontId="64" fillId="7" borderId="18" xfId="3" applyFont="1" applyFill="1" applyBorder="1" applyAlignment="1">
      <alignment vertical="center"/>
    </xf>
    <xf numFmtId="44" fontId="64" fillId="7" borderId="38" xfId="3" applyFont="1" applyFill="1" applyBorder="1" applyAlignment="1">
      <alignment vertical="center"/>
    </xf>
    <xf numFmtId="44" fontId="64" fillId="4" borderId="1" xfId="3" applyFont="1" applyFill="1" applyBorder="1"/>
    <xf numFmtId="44" fontId="89" fillId="11" borderId="13" xfId="3" applyFont="1" applyFill="1" applyBorder="1" applyAlignment="1">
      <alignment horizontal="center" vertical="center"/>
    </xf>
    <xf numFmtId="44" fontId="64" fillId="7" borderId="20" xfId="3" applyFont="1" applyFill="1" applyBorder="1"/>
    <xf numFmtId="44" fontId="64" fillId="7" borderId="47" xfId="3" applyFont="1" applyFill="1" applyBorder="1"/>
    <xf numFmtId="44" fontId="64" fillId="7" borderId="8" xfId="3" applyFont="1" applyFill="1" applyBorder="1" applyAlignment="1">
      <alignment vertical="center"/>
    </xf>
    <xf numFmtId="44" fontId="64" fillId="7" borderId="39" xfId="3" applyFont="1" applyFill="1" applyBorder="1" applyAlignment="1">
      <alignment vertical="center"/>
    </xf>
    <xf numFmtId="44" fontId="64" fillId="4" borderId="5" xfId="3" applyFont="1" applyFill="1" applyBorder="1"/>
    <xf numFmtId="44" fontId="64" fillId="4" borderId="44" xfId="3" applyFont="1" applyFill="1" applyBorder="1"/>
    <xf numFmtId="44" fontId="64" fillId="4" borderId="47" xfId="3" applyFont="1" applyFill="1" applyBorder="1"/>
    <xf numFmtId="44" fontId="64" fillId="4" borderId="10" xfId="3" applyFont="1" applyFill="1" applyBorder="1"/>
    <xf numFmtId="44" fontId="64" fillId="7" borderId="16" xfId="3" applyFont="1" applyFill="1" applyBorder="1" applyAlignment="1">
      <alignment vertical="center"/>
    </xf>
    <xf numFmtId="44" fontId="64" fillId="4" borderId="48" xfId="3" applyFont="1" applyFill="1" applyBorder="1"/>
    <xf numFmtId="44" fontId="64" fillId="4" borderId="49" xfId="3" applyFont="1" applyFill="1" applyBorder="1"/>
    <xf numFmtId="44" fontId="113" fillId="0" borderId="1" xfId="3" applyFont="1" applyFill="1" applyBorder="1" applyAlignment="1">
      <alignment horizontal="center" vertical="center"/>
    </xf>
    <xf numFmtId="44" fontId="114" fillId="10" borderId="13" xfId="3" applyFont="1" applyFill="1" applyBorder="1" applyAlignment="1">
      <alignment horizontal="center" vertical="center"/>
    </xf>
    <xf numFmtId="43" fontId="114" fillId="0" borderId="13" xfId="525" applyFont="1" applyFill="1" applyBorder="1" applyAlignment="1">
      <alignment horizontal="center" vertical="center" wrapText="1"/>
    </xf>
    <xf numFmtId="0" fontId="62" fillId="0" borderId="73" xfId="0" applyFont="1" applyFill="1" applyBorder="1" applyAlignment="1">
      <alignment horizontal="center" vertical="center" wrapText="1"/>
    </xf>
    <xf numFmtId="167" fontId="86" fillId="0" borderId="0" xfId="0" applyNumberFormat="1" applyFont="1"/>
    <xf numFmtId="0" fontId="63" fillId="0" borderId="10" xfId="0" applyFont="1" applyFill="1" applyBorder="1" applyAlignment="1">
      <alignment horizontal="left" vertical="center" wrapText="1"/>
    </xf>
    <xf numFmtId="0" fontId="63" fillId="4" borderId="19" xfId="0" applyFont="1" applyFill="1" applyBorder="1" applyAlignment="1">
      <alignment horizontal="left" vertical="center" wrapText="1"/>
    </xf>
    <xf numFmtId="0" fontId="63" fillId="0" borderId="1" xfId="0" applyFont="1" applyBorder="1" applyAlignment="1">
      <alignment horizontal="left" vertical="center" wrapText="1"/>
    </xf>
    <xf numFmtId="0" fontId="63" fillId="4" borderId="1" xfId="0" applyFont="1" applyFill="1" applyBorder="1" applyAlignment="1">
      <alignment horizontal="left" vertical="center" wrapText="1"/>
    </xf>
    <xf numFmtId="0" fontId="63" fillId="4" borderId="2" xfId="0" applyFont="1" applyFill="1" applyBorder="1" applyAlignment="1">
      <alignment horizontal="left" vertical="center" wrapText="1"/>
    </xf>
    <xf numFmtId="0" fontId="109" fillId="5" borderId="1" xfId="0" applyFont="1" applyFill="1" applyBorder="1" applyAlignment="1">
      <alignment horizontal="center" vertical="center"/>
    </xf>
    <xf numFmtId="44" fontId="76" fillId="5" borderId="1" xfId="0" applyNumberFormat="1" applyFont="1" applyFill="1" applyBorder="1" applyAlignment="1">
      <alignment vertical="center"/>
    </xf>
    <xf numFmtId="44" fontId="76" fillId="5" borderId="1" xfId="0" applyNumberFormat="1" applyFont="1" applyFill="1" applyBorder="1" applyAlignment="1">
      <alignment horizontal="center" vertical="center"/>
    </xf>
    <xf numFmtId="1" fontId="76" fillId="5" borderId="1" xfId="0" applyNumberFormat="1" applyFont="1" applyFill="1" applyBorder="1" applyAlignment="1">
      <alignment horizontal="center" vertical="center"/>
    </xf>
    <xf numFmtId="0" fontId="133" fillId="0" borderId="0" xfId="0" applyFont="1" applyFill="1"/>
    <xf numFmtId="43" fontId="58" fillId="0" borderId="0" xfId="525" applyFont="1" applyFill="1" applyBorder="1" applyAlignment="1">
      <alignment horizontal="center" vertical="center"/>
    </xf>
    <xf numFmtId="0" fontId="74" fillId="5" borderId="10" xfId="0" applyFont="1" applyFill="1" applyBorder="1" applyAlignment="1">
      <alignment horizontal="left" vertical="center" wrapText="1" indent="1"/>
    </xf>
    <xf numFmtId="0" fontId="74" fillId="5" borderId="2" xfId="0" applyFont="1" applyFill="1" applyBorder="1" applyAlignment="1">
      <alignment horizontal="left" vertical="center" wrapText="1" indent="1"/>
    </xf>
    <xf numFmtId="0" fontId="63" fillId="0" borderId="10" xfId="0" applyFont="1" applyBorder="1" applyAlignment="1">
      <alignment horizontal="center" vertical="center"/>
    </xf>
    <xf numFmtId="0" fontId="63" fillId="0" borderId="2" xfId="0" applyFont="1" applyBorder="1" applyAlignment="1">
      <alignment horizontal="center" vertical="center"/>
    </xf>
    <xf numFmtId="0" fontId="63" fillId="0" borderId="10" xfId="0" applyFont="1" applyBorder="1" applyAlignment="1">
      <alignment horizontal="justify" vertical="center" wrapText="1"/>
    </xf>
    <xf numFmtId="0" fontId="63" fillId="0" borderId="2" xfId="0" applyFont="1" applyBorder="1" applyAlignment="1">
      <alignment horizontal="justify" vertical="center" wrapText="1"/>
    </xf>
    <xf numFmtId="0" fontId="63" fillId="0" borderId="10" xfId="0" applyFont="1" applyBorder="1" applyAlignment="1">
      <alignment horizontal="center" vertical="center" wrapText="1"/>
    </xf>
    <xf numFmtId="0" fontId="63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15" fillId="0" borderId="10" xfId="0" applyFont="1" applyBorder="1" applyAlignment="1">
      <alignment horizontal="center" vertical="center"/>
    </xf>
    <xf numFmtId="0" fontId="115" fillId="0" borderId="2" xfId="0" applyFont="1" applyBorder="1" applyAlignment="1">
      <alignment horizontal="center" vertical="center"/>
    </xf>
    <xf numFmtId="0" fontId="74" fillId="5" borderId="10" xfId="0" applyFont="1" applyFill="1" applyBorder="1" applyAlignment="1">
      <alignment horizontal="left" vertical="center" indent="1"/>
    </xf>
    <xf numFmtId="0" fontId="74" fillId="5" borderId="2" xfId="0" applyFont="1" applyFill="1" applyBorder="1" applyAlignment="1">
      <alignment horizontal="left" vertical="center" indent="1"/>
    </xf>
    <xf numFmtId="0" fontId="104" fillId="4" borderId="10" xfId="0" applyFont="1" applyFill="1" applyBorder="1" applyAlignment="1">
      <alignment horizontal="center" vertical="center"/>
    </xf>
    <xf numFmtId="0" fontId="104" fillId="4" borderId="2" xfId="0" applyFont="1" applyFill="1" applyBorder="1" applyAlignment="1">
      <alignment horizontal="center" vertical="center"/>
    </xf>
    <xf numFmtId="0" fontId="104" fillId="0" borderId="10" xfId="0" applyFont="1" applyFill="1" applyBorder="1" applyAlignment="1">
      <alignment horizontal="center" vertical="center" wrapText="1"/>
    </xf>
    <xf numFmtId="0" fontId="104" fillId="0" borderId="19" xfId="0" applyFont="1" applyFill="1" applyBorder="1" applyAlignment="1">
      <alignment horizontal="center" vertical="center" wrapText="1"/>
    </xf>
    <xf numFmtId="0" fontId="104" fillId="0" borderId="2" xfId="0" applyFont="1" applyFill="1" applyBorder="1" applyAlignment="1">
      <alignment horizontal="center" vertical="center" wrapText="1"/>
    </xf>
    <xf numFmtId="0" fontId="104" fillId="0" borderId="10" xfId="0" applyFont="1" applyFill="1" applyBorder="1" applyAlignment="1">
      <alignment horizontal="center" vertical="center"/>
    </xf>
    <xf numFmtId="0" fontId="104" fillId="0" borderId="19" xfId="0" applyFont="1" applyFill="1" applyBorder="1" applyAlignment="1">
      <alignment horizontal="center" vertical="center"/>
    </xf>
    <xf numFmtId="0" fontId="104" fillId="0" borderId="2" xfId="0" applyFont="1" applyFill="1" applyBorder="1" applyAlignment="1">
      <alignment horizontal="center" vertical="center"/>
    </xf>
    <xf numFmtId="0" fontId="111" fillId="5" borderId="8" xfId="0" applyFont="1" applyFill="1" applyBorder="1" applyAlignment="1">
      <alignment horizontal="center" vertical="center"/>
    </xf>
    <xf numFmtId="0" fontId="111" fillId="5" borderId="4" xfId="0" applyFont="1" applyFill="1" applyBorder="1" applyAlignment="1">
      <alignment horizontal="center" vertical="center"/>
    </xf>
    <xf numFmtId="0" fontId="63" fillId="0" borderId="10" xfId="0" applyFont="1" applyFill="1" applyBorder="1" applyAlignment="1">
      <alignment horizontal="left" vertical="center" wrapText="1"/>
    </xf>
    <xf numFmtId="0" fontId="63" fillId="0" borderId="2" xfId="0" applyFont="1" applyFill="1" applyBorder="1" applyAlignment="1">
      <alignment horizontal="left" vertical="center" wrapText="1"/>
    </xf>
    <xf numFmtId="0" fontId="112" fillId="0" borderId="10" xfId="0" applyFont="1" applyBorder="1" applyAlignment="1">
      <alignment horizontal="center" vertical="center"/>
    </xf>
    <xf numFmtId="0" fontId="112" fillId="0" borderId="19" xfId="0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0" fontId="74" fillId="5" borderId="1" xfId="0" applyFont="1" applyFill="1" applyBorder="1" applyAlignment="1">
      <alignment horizontal="center" vertical="center"/>
    </xf>
    <xf numFmtId="0" fontId="74" fillId="5" borderId="10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horizontal="center" vertical="center"/>
    </xf>
    <xf numFmtId="0" fontId="107" fillId="0" borderId="8" xfId="0" applyFont="1" applyFill="1" applyBorder="1" applyAlignment="1">
      <alignment horizontal="center" vertical="center"/>
    </xf>
    <xf numFmtId="0" fontId="107" fillId="0" borderId="4" xfId="0" applyFont="1" applyFill="1" applyBorder="1" applyAlignment="1">
      <alignment horizontal="center" vertical="center"/>
    </xf>
    <xf numFmtId="0" fontId="107" fillId="0" borderId="9" xfId="0" applyFont="1" applyFill="1" applyBorder="1" applyAlignment="1">
      <alignment horizontal="center" vertical="center"/>
    </xf>
    <xf numFmtId="0" fontId="104" fillId="0" borderId="10" xfId="0" applyFont="1" applyBorder="1" applyAlignment="1">
      <alignment horizontal="center" vertical="center" wrapText="1"/>
    </xf>
    <xf numFmtId="0" fontId="104" fillId="0" borderId="2" xfId="0" applyFont="1" applyBorder="1" applyAlignment="1">
      <alignment horizontal="center" vertical="center" wrapText="1"/>
    </xf>
    <xf numFmtId="0" fontId="104" fillId="0" borderId="10" xfId="0" applyFont="1" applyBorder="1" applyAlignment="1">
      <alignment horizontal="center" vertical="center"/>
    </xf>
    <xf numFmtId="0" fontId="104" fillId="0" borderId="2" xfId="0" applyFont="1" applyBorder="1" applyAlignment="1">
      <alignment horizontal="center" vertical="center"/>
    </xf>
    <xf numFmtId="0" fontId="104" fillId="0" borderId="19" xfId="0" applyFont="1" applyBorder="1" applyAlignment="1">
      <alignment horizontal="center" vertical="center"/>
    </xf>
    <xf numFmtId="0" fontId="104" fillId="4" borderId="19" xfId="0" applyFont="1" applyFill="1" applyBorder="1" applyAlignment="1">
      <alignment horizontal="center" vertical="center"/>
    </xf>
    <xf numFmtId="0" fontId="107" fillId="0" borderId="8" xfId="0" applyFont="1" applyBorder="1" applyAlignment="1">
      <alignment horizontal="center" vertical="center"/>
    </xf>
    <xf numFmtId="0" fontId="107" fillId="0" borderId="4" xfId="0" applyFont="1" applyBorder="1" applyAlignment="1">
      <alignment horizontal="center" vertical="center"/>
    </xf>
    <xf numFmtId="0" fontId="107" fillId="0" borderId="9" xfId="0" applyFont="1" applyBorder="1" applyAlignment="1">
      <alignment horizontal="center" vertical="center"/>
    </xf>
    <xf numFmtId="0" fontId="107" fillId="15" borderId="8" xfId="0" applyFont="1" applyFill="1" applyBorder="1" applyAlignment="1">
      <alignment horizontal="center" vertical="center"/>
    </xf>
    <xf numFmtId="0" fontId="107" fillId="15" borderId="4" xfId="0" applyFont="1" applyFill="1" applyBorder="1" applyAlignment="1">
      <alignment horizontal="center" vertical="center"/>
    </xf>
    <xf numFmtId="0" fontId="107" fillId="15" borderId="9" xfId="0" applyFont="1" applyFill="1" applyBorder="1" applyAlignment="1">
      <alignment horizontal="center" vertical="center"/>
    </xf>
    <xf numFmtId="0" fontId="104" fillId="4" borderId="10" xfId="0" applyFont="1" applyFill="1" applyBorder="1" applyAlignment="1">
      <alignment horizontal="center" vertical="center" wrapText="1"/>
    </xf>
    <xf numFmtId="0" fontId="104" fillId="4" borderId="2" xfId="0" applyFont="1" applyFill="1" applyBorder="1" applyAlignment="1">
      <alignment horizontal="center" vertical="center" wrapText="1"/>
    </xf>
    <xf numFmtId="0" fontId="74" fillId="5" borderId="8" xfId="0" applyFont="1" applyFill="1" applyBorder="1" applyAlignment="1">
      <alignment horizontal="center" vertical="center"/>
    </xf>
    <xf numFmtId="0" fontId="74" fillId="5" borderId="4" xfId="0" applyFont="1" applyFill="1" applyBorder="1" applyAlignment="1">
      <alignment horizontal="center" vertical="center"/>
    </xf>
    <xf numFmtId="0" fontId="74" fillId="5" borderId="9" xfId="0" applyFont="1" applyFill="1" applyBorder="1" applyAlignment="1">
      <alignment horizontal="center" vertical="center"/>
    </xf>
    <xf numFmtId="0" fontId="63" fillId="4" borderId="10" xfId="0" applyFont="1" applyFill="1" applyBorder="1" applyAlignment="1">
      <alignment horizontal="left" vertical="center" wrapText="1"/>
    </xf>
    <xf numFmtId="0" fontId="63" fillId="4" borderId="19" xfId="0" applyFont="1" applyFill="1" applyBorder="1" applyAlignment="1">
      <alignment horizontal="left" vertical="center"/>
    </xf>
    <xf numFmtId="0" fontId="63" fillId="4" borderId="2" xfId="0" applyFont="1" applyFill="1" applyBorder="1" applyAlignment="1">
      <alignment horizontal="left" vertical="center"/>
    </xf>
    <xf numFmtId="0" fontId="104" fillId="0" borderId="8" xfId="0" applyFont="1" applyFill="1" applyBorder="1" applyAlignment="1">
      <alignment horizontal="center" vertical="center"/>
    </xf>
    <xf numFmtId="0" fontId="104" fillId="0" borderId="4" xfId="0" applyFont="1" applyFill="1" applyBorder="1" applyAlignment="1">
      <alignment horizontal="center" vertical="center"/>
    </xf>
    <xf numFmtId="0" fontId="104" fillId="0" borderId="9" xfId="0" applyFont="1" applyFill="1" applyBorder="1" applyAlignment="1">
      <alignment horizontal="center" vertical="center"/>
    </xf>
    <xf numFmtId="0" fontId="104" fillId="4" borderId="8" xfId="0" applyFont="1" applyFill="1" applyBorder="1" applyAlignment="1">
      <alignment horizontal="center" vertical="center"/>
    </xf>
    <xf numFmtId="0" fontId="104" fillId="4" borderId="4" xfId="0" applyFont="1" applyFill="1" applyBorder="1" applyAlignment="1">
      <alignment horizontal="center" vertical="center"/>
    </xf>
    <xf numFmtId="0" fontId="104" fillId="4" borderId="9" xfId="0" applyFont="1" applyFill="1" applyBorder="1" applyAlignment="1">
      <alignment horizontal="center" vertical="center"/>
    </xf>
    <xf numFmtId="0" fontId="109" fillId="5" borderId="8" xfId="0" applyFont="1" applyFill="1" applyBorder="1" applyAlignment="1">
      <alignment horizontal="center" vertical="center"/>
    </xf>
    <xf numFmtId="0" fontId="109" fillId="5" borderId="4" xfId="0" applyFont="1" applyFill="1" applyBorder="1" applyAlignment="1">
      <alignment horizontal="center" vertical="center"/>
    </xf>
    <xf numFmtId="0" fontId="109" fillId="5" borderId="9" xfId="0" applyFont="1" applyFill="1" applyBorder="1" applyAlignment="1">
      <alignment horizontal="center" vertical="center"/>
    </xf>
    <xf numFmtId="0" fontId="63" fillId="0" borderId="2" xfId="0" applyFont="1" applyFill="1" applyBorder="1" applyAlignment="1">
      <alignment horizontal="left" vertical="center"/>
    </xf>
    <xf numFmtId="0" fontId="63" fillId="0" borderId="10" xfId="0" applyFont="1" applyBorder="1" applyAlignment="1">
      <alignment horizontal="left" vertical="center" wrapText="1"/>
    </xf>
    <xf numFmtId="0" fontId="63" fillId="0" borderId="19" xfId="0" applyFont="1" applyBorder="1" applyAlignment="1">
      <alignment horizontal="left" vertical="center"/>
    </xf>
    <xf numFmtId="0" fontId="63" fillId="0" borderId="2" xfId="0" applyFont="1" applyBorder="1" applyAlignment="1">
      <alignment horizontal="left" vertical="center"/>
    </xf>
    <xf numFmtId="0" fontId="104" fillId="0" borderId="19" xfId="0" applyFont="1" applyBorder="1" applyAlignment="1">
      <alignment horizontal="center" vertical="center" wrapText="1"/>
    </xf>
    <xf numFmtId="0" fontId="104" fillId="4" borderId="19" xfId="0" applyFont="1" applyFill="1" applyBorder="1" applyAlignment="1">
      <alignment horizontal="center" vertical="center" wrapText="1"/>
    </xf>
    <xf numFmtId="0" fontId="74" fillId="5" borderId="5" xfId="0" applyFont="1" applyFill="1" applyBorder="1" applyAlignment="1">
      <alignment horizontal="left" vertical="center" wrapText="1" indent="1"/>
    </xf>
    <xf numFmtId="0" fontId="74" fillId="5" borderId="6" xfId="0" applyFont="1" applyFill="1" applyBorder="1" applyAlignment="1">
      <alignment horizontal="left" vertical="center" wrapText="1" indent="1"/>
    </xf>
    <xf numFmtId="0" fontId="74" fillId="5" borderId="7" xfId="0" applyFont="1" applyFill="1" applyBorder="1" applyAlignment="1">
      <alignment horizontal="left" vertical="center" wrapText="1" indent="1"/>
    </xf>
    <xf numFmtId="0" fontId="74" fillId="5" borderId="20" xfId="0" applyFont="1" applyFill="1" applyBorder="1" applyAlignment="1">
      <alignment horizontal="left" vertical="center" wrapText="1" indent="1"/>
    </xf>
    <xf numFmtId="0" fontId="74" fillId="5" borderId="3" xfId="0" applyFont="1" applyFill="1" applyBorder="1" applyAlignment="1">
      <alignment horizontal="left" vertical="center" wrapText="1" indent="1"/>
    </xf>
    <xf numFmtId="0" fontId="74" fillId="5" borderId="26" xfId="0" applyFont="1" applyFill="1" applyBorder="1" applyAlignment="1">
      <alignment horizontal="left" vertical="center" wrapText="1" indent="1"/>
    </xf>
    <xf numFmtId="0" fontId="63" fillId="0" borderId="5" xfId="0" applyFont="1" applyBorder="1" applyAlignment="1">
      <alignment horizontal="justify" vertical="center" wrapText="1"/>
    </xf>
    <xf numFmtId="0" fontId="63" fillId="0" borderId="6" xfId="0" applyFont="1" applyBorder="1" applyAlignment="1">
      <alignment horizontal="justify" vertical="center" wrapText="1"/>
    </xf>
    <xf numFmtId="0" fontId="63" fillId="0" borderId="7" xfId="0" applyFont="1" applyBorder="1" applyAlignment="1">
      <alignment horizontal="justify" vertical="center" wrapText="1"/>
    </xf>
    <xf numFmtId="0" fontId="63" fillId="0" borderId="20" xfId="0" applyFont="1" applyBorder="1" applyAlignment="1">
      <alignment horizontal="justify" vertical="center" wrapText="1"/>
    </xf>
    <xf numFmtId="0" fontId="63" fillId="0" borderId="3" xfId="0" applyFont="1" applyBorder="1" applyAlignment="1">
      <alignment horizontal="justify" vertical="center" wrapText="1"/>
    </xf>
    <xf numFmtId="0" fontId="63" fillId="0" borderId="26" xfId="0" applyFont="1" applyBorder="1" applyAlignment="1">
      <alignment horizontal="justify" vertical="center" wrapText="1"/>
    </xf>
    <xf numFmtId="0" fontId="74" fillId="5" borderId="1" xfId="0" applyFont="1" applyFill="1" applyBorder="1" applyAlignment="1">
      <alignment horizontal="left" vertical="center" indent="1"/>
    </xf>
    <xf numFmtId="0" fontId="104" fillId="0" borderId="1" xfId="0" applyFont="1" applyBorder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109" fillId="5" borderId="0" xfId="0" applyFont="1" applyFill="1" applyAlignment="1">
      <alignment horizontal="center" vertical="center"/>
    </xf>
    <xf numFmtId="0" fontId="74" fillId="5" borderId="5" xfId="0" applyFont="1" applyFill="1" applyBorder="1" applyAlignment="1">
      <alignment horizontal="left" vertical="center" indent="1"/>
    </xf>
    <xf numFmtId="0" fontId="74" fillId="5" borderId="6" xfId="0" applyFont="1" applyFill="1" applyBorder="1" applyAlignment="1">
      <alignment horizontal="left" vertical="center" indent="1"/>
    </xf>
    <xf numFmtId="0" fontId="74" fillId="5" borderId="7" xfId="0" applyFont="1" applyFill="1" applyBorder="1" applyAlignment="1">
      <alignment horizontal="left" vertical="center" indent="1"/>
    </xf>
    <xf numFmtId="0" fontId="74" fillId="5" borderId="20" xfId="0" applyFont="1" applyFill="1" applyBorder="1" applyAlignment="1">
      <alignment horizontal="left" vertical="center" indent="1"/>
    </xf>
    <xf numFmtId="0" fontId="74" fillId="5" borderId="3" xfId="0" applyFont="1" applyFill="1" applyBorder="1" applyAlignment="1">
      <alignment horizontal="left" vertical="center" indent="1"/>
    </xf>
    <xf numFmtId="0" fontId="74" fillId="5" borderId="26" xfId="0" applyFont="1" applyFill="1" applyBorder="1" applyAlignment="1">
      <alignment horizontal="left" vertical="center" indent="1"/>
    </xf>
    <xf numFmtId="0" fontId="104" fillId="0" borderId="5" xfId="0" applyFont="1" applyBorder="1" applyAlignment="1">
      <alignment horizontal="center" vertical="center"/>
    </xf>
    <xf numFmtId="0" fontId="104" fillId="0" borderId="6" xfId="0" applyFont="1" applyBorder="1" applyAlignment="1">
      <alignment horizontal="center" vertical="center"/>
    </xf>
    <xf numFmtId="0" fontId="104" fillId="0" borderId="7" xfId="0" applyFont="1" applyBorder="1" applyAlignment="1">
      <alignment horizontal="center" vertical="center"/>
    </xf>
    <xf numFmtId="0" fontId="104" fillId="0" borderId="20" xfId="0" applyFont="1" applyBorder="1" applyAlignment="1">
      <alignment horizontal="center" vertical="center"/>
    </xf>
    <xf numFmtId="0" fontId="104" fillId="0" borderId="3" xfId="0" applyFont="1" applyBorder="1" applyAlignment="1">
      <alignment horizontal="center" vertical="center"/>
    </xf>
    <xf numFmtId="0" fontId="104" fillId="0" borderId="26" xfId="0" applyFont="1" applyBorder="1" applyAlignment="1">
      <alignment horizontal="center" vertical="center"/>
    </xf>
    <xf numFmtId="44" fontId="74" fillId="5" borderId="8" xfId="0" applyNumberFormat="1" applyFont="1" applyFill="1" applyBorder="1" applyAlignment="1">
      <alignment horizontal="center" vertical="center" wrapText="1"/>
    </xf>
    <xf numFmtId="44" fontId="74" fillId="5" borderId="9" xfId="0" applyNumberFormat="1" applyFont="1" applyFill="1" applyBorder="1" applyAlignment="1">
      <alignment horizontal="center" vertical="center" wrapText="1"/>
    </xf>
    <xf numFmtId="0" fontId="63" fillId="0" borderId="19" xfId="0" applyFont="1" applyBorder="1" applyAlignment="1">
      <alignment horizontal="center" vertical="center"/>
    </xf>
    <xf numFmtId="0" fontId="74" fillId="5" borderId="1" xfId="0" applyFont="1" applyFill="1" applyBorder="1" applyAlignment="1">
      <alignment horizontal="center" vertical="center" wrapText="1"/>
    </xf>
    <xf numFmtId="0" fontId="63" fillId="0" borderId="10" xfId="0" applyFont="1" applyFill="1" applyBorder="1" applyAlignment="1">
      <alignment horizontal="center" vertical="center"/>
    </xf>
    <xf numFmtId="0" fontId="63" fillId="0" borderId="2" xfId="0" applyFont="1" applyFill="1" applyBorder="1" applyAlignment="1">
      <alignment horizontal="center" vertical="center"/>
    </xf>
    <xf numFmtId="44" fontId="76" fillId="5" borderId="8" xfId="0" applyNumberFormat="1" applyFont="1" applyFill="1" applyBorder="1" applyAlignment="1">
      <alignment horizontal="center" vertical="center"/>
    </xf>
    <xf numFmtId="44" fontId="76" fillId="5" borderId="9" xfId="0" applyNumberFormat="1" applyFont="1" applyFill="1" applyBorder="1" applyAlignment="1">
      <alignment horizontal="center" vertical="center"/>
    </xf>
    <xf numFmtId="0" fontId="74" fillId="5" borderId="8" xfId="0" applyFont="1" applyFill="1" applyBorder="1" applyAlignment="1">
      <alignment horizontal="center" vertical="center" wrapText="1"/>
    </xf>
    <xf numFmtId="0" fontId="74" fillId="5" borderId="4" xfId="0" applyFont="1" applyFill="1" applyBorder="1" applyAlignment="1">
      <alignment horizontal="center" vertical="center" wrapText="1"/>
    </xf>
    <xf numFmtId="0" fontId="74" fillId="5" borderId="9" xfId="0" applyFont="1" applyFill="1" applyBorder="1" applyAlignment="1">
      <alignment horizontal="center" vertical="center" wrapText="1"/>
    </xf>
    <xf numFmtId="0" fontId="117" fillId="2" borderId="66" xfId="0" applyFont="1" applyFill="1" applyBorder="1" applyAlignment="1">
      <alignment horizontal="center" vertical="center"/>
    </xf>
    <xf numFmtId="0" fontId="5" fillId="0" borderId="0" xfId="0" applyFont="1" applyBorder="1"/>
    <xf numFmtId="0" fontId="5" fillId="0" borderId="67" xfId="0" applyFont="1" applyBorder="1"/>
    <xf numFmtId="0" fontId="5" fillId="0" borderId="66" xfId="0" applyFont="1" applyBorder="1"/>
    <xf numFmtId="0" fontId="118" fillId="2" borderId="66" xfId="0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7" fillId="0" borderId="67" xfId="0" applyFont="1" applyBorder="1" applyAlignment="1">
      <alignment vertical="center"/>
    </xf>
    <xf numFmtId="0" fontId="7" fillId="0" borderId="66" xfId="0" applyFont="1" applyBorder="1" applyAlignment="1">
      <alignment vertical="center"/>
    </xf>
    <xf numFmtId="0" fontId="66" fillId="16" borderId="66" xfId="0" applyFont="1" applyFill="1" applyBorder="1" applyAlignment="1">
      <alignment horizontal="center"/>
    </xf>
    <xf numFmtId="0" fontId="67" fillId="0" borderId="1" xfId="85" applyFont="1" applyBorder="1" applyAlignment="1">
      <alignment horizontal="center" vertical="center"/>
    </xf>
    <xf numFmtId="0" fontId="67" fillId="0" borderId="8" xfId="85" applyFont="1" applyBorder="1" applyAlignment="1">
      <alignment horizontal="left" vertical="center"/>
    </xf>
    <xf numFmtId="0" fontId="67" fillId="0" borderId="4" xfId="85" applyFont="1" applyBorder="1" applyAlignment="1">
      <alignment horizontal="left" vertical="center"/>
    </xf>
    <xf numFmtId="0" fontId="67" fillId="0" borderId="9" xfId="85" applyFont="1" applyBorder="1" applyAlignment="1">
      <alignment horizontal="left" vertical="center"/>
    </xf>
    <xf numFmtId="172" fontId="75" fillId="17" borderId="1" xfId="4" applyNumberFormat="1" applyFont="1" applyFill="1" applyBorder="1" applyAlignment="1">
      <alignment horizontal="center" vertical="center"/>
    </xf>
    <xf numFmtId="0" fontId="68" fillId="0" borderId="1" xfId="85" applyFont="1" applyBorder="1" applyAlignment="1">
      <alignment horizontal="center" vertical="center" wrapText="1"/>
    </xf>
    <xf numFmtId="44" fontId="68" fillId="4" borderId="1" xfId="4" applyFont="1" applyFill="1" applyBorder="1" applyAlignment="1">
      <alignment horizontal="center" vertical="center" wrapText="1"/>
    </xf>
    <xf numFmtId="0" fontId="123" fillId="5" borderId="1" xfId="85" applyFont="1" applyFill="1" applyBorder="1" applyAlignment="1">
      <alignment horizontal="left" vertical="center"/>
    </xf>
    <xf numFmtId="0" fontId="68" fillId="4" borderId="5" xfId="85" applyFont="1" applyFill="1" applyBorder="1" applyAlignment="1">
      <alignment horizontal="center" vertical="center"/>
    </xf>
    <xf numFmtId="0" fontId="68" fillId="4" borderId="6" xfId="85" applyFont="1" applyFill="1" applyBorder="1" applyAlignment="1">
      <alignment horizontal="center" vertical="center"/>
    </xf>
    <xf numFmtId="0" fontId="68" fillId="4" borderId="7" xfId="85" applyFont="1" applyFill="1" applyBorder="1" applyAlignment="1">
      <alignment horizontal="center" vertical="center"/>
    </xf>
    <xf numFmtId="44" fontId="68" fillId="4" borderId="8" xfId="4" applyFont="1" applyFill="1" applyBorder="1" applyAlignment="1">
      <alignment horizontal="center" vertical="center"/>
    </xf>
    <xf numFmtId="44" fontId="68" fillId="4" borderId="4" xfId="4" applyFont="1" applyFill="1" applyBorder="1" applyAlignment="1">
      <alignment horizontal="center" vertical="center"/>
    </xf>
    <xf numFmtId="44" fontId="68" fillId="4" borderId="9" xfId="4" applyFont="1" applyFill="1" applyBorder="1" applyAlignment="1">
      <alignment horizontal="center" vertical="center"/>
    </xf>
    <xf numFmtId="0" fontId="68" fillId="4" borderId="36" xfId="85" applyFont="1" applyFill="1" applyBorder="1" applyAlignment="1">
      <alignment horizontal="center" vertical="center"/>
    </xf>
    <xf numFmtId="0" fontId="68" fillId="4" borderId="0" xfId="85" applyFont="1" applyFill="1" applyBorder="1" applyAlignment="1">
      <alignment horizontal="center" vertical="center"/>
    </xf>
    <xf numFmtId="0" fontId="68" fillId="4" borderId="42" xfId="85" applyFont="1" applyFill="1" applyBorder="1" applyAlignment="1">
      <alignment horizontal="center" vertical="center"/>
    </xf>
    <xf numFmtId="0" fontId="68" fillId="4" borderId="20" xfId="85" applyFont="1" applyFill="1" applyBorder="1" applyAlignment="1">
      <alignment horizontal="center" vertical="center"/>
    </xf>
    <xf numFmtId="0" fontId="68" fillId="4" borderId="3" xfId="85" applyFont="1" applyFill="1" applyBorder="1" applyAlignment="1">
      <alignment horizontal="center" vertical="center"/>
    </xf>
    <xf numFmtId="0" fontId="68" fillId="4" borderId="26" xfId="85" applyFont="1" applyFill="1" applyBorder="1" applyAlignment="1">
      <alignment horizontal="center" vertical="center"/>
    </xf>
    <xf numFmtId="172" fontId="67" fillId="0" borderId="1" xfId="4" applyNumberFormat="1" applyFont="1" applyBorder="1" applyAlignment="1">
      <alignment horizontal="center" vertical="center"/>
    </xf>
    <xf numFmtId="0" fontId="67" fillId="0" borderId="5" xfId="85" applyFont="1" applyBorder="1" applyAlignment="1">
      <alignment horizontal="left" vertical="center" wrapText="1"/>
    </xf>
    <xf numFmtId="0" fontId="67" fillId="0" borderId="6" xfId="85" applyFont="1" applyBorder="1" applyAlignment="1">
      <alignment horizontal="left" vertical="center" wrapText="1"/>
    </xf>
    <xf numFmtId="0" fontId="67" fillId="0" borderId="7" xfId="85" applyFont="1" applyBorder="1" applyAlignment="1">
      <alignment horizontal="left" vertical="center" wrapText="1"/>
    </xf>
    <xf numFmtId="44" fontId="67" fillId="0" borderId="8" xfId="85" applyNumberFormat="1" applyFont="1" applyBorder="1" applyAlignment="1">
      <alignment horizontal="center" vertical="center" wrapText="1"/>
    </xf>
    <xf numFmtId="44" fontId="67" fillId="0" borderId="4" xfId="85" applyNumberFormat="1" applyFont="1" applyBorder="1" applyAlignment="1">
      <alignment horizontal="center" vertical="center" wrapText="1"/>
    </xf>
    <xf numFmtId="44" fontId="67" fillId="0" borderId="9" xfId="85" applyNumberFormat="1" applyFont="1" applyBorder="1" applyAlignment="1">
      <alignment horizontal="center" vertical="center" wrapText="1"/>
    </xf>
    <xf numFmtId="171" fontId="67" fillId="0" borderId="8" xfId="85" applyNumberFormat="1" applyFont="1" applyBorder="1" applyAlignment="1">
      <alignment horizontal="center" vertical="center" wrapText="1"/>
    </xf>
    <xf numFmtId="171" fontId="67" fillId="0" borderId="4" xfId="85" applyNumberFormat="1" applyFont="1" applyBorder="1" applyAlignment="1">
      <alignment horizontal="center" vertical="center" wrapText="1"/>
    </xf>
    <xf numFmtId="171" fontId="67" fillId="0" borderId="9" xfId="85" applyNumberFormat="1" applyFont="1" applyBorder="1" applyAlignment="1">
      <alignment horizontal="center" vertical="center" wrapText="1"/>
    </xf>
    <xf numFmtId="1" fontId="67" fillId="0" borderId="8" xfId="85" applyNumberFormat="1" applyFont="1" applyBorder="1" applyAlignment="1">
      <alignment horizontal="center" vertical="center" wrapText="1"/>
    </xf>
    <xf numFmtId="1" fontId="67" fillId="0" borderId="4" xfId="85" applyNumberFormat="1" applyFont="1" applyBorder="1" applyAlignment="1">
      <alignment horizontal="center" vertical="center" wrapText="1"/>
    </xf>
    <xf numFmtId="1" fontId="67" fillId="0" borderId="9" xfId="85" applyNumberFormat="1" applyFont="1" applyBorder="1" applyAlignment="1">
      <alignment horizontal="center" vertical="center" wrapText="1"/>
    </xf>
    <xf numFmtId="44" fontId="67" fillId="0" borderId="5" xfId="4" applyFont="1" applyBorder="1" applyAlignment="1">
      <alignment horizontal="center" vertical="center" wrapText="1"/>
    </xf>
    <xf numFmtId="44" fontId="67" fillId="0" borderId="6" xfId="4" applyFont="1" applyBorder="1" applyAlignment="1">
      <alignment horizontal="center" vertical="center" wrapText="1"/>
    </xf>
    <xf numFmtId="44" fontId="67" fillId="0" borderId="7" xfId="4" applyFont="1" applyBorder="1" applyAlignment="1">
      <alignment horizontal="center" vertical="center" wrapText="1"/>
    </xf>
    <xf numFmtId="0" fontId="68" fillId="0" borderId="8" xfId="85" applyFont="1" applyBorder="1" applyAlignment="1">
      <alignment horizontal="right" vertical="center"/>
    </xf>
    <xf numFmtId="0" fontId="68" fillId="0" borderId="4" xfId="85" applyFont="1" applyBorder="1" applyAlignment="1">
      <alignment horizontal="right" vertical="center"/>
    </xf>
    <xf numFmtId="0" fontId="68" fillId="0" borderId="9" xfId="85" applyFont="1" applyBorder="1" applyAlignment="1">
      <alignment horizontal="right" vertical="center"/>
    </xf>
    <xf numFmtId="44" fontId="68" fillId="0" borderId="8" xfId="4" applyFont="1" applyBorder="1" applyAlignment="1">
      <alignment horizontal="center" vertical="center"/>
    </xf>
    <xf numFmtId="44" fontId="68" fillId="0" borderId="4" xfId="4" applyFont="1" applyBorder="1" applyAlignment="1">
      <alignment horizontal="center" vertical="center"/>
    </xf>
    <xf numFmtId="44" fontId="68" fillId="0" borderId="9" xfId="4" applyFont="1" applyBorder="1" applyAlignment="1">
      <alignment horizontal="center" vertical="center"/>
    </xf>
    <xf numFmtId="0" fontId="67" fillId="0" borderId="8" xfId="85" applyFont="1" applyBorder="1" applyAlignment="1">
      <alignment horizontal="center" vertical="center"/>
    </xf>
    <xf numFmtId="0" fontId="67" fillId="0" borderId="9" xfId="85" applyFont="1" applyBorder="1" applyAlignment="1">
      <alignment horizontal="center" vertical="center"/>
    </xf>
    <xf numFmtId="0" fontId="67" fillId="0" borderId="8" xfId="85" applyFont="1" applyBorder="1" applyAlignment="1">
      <alignment horizontal="left" vertical="center" indent="1"/>
    </xf>
    <xf numFmtId="0" fontId="67" fillId="0" borderId="4" xfId="85" applyFont="1" applyBorder="1" applyAlignment="1">
      <alignment horizontal="left" vertical="center" indent="1"/>
    </xf>
    <xf numFmtId="0" fontId="67" fillId="0" borderId="9" xfId="85" applyFont="1" applyBorder="1" applyAlignment="1">
      <alignment horizontal="left" vertical="center" indent="1"/>
    </xf>
    <xf numFmtId="0" fontId="68" fillId="0" borderId="5" xfId="85" applyFont="1" applyBorder="1" applyAlignment="1">
      <alignment horizontal="right" vertical="center"/>
    </xf>
    <xf numFmtId="0" fontId="68" fillId="0" borderId="6" xfId="85" applyFont="1" applyBorder="1" applyAlignment="1">
      <alignment horizontal="right" vertical="center"/>
    </xf>
    <xf numFmtId="0" fontId="68" fillId="0" borderId="7" xfId="85" applyFont="1" applyBorder="1" applyAlignment="1">
      <alignment horizontal="right" vertical="center"/>
    </xf>
    <xf numFmtId="0" fontId="123" fillId="5" borderId="8" xfId="85" applyFont="1" applyFill="1" applyBorder="1" applyAlignment="1">
      <alignment horizontal="left" vertical="center"/>
    </xf>
    <xf numFmtId="0" fontId="123" fillId="5" borderId="4" xfId="85" applyFont="1" applyFill="1" applyBorder="1" applyAlignment="1">
      <alignment horizontal="left" vertical="center"/>
    </xf>
    <xf numFmtId="0" fontId="123" fillId="5" borderId="9" xfId="85" applyFont="1" applyFill="1" applyBorder="1" applyAlignment="1">
      <alignment horizontal="left" vertical="center"/>
    </xf>
    <xf numFmtId="0" fontId="68" fillId="4" borderId="5" xfId="85" applyFont="1" applyFill="1" applyBorder="1" applyAlignment="1">
      <alignment horizontal="center" vertical="center" wrapText="1"/>
    </xf>
    <xf numFmtId="0" fontId="68" fillId="4" borderId="6" xfId="85" applyFont="1" applyFill="1" applyBorder="1" applyAlignment="1">
      <alignment horizontal="center" vertical="center" wrapText="1"/>
    </xf>
    <xf numFmtId="0" fontId="68" fillId="4" borderId="7" xfId="85" applyFont="1" applyFill="1" applyBorder="1" applyAlignment="1">
      <alignment horizontal="center" vertical="center" wrapText="1"/>
    </xf>
    <xf numFmtId="0" fontId="67" fillId="3" borderId="8" xfId="85" applyFont="1" applyFill="1" applyBorder="1" applyAlignment="1">
      <alignment horizontal="center" vertical="center"/>
    </xf>
    <xf numFmtId="0" fontId="67" fillId="3" borderId="9" xfId="85" applyFont="1" applyFill="1" applyBorder="1" applyAlignment="1">
      <alignment horizontal="center" vertical="center"/>
    </xf>
    <xf numFmtId="0" fontId="67" fillId="3" borderId="8" xfId="85" applyFont="1" applyFill="1" applyBorder="1" applyAlignment="1">
      <alignment horizontal="left" vertical="center" indent="2"/>
    </xf>
    <xf numFmtId="0" fontId="67" fillId="3" borderId="4" xfId="85" applyFont="1" applyFill="1" applyBorder="1" applyAlignment="1">
      <alignment horizontal="left" vertical="center" indent="2"/>
    </xf>
    <xf numFmtId="0" fontId="67" fillId="3" borderId="9" xfId="85" applyFont="1" applyFill="1" applyBorder="1" applyAlignment="1">
      <alignment horizontal="left" vertical="center" indent="2"/>
    </xf>
    <xf numFmtId="10" fontId="67" fillId="12" borderId="8" xfId="520" applyNumberFormat="1" applyFont="1" applyFill="1" applyBorder="1" applyAlignment="1">
      <alignment horizontal="center" vertical="center"/>
    </xf>
    <xf numFmtId="10" fontId="67" fillId="12" borderId="4" xfId="520" applyNumberFormat="1" applyFont="1" applyFill="1" applyBorder="1" applyAlignment="1">
      <alignment horizontal="center" vertical="center"/>
    </xf>
    <xf numFmtId="10" fontId="67" fillId="12" borderId="9" xfId="520" applyNumberFormat="1" applyFont="1" applyFill="1" applyBorder="1" applyAlignment="1">
      <alignment horizontal="center" vertical="center"/>
    </xf>
    <xf numFmtId="44" fontId="67" fillId="0" borderId="8" xfId="4" applyFont="1" applyBorder="1" applyAlignment="1">
      <alignment horizontal="center" vertical="center"/>
    </xf>
    <xf numFmtId="44" fontId="67" fillId="0" borderId="4" xfId="4" applyFont="1" applyBorder="1" applyAlignment="1">
      <alignment horizontal="center" vertical="center"/>
    </xf>
    <xf numFmtId="44" fontId="67" fillId="0" borderId="9" xfId="4" applyFont="1" applyBorder="1" applyAlignment="1">
      <alignment horizontal="center" vertical="center"/>
    </xf>
    <xf numFmtId="44" fontId="68" fillId="4" borderId="1" xfId="4" applyFont="1" applyFill="1" applyBorder="1" applyAlignment="1">
      <alignment horizontal="center" vertical="center"/>
    </xf>
    <xf numFmtId="0" fontId="68" fillId="4" borderId="8" xfId="85" applyFont="1" applyFill="1" applyBorder="1" applyAlignment="1">
      <alignment horizontal="left" vertical="center"/>
    </xf>
    <xf numFmtId="0" fontId="68" fillId="4" borderId="4" xfId="85" applyFont="1" applyFill="1" applyBorder="1" applyAlignment="1">
      <alignment horizontal="left" vertical="center"/>
    </xf>
    <xf numFmtId="0" fontId="68" fillId="4" borderId="9" xfId="85" applyFont="1" applyFill="1" applyBorder="1" applyAlignment="1">
      <alignment horizontal="left" vertical="center"/>
    </xf>
    <xf numFmtId="0" fontId="68" fillId="4" borderId="8" xfId="85" applyFont="1" applyFill="1" applyBorder="1" applyAlignment="1">
      <alignment horizontal="center" vertical="center"/>
    </xf>
    <xf numFmtId="0" fontId="68" fillId="4" borderId="4" xfId="85" applyFont="1" applyFill="1" applyBorder="1" applyAlignment="1">
      <alignment horizontal="center" vertical="center"/>
    </xf>
    <xf numFmtId="0" fontId="68" fillId="4" borderId="9" xfId="85" applyFont="1" applyFill="1" applyBorder="1" applyAlignment="1">
      <alignment horizontal="center" vertical="center"/>
    </xf>
    <xf numFmtId="10" fontId="119" fillId="12" borderId="8" xfId="520" applyNumberFormat="1" applyFont="1" applyFill="1" applyBorder="1" applyAlignment="1">
      <alignment horizontal="center" vertical="center"/>
    </xf>
    <xf numFmtId="10" fontId="119" fillId="12" borderId="4" xfId="520" applyNumberFormat="1" applyFont="1" applyFill="1" applyBorder="1" applyAlignment="1">
      <alignment horizontal="center" vertical="center"/>
    </xf>
    <xf numFmtId="10" fontId="119" fillId="12" borderId="9" xfId="520" applyNumberFormat="1" applyFont="1" applyFill="1" applyBorder="1" applyAlignment="1">
      <alignment horizontal="center" vertical="center"/>
    </xf>
    <xf numFmtId="0" fontId="67" fillId="3" borderId="8" xfId="85" applyFont="1" applyFill="1" applyBorder="1" applyAlignment="1">
      <alignment horizontal="left" vertical="center" indent="1"/>
    </xf>
    <xf numFmtId="0" fontId="67" fillId="3" borderId="4" xfId="85" applyFont="1" applyFill="1" applyBorder="1" applyAlignment="1">
      <alignment horizontal="left" vertical="center" indent="1"/>
    </xf>
    <xf numFmtId="0" fontId="67" fillId="3" borderId="9" xfId="85" applyFont="1" applyFill="1" applyBorder="1" applyAlignment="1">
      <alignment horizontal="left" vertical="center" indent="1"/>
    </xf>
    <xf numFmtId="10" fontId="67" fillId="4" borderId="8" xfId="520" applyNumberFormat="1" applyFont="1" applyFill="1" applyBorder="1" applyAlignment="1">
      <alignment horizontal="center" vertical="center"/>
    </xf>
    <xf numFmtId="10" fontId="67" fillId="4" borderId="4" xfId="520" applyNumberFormat="1" applyFont="1" applyFill="1" applyBorder="1" applyAlignment="1">
      <alignment horizontal="center" vertical="center"/>
    </xf>
    <xf numFmtId="10" fontId="67" fillId="4" borderId="9" xfId="520" applyNumberFormat="1" applyFont="1" applyFill="1" applyBorder="1" applyAlignment="1">
      <alignment horizontal="center" vertical="center"/>
    </xf>
    <xf numFmtId="0" fontId="67" fillId="4" borderId="8" xfId="85" applyFont="1" applyFill="1" applyBorder="1" applyAlignment="1">
      <alignment horizontal="center" vertical="center"/>
    </xf>
    <xf numFmtId="0" fontId="67" fillId="4" borderId="9" xfId="85" applyFont="1" applyFill="1" applyBorder="1" applyAlignment="1">
      <alignment horizontal="center" vertical="center"/>
    </xf>
    <xf numFmtId="0" fontId="75" fillId="5" borderId="8" xfId="85" applyFont="1" applyFill="1" applyBorder="1" applyAlignment="1">
      <alignment horizontal="left" vertical="center"/>
    </xf>
    <xf numFmtId="0" fontId="75" fillId="5" borderId="4" xfId="85" applyFont="1" applyFill="1" applyBorder="1" applyAlignment="1">
      <alignment horizontal="left" vertical="center"/>
    </xf>
    <xf numFmtId="0" fontId="75" fillId="5" borderId="9" xfId="85" applyFont="1" applyFill="1" applyBorder="1" applyAlignment="1">
      <alignment horizontal="left" vertical="center"/>
    </xf>
    <xf numFmtId="0" fontId="67" fillId="4" borderId="8" xfId="85" applyFont="1" applyFill="1" applyBorder="1" applyAlignment="1">
      <alignment horizontal="left" vertical="center" indent="1"/>
    </xf>
    <xf numFmtId="0" fontId="67" fillId="4" borderId="4" xfId="85" applyFont="1" applyFill="1" applyBorder="1" applyAlignment="1">
      <alignment horizontal="left" vertical="center" indent="1"/>
    </xf>
    <xf numFmtId="0" fontId="67" fillId="4" borderId="9" xfId="85" applyFont="1" applyFill="1" applyBorder="1" applyAlignment="1">
      <alignment horizontal="left" vertical="center" indent="1"/>
    </xf>
    <xf numFmtId="44" fontId="67" fillId="12" borderId="8" xfId="4" applyFont="1" applyFill="1" applyBorder="1" applyAlignment="1">
      <alignment horizontal="center" vertical="center"/>
    </xf>
    <xf numFmtId="44" fontId="67" fillId="12" borderId="4" xfId="4" applyFont="1" applyFill="1" applyBorder="1" applyAlignment="1">
      <alignment horizontal="center" vertical="center"/>
    </xf>
    <xf numFmtId="44" fontId="67" fillId="12" borderId="9" xfId="4" applyFont="1" applyFill="1" applyBorder="1" applyAlignment="1">
      <alignment horizontal="center" vertical="center"/>
    </xf>
    <xf numFmtId="44" fontId="67" fillId="0" borderId="8" xfId="4" applyFont="1" applyFill="1" applyBorder="1" applyAlignment="1">
      <alignment horizontal="center" vertical="center"/>
    </xf>
    <xf numFmtId="44" fontId="67" fillId="0" borderId="4" xfId="4" applyFont="1" applyFill="1" applyBorder="1" applyAlignment="1">
      <alignment horizontal="center" vertical="center"/>
    </xf>
    <xf numFmtId="44" fontId="67" fillId="0" borderId="9" xfId="4" applyFont="1" applyFill="1" applyBorder="1" applyAlignment="1">
      <alignment horizontal="center" vertical="center"/>
    </xf>
    <xf numFmtId="0" fontId="68" fillId="0" borderId="0" xfId="85" applyFont="1" applyBorder="1" applyAlignment="1">
      <alignment horizontal="center" vertical="center"/>
    </xf>
    <xf numFmtId="0" fontId="68" fillId="0" borderId="3" xfId="85" applyFont="1" applyBorder="1" applyAlignment="1">
      <alignment horizontal="center" vertical="center"/>
    </xf>
    <xf numFmtId="0" fontId="67" fillId="0" borderId="8" xfId="85" applyFont="1" applyFill="1" applyBorder="1" applyAlignment="1">
      <alignment horizontal="left" vertical="center" indent="1"/>
    </xf>
    <xf numFmtId="0" fontId="67" fillId="0" borderId="4" xfId="85" applyFont="1" applyFill="1" applyBorder="1" applyAlignment="1">
      <alignment horizontal="left" vertical="center" indent="1"/>
    </xf>
    <xf numFmtId="0" fontId="67" fillId="0" borderId="9" xfId="85" applyFont="1" applyFill="1" applyBorder="1" applyAlignment="1">
      <alignment horizontal="left" vertical="center" indent="1"/>
    </xf>
    <xf numFmtId="0" fontId="68" fillId="4" borderId="4" xfId="85" applyFont="1" applyFill="1" applyBorder="1" applyAlignment="1">
      <alignment horizontal="left" vertical="center" indent="1"/>
    </xf>
    <xf numFmtId="0" fontId="68" fillId="4" borderId="9" xfId="85" applyFont="1" applyFill="1" applyBorder="1" applyAlignment="1">
      <alignment horizontal="left" vertical="center" indent="1"/>
    </xf>
    <xf numFmtId="44" fontId="67" fillId="4" borderId="8" xfId="4" applyFont="1" applyFill="1" applyBorder="1" applyAlignment="1">
      <alignment horizontal="center" vertical="center"/>
    </xf>
    <xf numFmtId="44" fontId="67" fillId="4" borderId="4" xfId="4" applyFont="1" applyFill="1" applyBorder="1" applyAlignment="1">
      <alignment horizontal="center" vertical="center"/>
    </xf>
    <xf numFmtId="44" fontId="67" fillId="4" borderId="9" xfId="4" applyFont="1" applyFill="1" applyBorder="1" applyAlignment="1">
      <alignment horizontal="center" vertical="center"/>
    </xf>
    <xf numFmtId="44" fontId="11" fillId="12" borderId="8" xfId="4" applyFont="1" applyFill="1" applyBorder="1" applyAlignment="1">
      <alignment horizontal="center" vertical="center"/>
    </xf>
    <xf numFmtId="44" fontId="11" fillId="12" borderId="4" xfId="4" applyFont="1" applyFill="1" applyBorder="1" applyAlignment="1">
      <alignment horizontal="center" vertical="center"/>
    </xf>
    <xf numFmtId="44" fontId="11" fillId="12" borderId="9" xfId="4" applyFont="1" applyFill="1" applyBorder="1" applyAlignment="1">
      <alignment horizontal="center" vertical="center"/>
    </xf>
    <xf numFmtId="0" fontId="119" fillId="0" borderId="8" xfId="85" applyFont="1" applyBorder="1" applyAlignment="1">
      <alignment horizontal="left" vertical="center" indent="1"/>
    </xf>
    <xf numFmtId="0" fontId="119" fillId="0" borderId="4" xfId="85" applyFont="1" applyBorder="1" applyAlignment="1">
      <alignment horizontal="left" vertical="center" indent="1"/>
    </xf>
    <xf numFmtId="0" fontId="119" fillId="0" borderId="9" xfId="85" applyFont="1" applyBorder="1" applyAlignment="1">
      <alignment horizontal="left" vertical="center" indent="1"/>
    </xf>
    <xf numFmtId="44" fontId="119" fillId="0" borderId="8" xfId="4" applyFont="1" applyFill="1" applyBorder="1" applyAlignment="1">
      <alignment horizontal="center" vertical="center"/>
    </xf>
    <xf numFmtId="44" fontId="119" fillId="0" borderId="4" xfId="4" applyFont="1" applyFill="1" applyBorder="1" applyAlignment="1">
      <alignment horizontal="center" vertical="center"/>
    </xf>
    <xf numFmtId="44" fontId="119" fillId="0" borderId="9" xfId="4" applyFont="1" applyFill="1" applyBorder="1" applyAlignment="1">
      <alignment horizontal="center" vertical="center"/>
    </xf>
    <xf numFmtId="10" fontId="68" fillId="4" borderId="8" xfId="85" applyNumberFormat="1" applyFont="1" applyFill="1" applyBorder="1" applyAlignment="1">
      <alignment horizontal="center" vertical="center"/>
    </xf>
    <xf numFmtId="10" fontId="68" fillId="4" borderId="4" xfId="85" applyNumberFormat="1" applyFont="1" applyFill="1" applyBorder="1" applyAlignment="1">
      <alignment horizontal="center" vertical="center"/>
    </xf>
    <xf numFmtId="10" fontId="68" fillId="4" borderId="9" xfId="85" applyNumberFormat="1" applyFont="1" applyFill="1" applyBorder="1" applyAlignment="1">
      <alignment horizontal="center" vertical="center"/>
    </xf>
    <xf numFmtId="10" fontId="68" fillId="12" borderId="8" xfId="85" applyNumberFormat="1" applyFont="1" applyFill="1" applyBorder="1" applyAlignment="1">
      <alignment horizontal="center" vertical="center"/>
    </xf>
    <xf numFmtId="10" fontId="68" fillId="12" borderId="4" xfId="85" applyNumberFormat="1" applyFont="1" applyFill="1" applyBorder="1" applyAlignment="1">
      <alignment horizontal="center" vertical="center"/>
    </xf>
    <xf numFmtId="10" fontId="68" fillId="12" borderId="9" xfId="85" applyNumberFormat="1" applyFont="1" applyFill="1" applyBorder="1" applyAlignment="1">
      <alignment horizontal="center" vertical="center"/>
    </xf>
    <xf numFmtId="10" fontId="122" fillId="12" borderId="8" xfId="85" applyNumberFormat="1" applyFont="1" applyFill="1" applyBorder="1" applyAlignment="1">
      <alignment horizontal="center" vertical="center"/>
    </xf>
    <xf numFmtId="10" fontId="122" fillId="12" borderId="4" xfId="85" applyNumberFormat="1" applyFont="1" applyFill="1" applyBorder="1" applyAlignment="1">
      <alignment horizontal="center" vertical="center"/>
    </xf>
    <xf numFmtId="10" fontId="122" fillId="12" borderId="9" xfId="85" applyNumberFormat="1" applyFont="1" applyFill="1" applyBorder="1" applyAlignment="1">
      <alignment horizontal="center" vertical="center"/>
    </xf>
    <xf numFmtId="0" fontId="67" fillId="0" borderId="8" xfId="85" applyFont="1" applyFill="1" applyBorder="1" applyAlignment="1">
      <alignment horizontal="center" vertical="center"/>
    </xf>
    <xf numFmtId="0" fontId="67" fillId="0" borderId="9" xfId="85" applyFont="1" applyFill="1" applyBorder="1" applyAlignment="1">
      <alignment horizontal="center" vertical="center"/>
    </xf>
    <xf numFmtId="10" fontId="67" fillId="12" borderId="8" xfId="85" applyNumberFormat="1" applyFont="1" applyFill="1" applyBorder="1" applyAlignment="1">
      <alignment horizontal="center" vertical="center"/>
    </xf>
    <xf numFmtId="10" fontId="67" fillId="12" borderId="4" xfId="85" applyNumberFormat="1" applyFont="1" applyFill="1" applyBorder="1" applyAlignment="1">
      <alignment horizontal="center" vertical="center"/>
    </xf>
    <xf numFmtId="10" fontId="67" fillId="12" borderId="9" xfId="85" applyNumberFormat="1" applyFont="1" applyFill="1" applyBorder="1" applyAlignment="1">
      <alignment horizontal="center" vertical="center"/>
    </xf>
    <xf numFmtId="9" fontId="67" fillId="12" borderId="8" xfId="85" applyNumberFormat="1" applyFont="1" applyFill="1" applyBorder="1" applyAlignment="1">
      <alignment horizontal="center" vertical="center"/>
    </xf>
    <xf numFmtId="0" fontId="67" fillId="12" borderId="4" xfId="85" applyFont="1" applyFill="1" applyBorder="1" applyAlignment="1">
      <alignment horizontal="center" vertical="center"/>
    </xf>
    <xf numFmtId="0" fontId="67" fillId="12" borderId="9" xfId="85" applyFont="1" applyFill="1" applyBorder="1" applyAlignment="1">
      <alignment horizontal="center" vertical="center"/>
    </xf>
    <xf numFmtId="0" fontId="10" fillId="4" borderId="8" xfId="85" applyFont="1" applyFill="1" applyBorder="1" applyAlignment="1">
      <alignment horizontal="left" vertical="center"/>
    </xf>
    <xf numFmtId="0" fontId="67" fillId="12" borderId="8" xfId="85" applyFont="1" applyFill="1" applyBorder="1" applyAlignment="1">
      <alignment horizontal="center" vertical="center"/>
    </xf>
    <xf numFmtId="0" fontId="67" fillId="0" borderId="8" xfId="85" quotePrefix="1" applyFont="1" applyBorder="1" applyAlignment="1">
      <alignment horizontal="left" vertical="center" indent="1"/>
    </xf>
    <xf numFmtId="0" fontId="67" fillId="0" borderId="4" xfId="85" quotePrefix="1" applyFont="1" applyBorder="1" applyAlignment="1">
      <alignment horizontal="left" vertical="center" indent="1"/>
    </xf>
    <xf numFmtId="0" fontId="67" fillId="0" borderId="9" xfId="85" quotePrefix="1" applyFont="1" applyBorder="1" applyAlignment="1">
      <alignment horizontal="left" vertical="center" indent="1"/>
    </xf>
    <xf numFmtId="14" fontId="68" fillId="12" borderId="1" xfId="4" applyNumberFormat="1" applyFont="1" applyFill="1" applyBorder="1" applyAlignment="1">
      <alignment horizontal="center" vertical="center"/>
    </xf>
    <xf numFmtId="0" fontId="68" fillId="12" borderId="1" xfId="4" applyNumberFormat="1" applyFont="1" applyFill="1" applyBorder="1" applyAlignment="1">
      <alignment horizontal="center" vertical="center"/>
    </xf>
    <xf numFmtId="39" fontId="122" fillId="12" borderId="1" xfId="530" applyNumberFormat="1" applyFont="1" applyFill="1" applyBorder="1" applyAlignment="1">
      <alignment horizontal="center" vertical="center"/>
    </xf>
    <xf numFmtId="0" fontId="68" fillId="0" borderId="4" xfId="85" applyFont="1" applyFill="1" applyBorder="1" applyAlignment="1">
      <alignment horizontal="left" vertical="center"/>
    </xf>
    <xf numFmtId="0" fontId="67" fillId="0" borderId="4" xfId="85" applyFont="1" applyBorder="1" applyAlignment="1">
      <alignment horizontal="center" vertical="center"/>
    </xf>
    <xf numFmtId="0" fontId="68" fillId="4" borderId="8" xfId="4" applyNumberFormat="1" applyFont="1" applyFill="1" applyBorder="1" applyAlignment="1">
      <alignment horizontal="center" vertical="center"/>
    </xf>
    <xf numFmtId="0" fontId="68" fillId="4" borderId="4" xfId="4" applyNumberFormat="1" applyFont="1" applyFill="1" applyBorder="1" applyAlignment="1">
      <alignment horizontal="center" vertical="center"/>
    </xf>
    <xf numFmtId="0" fontId="68" fillId="4" borderId="9" xfId="4" applyNumberFormat="1" applyFont="1" applyFill="1" applyBorder="1" applyAlignment="1">
      <alignment horizontal="center" vertical="center"/>
    </xf>
    <xf numFmtId="0" fontId="68" fillId="0" borderId="8" xfId="85" applyFont="1" applyBorder="1" applyAlignment="1">
      <alignment horizontal="center" vertical="center" wrapText="1"/>
    </xf>
    <xf numFmtId="0" fontId="68" fillId="0" borderId="4" xfId="85" applyFont="1" applyBorder="1" applyAlignment="1">
      <alignment horizontal="center" vertical="center" wrapText="1"/>
    </xf>
    <xf numFmtId="0" fontId="68" fillId="0" borderId="9" xfId="85" applyFont="1" applyBorder="1" applyAlignment="1">
      <alignment horizontal="center" vertical="center" wrapText="1"/>
    </xf>
    <xf numFmtId="14" fontId="68" fillId="0" borderId="8" xfId="85" applyNumberFormat="1" applyFont="1" applyBorder="1" applyAlignment="1">
      <alignment horizontal="center" vertical="center" wrapText="1"/>
    </xf>
    <xf numFmtId="14" fontId="68" fillId="0" borderId="4" xfId="85" applyNumberFormat="1" applyFont="1" applyBorder="1" applyAlignment="1">
      <alignment horizontal="center" vertical="center" wrapText="1"/>
    </xf>
    <xf numFmtId="14" fontId="68" fillId="0" borderId="9" xfId="85" applyNumberFormat="1" applyFont="1" applyBorder="1" applyAlignment="1">
      <alignment horizontal="center" vertical="center" wrapText="1"/>
    </xf>
    <xf numFmtId="0" fontId="67" fillId="0" borderId="8" xfId="85" applyFont="1" applyBorder="1" applyAlignment="1">
      <alignment horizontal="left" vertical="center" wrapText="1" indent="1"/>
    </xf>
    <xf numFmtId="0" fontId="67" fillId="0" borderId="4" xfId="85" applyFont="1" applyBorder="1" applyAlignment="1">
      <alignment horizontal="left" vertical="center" wrapText="1" indent="1"/>
    </xf>
    <xf numFmtId="0" fontId="67" fillId="0" borderId="9" xfId="85" applyFont="1" applyBorder="1" applyAlignment="1">
      <alignment horizontal="left" vertical="center" wrapText="1" indent="1"/>
    </xf>
    <xf numFmtId="14" fontId="67" fillId="0" borderId="8" xfId="85" applyNumberFormat="1" applyFont="1" applyBorder="1" applyAlignment="1">
      <alignment horizontal="center" vertical="center" wrapText="1"/>
    </xf>
    <xf numFmtId="14" fontId="67" fillId="0" borderId="4" xfId="85" applyNumberFormat="1" applyFont="1" applyBorder="1" applyAlignment="1">
      <alignment horizontal="center" vertical="center" wrapText="1"/>
    </xf>
    <xf numFmtId="14" fontId="67" fillId="0" borderId="9" xfId="85" applyNumberFormat="1" applyFont="1" applyBorder="1" applyAlignment="1">
      <alignment horizontal="center" vertical="center" wrapText="1"/>
    </xf>
    <xf numFmtId="1" fontId="68" fillId="12" borderId="8" xfId="85" applyNumberFormat="1" applyFont="1" applyFill="1" applyBorder="1" applyAlignment="1">
      <alignment horizontal="center" vertical="center" wrapText="1"/>
    </xf>
    <xf numFmtId="1" fontId="68" fillId="12" borderId="4" xfId="85" applyNumberFormat="1" applyFont="1" applyFill="1" applyBorder="1" applyAlignment="1">
      <alignment horizontal="center" vertical="center" wrapText="1"/>
    </xf>
    <xf numFmtId="1" fontId="68" fillId="12" borderId="9" xfId="85" applyNumberFormat="1" applyFont="1" applyFill="1" applyBorder="1" applyAlignment="1">
      <alignment horizontal="center" vertical="center" wrapText="1"/>
    </xf>
    <xf numFmtId="0" fontId="123" fillId="5" borderId="0" xfId="85" applyFont="1" applyFill="1" applyBorder="1" applyAlignment="1">
      <alignment horizontal="left" vertical="center"/>
    </xf>
    <xf numFmtId="0" fontId="68" fillId="4" borderId="8" xfId="85" applyFont="1" applyFill="1" applyBorder="1" applyAlignment="1">
      <alignment horizontal="left" vertical="center" wrapText="1"/>
    </xf>
    <xf numFmtId="0" fontId="68" fillId="4" borderId="4" xfId="85" applyFont="1" applyFill="1" applyBorder="1" applyAlignment="1">
      <alignment horizontal="left" vertical="center" wrapText="1"/>
    </xf>
    <xf numFmtId="0" fontId="68" fillId="4" borderId="9" xfId="85" applyFont="1" applyFill="1" applyBorder="1" applyAlignment="1">
      <alignment horizontal="left" vertical="center" wrapText="1"/>
    </xf>
    <xf numFmtId="14" fontId="68" fillId="4" borderId="8" xfId="85" applyNumberFormat="1" applyFont="1" applyFill="1" applyBorder="1" applyAlignment="1">
      <alignment horizontal="center" vertical="center"/>
    </xf>
    <xf numFmtId="14" fontId="68" fillId="4" borderId="4" xfId="85" applyNumberFormat="1" applyFont="1" applyFill="1" applyBorder="1" applyAlignment="1">
      <alignment horizontal="center" vertical="center"/>
    </xf>
    <xf numFmtId="14" fontId="68" fillId="4" borderId="9" xfId="85" applyNumberFormat="1" applyFont="1" applyFill="1" applyBorder="1" applyAlignment="1">
      <alignment horizontal="center" vertical="center"/>
    </xf>
    <xf numFmtId="44" fontId="68" fillId="4" borderId="8" xfId="4" applyFont="1" applyFill="1" applyBorder="1" applyAlignment="1">
      <alignment horizontal="center" vertical="center" wrapText="1"/>
    </xf>
    <xf numFmtId="44" fontId="68" fillId="4" borderId="4" xfId="4" applyFont="1" applyFill="1" applyBorder="1" applyAlignment="1">
      <alignment horizontal="center" vertical="center" wrapText="1"/>
    </xf>
    <xf numFmtId="44" fontId="68" fillId="4" borderId="9" xfId="4" applyFont="1" applyFill="1" applyBorder="1" applyAlignment="1">
      <alignment horizontal="center" vertical="center" wrapText="1"/>
    </xf>
    <xf numFmtId="0" fontId="12" fillId="4" borderId="8" xfId="4" applyNumberFormat="1" applyFont="1" applyFill="1" applyBorder="1" applyAlignment="1">
      <alignment horizontal="center" vertical="center"/>
    </xf>
    <xf numFmtId="0" fontId="12" fillId="4" borderId="4" xfId="4" applyNumberFormat="1" applyFont="1" applyFill="1" applyBorder="1" applyAlignment="1">
      <alignment horizontal="center" vertical="center"/>
    </xf>
    <xf numFmtId="0" fontId="12" fillId="4" borderId="9" xfId="4" applyNumberFormat="1" applyFont="1" applyFill="1" applyBorder="1" applyAlignment="1">
      <alignment horizontal="center" vertical="center"/>
    </xf>
    <xf numFmtId="0" fontId="67" fillId="0" borderId="0" xfId="85" applyFont="1" applyAlignment="1">
      <alignment horizontal="center" vertical="center"/>
    </xf>
    <xf numFmtId="0" fontId="15" fillId="0" borderId="0" xfId="0" applyFont="1" applyAlignment="1">
      <alignment horizontal="center"/>
    </xf>
    <xf numFmtId="0" fontId="68" fillId="4" borderId="0" xfId="85" applyFont="1" applyFill="1" applyBorder="1" applyAlignment="1">
      <alignment horizontal="center" vertical="center" wrapText="1"/>
    </xf>
    <xf numFmtId="0" fontId="121" fillId="0" borderId="0" xfId="85" applyFont="1" applyFill="1" applyBorder="1" applyAlignment="1">
      <alignment horizontal="center" vertical="center" wrapText="1"/>
    </xf>
    <xf numFmtId="0" fontId="68" fillId="0" borderId="0" xfId="85" applyFont="1" applyFill="1" applyBorder="1" applyAlignment="1">
      <alignment horizontal="center" vertical="center" wrapText="1"/>
    </xf>
    <xf numFmtId="0" fontId="122" fillId="4" borderId="0" xfId="85" applyFont="1" applyFill="1" applyBorder="1" applyAlignment="1">
      <alignment horizontal="center" vertical="center" wrapText="1"/>
    </xf>
    <xf numFmtId="0" fontId="68" fillId="3" borderId="8" xfId="85" applyFont="1" applyFill="1" applyBorder="1" applyAlignment="1">
      <alignment horizontal="left" vertical="center" wrapText="1"/>
    </xf>
    <xf numFmtId="0" fontId="68" fillId="3" borderId="4" xfId="85" applyFont="1" applyFill="1" applyBorder="1" applyAlignment="1">
      <alignment horizontal="left" vertical="center" wrapText="1"/>
    </xf>
    <xf numFmtId="0" fontId="68" fillId="3" borderId="9" xfId="85" applyFont="1" applyFill="1" applyBorder="1" applyAlignment="1">
      <alignment horizontal="left" vertical="center" wrapText="1"/>
    </xf>
    <xf numFmtId="0" fontId="67" fillId="0" borderId="8" xfId="85" applyFont="1" applyFill="1" applyBorder="1" applyAlignment="1">
      <alignment horizontal="left" vertical="center" wrapText="1" indent="1"/>
    </xf>
    <xf numFmtId="0" fontId="67" fillId="0" borderId="4" xfId="85" applyFont="1" applyFill="1" applyBorder="1" applyAlignment="1">
      <alignment horizontal="left" vertical="center" wrapText="1" indent="1"/>
    </xf>
    <xf numFmtId="0" fontId="67" fillId="0" borderId="9" xfId="85" applyFont="1" applyFill="1" applyBorder="1" applyAlignment="1">
      <alignment horizontal="left" vertical="center" wrapText="1" indent="1"/>
    </xf>
    <xf numFmtId="10" fontId="119" fillId="12" borderId="8" xfId="85" applyNumberFormat="1" applyFont="1" applyFill="1" applyBorder="1" applyAlignment="1">
      <alignment horizontal="center" vertical="center"/>
    </xf>
    <xf numFmtId="10" fontId="119" fillId="12" borderId="4" xfId="85" applyNumberFormat="1" applyFont="1" applyFill="1" applyBorder="1" applyAlignment="1">
      <alignment horizontal="center" vertical="center"/>
    </xf>
    <xf numFmtId="10" fontId="119" fillId="12" borderId="9" xfId="85" applyNumberFormat="1" applyFont="1" applyFill="1" applyBorder="1" applyAlignment="1">
      <alignment horizontal="center" vertical="center"/>
    </xf>
    <xf numFmtId="0" fontId="120" fillId="0" borderId="8" xfId="85" applyFont="1" applyFill="1" applyBorder="1" applyAlignment="1">
      <alignment horizontal="left" vertical="center" wrapText="1" indent="1"/>
    </xf>
    <xf numFmtId="0" fontId="120" fillId="0" borderId="4" xfId="85" applyFont="1" applyFill="1" applyBorder="1" applyAlignment="1">
      <alignment horizontal="left" vertical="center" wrapText="1" indent="1"/>
    </xf>
    <xf numFmtId="0" fontId="120" fillId="0" borderId="9" xfId="85" applyFont="1" applyFill="1" applyBorder="1" applyAlignment="1">
      <alignment horizontal="left" vertical="center" wrapText="1" indent="1"/>
    </xf>
    <xf numFmtId="175" fontId="119" fillId="12" borderId="8" xfId="85" applyNumberFormat="1" applyFont="1" applyFill="1" applyBorder="1" applyAlignment="1">
      <alignment horizontal="center" vertical="center"/>
    </xf>
    <xf numFmtId="175" fontId="119" fillId="12" borderId="4" xfId="85" applyNumberFormat="1" applyFont="1" applyFill="1" applyBorder="1" applyAlignment="1">
      <alignment horizontal="center" vertical="center"/>
    </xf>
    <xf numFmtId="175" fontId="119" fillId="12" borderId="9" xfId="85" applyNumberFormat="1" applyFont="1" applyFill="1" applyBorder="1" applyAlignment="1">
      <alignment horizontal="center" vertical="center"/>
    </xf>
    <xf numFmtId="10" fontId="67" fillId="4" borderId="8" xfId="85" applyNumberFormat="1" applyFont="1" applyFill="1" applyBorder="1" applyAlignment="1">
      <alignment horizontal="center" vertical="center"/>
    </xf>
    <xf numFmtId="10" fontId="67" fillId="4" borderId="4" xfId="85" applyNumberFormat="1" applyFont="1" applyFill="1" applyBorder="1" applyAlignment="1">
      <alignment horizontal="center" vertical="center"/>
    </xf>
    <xf numFmtId="10" fontId="67" fillId="4" borderId="9" xfId="85" applyNumberFormat="1" applyFont="1" applyFill="1" applyBorder="1" applyAlignment="1">
      <alignment horizontal="center" vertical="center"/>
    </xf>
    <xf numFmtId="0" fontId="67" fillId="0" borderId="1" xfId="85" applyFont="1" applyBorder="1" applyAlignment="1">
      <alignment horizontal="left" vertical="center" indent="1"/>
    </xf>
    <xf numFmtId="44" fontId="122" fillId="4" borderId="8" xfId="4" applyFont="1" applyFill="1" applyBorder="1" applyAlignment="1">
      <alignment horizontal="center" vertical="center" wrapText="1"/>
    </xf>
    <xf numFmtId="44" fontId="122" fillId="4" borderId="4" xfId="4" applyFont="1" applyFill="1" applyBorder="1" applyAlignment="1">
      <alignment horizontal="center" vertical="center" wrapText="1"/>
    </xf>
    <xf numFmtId="44" fontId="122" fillId="4" borderId="9" xfId="4" applyFont="1" applyFill="1" applyBorder="1" applyAlignment="1">
      <alignment horizontal="center" vertical="center" wrapText="1"/>
    </xf>
    <xf numFmtId="0" fontId="122" fillId="4" borderId="8" xfId="4" applyNumberFormat="1" applyFont="1" applyFill="1" applyBorder="1" applyAlignment="1">
      <alignment horizontal="center" vertical="center"/>
    </xf>
    <xf numFmtId="0" fontId="122" fillId="4" borderId="4" xfId="4" applyNumberFormat="1" applyFont="1" applyFill="1" applyBorder="1" applyAlignment="1">
      <alignment horizontal="center" vertical="center"/>
    </xf>
    <xf numFmtId="0" fontId="122" fillId="4" borderId="9" xfId="4" applyNumberFormat="1" applyFont="1" applyFill="1" applyBorder="1" applyAlignment="1">
      <alignment horizontal="center" vertical="center"/>
    </xf>
    <xf numFmtId="9" fontId="124" fillId="12" borderId="8" xfId="85" applyNumberFormat="1" applyFont="1" applyFill="1" applyBorder="1" applyAlignment="1">
      <alignment horizontal="center" vertical="center"/>
    </xf>
    <xf numFmtId="0" fontId="124" fillId="12" borderId="4" xfId="85" applyFont="1" applyFill="1" applyBorder="1" applyAlignment="1">
      <alignment horizontal="center" vertical="center"/>
    </xf>
    <xf numFmtId="0" fontId="124" fillId="12" borderId="9" xfId="85" applyFont="1" applyFill="1" applyBorder="1" applyAlignment="1">
      <alignment horizontal="center" vertical="center"/>
    </xf>
    <xf numFmtId="44" fontId="11" fillId="0" borderId="8" xfId="4" applyFont="1" applyFill="1" applyBorder="1" applyAlignment="1">
      <alignment horizontal="center" vertical="center"/>
    </xf>
    <xf numFmtId="44" fontId="11" fillId="0" borderId="4" xfId="4" applyFont="1" applyFill="1" applyBorder="1" applyAlignment="1">
      <alignment horizontal="center" vertical="center"/>
    </xf>
    <xf numFmtId="44" fontId="11" fillId="0" borderId="9" xfId="4" applyFont="1" applyFill="1" applyBorder="1" applyAlignment="1">
      <alignment horizontal="center" vertical="center"/>
    </xf>
    <xf numFmtId="175" fontId="67" fillId="12" borderId="8" xfId="85" applyNumberFormat="1" applyFont="1" applyFill="1" applyBorder="1" applyAlignment="1">
      <alignment horizontal="center" vertical="center"/>
    </xf>
    <xf numFmtId="175" fontId="67" fillId="12" borderId="4" xfId="85" applyNumberFormat="1" applyFont="1" applyFill="1" applyBorder="1" applyAlignment="1">
      <alignment horizontal="center" vertical="center"/>
    </xf>
    <xf numFmtId="175" fontId="67" fillId="12" borderId="9" xfId="85" applyNumberFormat="1" applyFont="1" applyFill="1" applyBorder="1" applyAlignment="1">
      <alignment horizontal="center" vertical="center"/>
    </xf>
    <xf numFmtId="10" fontId="124" fillId="12" borderId="8" xfId="520" applyNumberFormat="1" applyFont="1" applyFill="1" applyBorder="1" applyAlignment="1">
      <alignment horizontal="center" vertical="center"/>
    </xf>
    <xf numFmtId="10" fontId="124" fillId="12" borderId="4" xfId="520" applyNumberFormat="1" applyFont="1" applyFill="1" applyBorder="1" applyAlignment="1">
      <alignment horizontal="center" vertical="center"/>
    </xf>
    <xf numFmtId="10" fontId="124" fillId="12" borderId="9" xfId="520" applyNumberFormat="1" applyFont="1" applyFill="1" applyBorder="1" applyAlignment="1">
      <alignment horizontal="center" vertical="center"/>
    </xf>
    <xf numFmtId="0" fontId="122" fillId="12" borderId="1" xfId="4" applyNumberFormat="1" applyFont="1" applyFill="1" applyBorder="1" applyAlignment="1">
      <alignment horizontal="center" vertical="center"/>
    </xf>
    <xf numFmtId="0" fontId="67" fillId="0" borderId="0" xfId="85" applyFont="1" applyBorder="1" applyAlignment="1">
      <alignment horizontal="center" vertical="center"/>
    </xf>
    <xf numFmtId="0" fontId="15" fillId="0" borderId="0" xfId="0" applyFont="1" applyBorder="1" applyAlignment="1">
      <alignment horizontal="center"/>
    </xf>
    <xf numFmtId="0" fontId="68" fillId="3" borderId="20" xfId="85" applyFont="1" applyFill="1" applyBorder="1" applyAlignment="1">
      <alignment horizontal="left" vertical="center" wrapText="1"/>
    </xf>
    <xf numFmtId="0" fontId="68" fillId="3" borderId="3" xfId="85" applyFont="1" applyFill="1" applyBorder="1" applyAlignment="1">
      <alignment horizontal="left" vertical="center" wrapText="1"/>
    </xf>
    <xf numFmtId="0" fontId="68" fillId="3" borderId="26" xfId="85" applyFont="1" applyFill="1" applyBorder="1" applyAlignment="1">
      <alignment horizontal="left" vertical="center" wrapText="1"/>
    </xf>
    <xf numFmtId="0" fontId="125" fillId="12" borderId="1" xfId="4" applyNumberFormat="1" applyFont="1" applyFill="1" applyBorder="1" applyAlignment="1">
      <alignment horizontal="center" vertical="center"/>
    </xf>
    <xf numFmtId="0" fontId="68" fillId="12" borderId="1" xfId="4" applyNumberFormat="1" applyFont="1" applyFill="1" applyBorder="1" applyAlignment="1">
      <alignment horizontal="center" vertical="center" wrapText="1"/>
    </xf>
    <xf numFmtId="0" fontId="116" fillId="0" borderId="0" xfId="85" applyFont="1" applyAlignment="1">
      <alignment horizontal="center" vertical="center" wrapText="1"/>
    </xf>
    <xf numFmtId="0" fontId="3" fillId="0" borderId="0" xfId="85" applyFont="1" applyAlignment="1">
      <alignment horizontal="center" vertical="center" wrapText="1"/>
    </xf>
    <xf numFmtId="0" fontId="116" fillId="0" borderId="3" xfId="85" applyFont="1" applyBorder="1" applyAlignment="1">
      <alignment horizontal="center" vertical="center" wrapText="1"/>
    </xf>
    <xf numFmtId="2" fontId="12" fillId="0" borderId="1" xfId="72" applyNumberFormat="1" applyFont="1" applyFill="1" applyBorder="1" applyAlignment="1">
      <alignment horizontal="center" vertical="center"/>
    </xf>
    <xf numFmtId="0" fontId="11" fillId="0" borderId="1" xfId="72" applyFont="1" applyBorder="1" applyAlignment="1">
      <alignment horizontal="center" vertical="center"/>
    </xf>
    <xf numFmtId="0" fontId="11" fillId="0" borderId="1" xfId="72" applyFont="1" applyFill="1" applyBorder="1" applyAlignment="1">
      <alignment horizontal="left" vertical="center" wrapText="1" shrinkToFit="1"/>
    </xf>
    <xf numFmtId="0" fontId="11" fillId="0" borderId="1" xfId="72" applyFont="1" applyFill="1" applyBorder="1" applyAlignment="1">
      <alignment horizontal="left" vertical="center" shrinkToFit="1"/>
    </xf>
    <xf numFmtId="0" fontId="11" fillId="0" borderId="1" xfId="72" applyFont="1" applyFill="1" applyBorder="1" applyAlignment="1">
      <alignment horizontal="center" vertical="center"/>
    </xf>
    <xf numFmtId="174" fontId="11" fillId="0" borderId="1" xfId="72" applyNumberFormat="1" applyFont="1" applyFill="1" applyBorder="1" applyAlignment="1">
      <alignment horizontal="center" vertical="center"/>
    </xf>
    <xf numFmtId="44" fontId="11" fillId="0" borderId="10" xfId="5" applyFont="1" applyFill="1" applyBorder="1" applyAlignment="1">
      <alignment horizontal="center" vertical="center"/>
    </xf>
    <xf numFmtId="44" fontId="11" fillId="0" borderId="19" xfId="5" applyFont="1" applyFill="1" applyBorder="1" applyAlignment="1">
      <alignment horizontal="center" vertical="center"/>
    </xf>
    <xf numFmtId="44" fontId="11" fillId="0" borderId="2" xfId="5" applyFont="1" applyFill="1" applyBorder="1" applyAlignment="1">
      <alignment horizontal="center" vertical="center"/>
    </xf>
    <xf numFmtId="44" fontId="11" fillId="4" borderId="10" xfId="5" applyFont="1" applyFill="1" applyBorder="1" applyAlignment="1">
      <alignment horizontal="center" vertical="center"/>
    </xf>
    <xf numFmtId="44" fontId="11" fillId="4" borderId="19" xfId="5" applyFont="1" applyFill="1" applyBorder="1" applyAlignment="1">
      <alignment horizontal="center" vertical="center"/>
    </xf>
    <xf numFmtId="44" fontId="11" fillId="4" borderId="2" xfId="5" applyFont="1" applyFill="1" applyBorder="1" applyAlignment="1">
      <alignment horizontal="center" vertical="center"/>
    </xf>
    <xf numFmtId="44" fontId="11" fillId="4" borderId="10" xfId="522" applyNumberFormat="1" applyFont="1" applyFill="1" applyBorder="1" applyAlignment="1">
      <alignment horizontal="center" vertical="center"/>
    </xf>
    <xf numFmtId="10" fontId="11" fillId="4" borderId="19" xfId="522" applyNumberFormat="1" applyFont="1" applyFill="1" applyBorder="1" applyAlignment="1">
      <alignment horizontal="center" vertical="center"/>
    </xf>
    <xf numFmtId="10" fontId="11" fillId="4" borderId="2" xfId="522" applyNumberFormat="1" applyFont="1" applyFill="1" applyBorder="1" applyAlignment="1">
      <alignment horizontal="center" vertical="center"/>
    </xf>
    <xf numFmtId="10" fontId="11" fillId="4" borderId="10" xfId="522" applyNumberFormat="1" applyFont="1" applyFill="1" applyBorder="1" applyAlignment="1">
      <alignment horizontal="center" vertical="center"/>
    </xf>
    <xf numFmtId="44" fontId="11" fillId="0" borderId="10" xfId="522" applyNumberFormat="1" applyFont="1" applyFill="1" applyBorder="1" applyAlignment="1">
      <alignment horizontal="center" vertical="center"/>
    </xf>
    <xf numFmtId="10" fontId="11" fillId="0" borderId="19" xfId="522" applyNumberFormat="1" applyFont="1" applyFill="1" applyBorder="1" applyAlignment="1">
      <alignment horizontal="center" vertical="center"/>
    </xf>
    <xf numFmtId="10" fontId="11" fillId="0" borderId="2" xfId="522" applyNumberFormat="1" applyFont="1" applyFill="1" applyBorder="1" applyAlignment="1">
      <alignment horizontal="center" vertical="center"/>
    </xf>
    <xf numFmtId="10" fontId="11" fillId="0" borderId="10" xfId="522" applyNumberFormat="1" applyFont="1" applyFill="1" applyBorder="1" applyAlignment="1">
      <alignment horizontal="center" vertical="center"/>
    </xf>
    <xf numFmtId="2" fontId="12" fillId="4" borderId="1" xfId="72" applyNumberFormat="1" applyFont="1" applyFill="1" applyBorder="1" applyAlignment="1">
      <alignment horizontal="center" vertical="center"/>
    </xf>
    <xf numFmtId="0" fontId="11" fillId="4" borderId="1" xfId="72" applyFill="1" applyBorder="1" applyAlignment="1">
      <alignment horizontal="center" vertical="center"/>
    </xf>
    <xf numFmtId="0" fontId="11" fillId="4" borderId="10" xfId="72" applyFill="1" applyBorder="1" applyAlignment="1">
      <alignment horizontal="left" vertical="center" wrapText="1"/>
    </xf>
    <xf numFmtId="0" fontId="11" fillId="4" borderId="19" xfId="72" applyFill="1" applyBorder="1" applyAlignment="1">
      <alignment horizontal="left" vertical="center" wrapText="1"/>
    </xf>
    <xf numFmtId="0" fontId="11" fillId="4" borderId="2" xfId="72" applyFill="1" applyBorder="1" applyAlignment="1">
      <alignment horizontal="left" vertical="center" wrapText="1"/>
    </xf>
    <xf numFmtId="174" fontId="11" fillId="4" borderId="1" xfId="72" applyNumberFormat="1" applyFill="1" applyBorder="1" applyAlignment="1">
      <alignment horizontal="center" vertical="center"/>
    </xf>
    <xf numFmtId="0" fontId="11" fillId="4" borderId="10" xfId="72" applyFill="1" applyBorder="1" applyAlignment="1">
      <alignment horizontal="left" vertical="center"/>
    </xf>
    <xf numFmtId="0" fontId="11" fillId="4" borderId="19" xfId="72" applyFill="1" applyBorder="1" applyAlignment="1">
      <alignment horizontal="left" vertical="center"/>
    </xf>
    <xf numFmtId="0" fontId="11" fillId="4" borderId="2" xfId="72" applyFill="1" applyBorder="1" applyAlignment="1">
      <alignment horizontal="left" vertical="center"/>
    </xf>
    <xf numFmtId="0" fontId="11" fillId="0" borderId="1" xfId="72" applyBorder="1" applyAlignment="1">
      <alignment horizontal="center" vertical="center"/>
    </xf>
    <xf numFmtId="0" fontId="11" fillId="0" borderId="1" xfId="72" applyFill="1" applyBorder="1" applyAlignment="1">
      <alignment horizontal="left" vertical="center" wrapText="1" shrinkToFit="1"/>
    </xf>
    <xf numFmtId="0" fontId="11" fillId="0" borderId="1" xfId="72" applyFill="1" applyBorder="1" applyAlignment="1">
      <alignment horizontal="center" vertical="center"/>
    </xf>
    <xf numFmtId="174" fontId="11" fillId="0" borderId="1" xfId="72" applyNumberFormat="1" applyFill="1" applyBorder="1" applyAlignment="1">
      <alignment horizontal="center" vertical="center"/>
    </xf>
    <xf numFmtId="39" fontId="12" fillId="0" borderId="1" xfId="72" applyNumberFormat="1" applyFont="1" applyBorder="1" applyAlignment="1">
      <alignment horizontal="center" vertical="center"/>
    </xf>
    <xf numFmtId="39" fontId="12" fillId="4" borderId="1" xfId="72" applyNumberFormat="1" applyFont="1" applyFill="1" applyBorder="1" applyAlignment="1">
      <alignment horizontal="center" vertical="center"/>
    </xf>
    <xf numFmtId="0" fontId="27" fillId="4" borderId="1" xfId="72" applyFont="1" applyFill="1" applyBorder="1" applyAlignment="1">
      <alignment horizontal="left" vertical="center" wrapText="1" shrinkToFit="1"/>
    </xf>
    <xf numFmtId="0" fontId="27" fillId="0" borderId="1" xfId="72" applyFont="1" applyBorder="1" applyAlignment="1">
      <alignment horizontal="left" vertical="center" wrapText="1" shrinkToFit="1"/>
    </xf>
    <xf numFmtId="44" fontId="11" fillId="0" borderId="19" xfId="522" applyNumberFormat="1" applyFont="1" applyFill="1" applyBorder="1" applyAlignment="1">
      <alignment horizontal="center" vertical="center"/>
    </xf>
    <xf numFmtId="0" fontId="11" fillId="4" borderId="1" xfId="72" applyFill="1" applyBorder="1" applyAlignment="1">
      <alignment horizontal="left" vertical="center" wrapText="1" shrinkToFit="1"/>
    </xf>
    <xf numFmtId="44" fontId="68" fillId="4" borderId="2" xfId="5" applyFont="1" applyFill="1" applyBorder="1" applyAlignment="1">
      <alignment horizontal="center" vertical="center" wrapText="1"/>
    </xf>
    <xf numFmtId="44" fontId="68" fillId="4" borderId="1" xfId="5" applyFont="1" applyFill="1" applyBorder="1" applyAlignment="1">
      <alignment horizontal="center" vertical="center" wrapText="1"/>
    </xf>
    <xf numFmtId="44" fontId="12" fillId="4" borderId="2" xfId="5" applyFont="1" applyFill="1" applyBorder="1" applyAlignment="1">
      <alignment horizontal="center" vertical="center" wrapText="1"/>
    </xf>
    <xf numFmtId="44" fontId="12" fillId="4" borderId="1" xfId="5" applyFont="1" applyFill="1" applyBorder="1" applyAlignment="1">
      <alignment horizontal="center" vertical="center" wrapText="1"/>
    </xf>
    <xf numFmtId="4" fontId="12" fillId="4" borderId="17" xfId="72" applyNumberFormat="1" applyFont="1" applyFill="1" applyBorder="1" applyAlignment="1">
      <alignment horizontal="center" vertical="center" wrapText="1"/>
    </xf>
    <xf numFmtId="4" fontId="12" fillId="4" borderId="2" xfId="72" applyNumberFormat="1" applyFont="1" applyFill="1" applyBorder="1" applyAlignment="1">
      <alignment horizontal="center" vertical="center" wrapText="1"/>
    </xf>
    <xf numFmtId="0" fontId="11" fillId="0" borderId="1" xfId="72" applyBorder="1" applyAlignment="1">
      <alignment horizontal="left" vertical="center" wrapText="1" shrinkToFit="1"/>
    </xf>
    <xf numFmtId="0" fontId="12" fillId="4" borderId="2" xfId="72" applyFont="1" applyFill="1" applyBorder="1" applyAlignment="1">
      <alignment horizontal="center" vertical="center"/>
    </xf>
    <xf numFmtId="0" fontId="12" fillId="4" borderId="1" xfId="72" applyFont="1" applyFill="1" applyBorder="1" applyAlignment="1">
      <alignment horizontal="center" vertical="center"/>
    </xf>
    <xf numFmtId="0" fontId="12" fillId="4" borderId="2" xfId="72" applyFont="1" applyFill="1" applyBorder="1" applyAlignment="1">
      <alignment horizontal="center" vertical="center" wrapText="1"/>
    </xf>
    <xf numFmtId="0" fontId="12" fillId="4" borderId="17" xfId="72" applyFont="1" applyFill="1" applyBorder="1" applyAlignment="1">
      <alignment horizontal="center" vertical="center" wrapText="1"/>
    </xf>
    <xf numFmtId="0" fontId="12" fillId="4" borderId="1" xfId="72" applyFont="1" applyFill="1" applyBorder="1" applyAlignment="1">
      <alignment horizontal="center" vertical="center" wrapText="1"/>
    </xf>
    <xf numFmtId="2" fontId="68" fillId="4" borderId="2" xfId="72" applyNumberFormat="1" applyFont="1" applyFill="1" applyBorder="1" applyAlignment="1">
      <alignment horizontal="center" vertical="center" wrapText="1"/>
    </xf>
    <xf numFmtId="2" fontId="68" fillId="4" borderId="1" xfId="72" applyNumberFormat="1" applyFont="1" applyFill="1" applyBorder="1" applyAlignment="1">
      <alignment horizontal="center" vertical="center" wrapText="1"/>
    </xf>
    <xf numFmtId="0" fontId="17" fillId="0" borderId="0" xfId="86" applyFont="1" applyAlignment="1">
      <alignment horizontal="center" vertical="center" wrapText="1"/>
    </xf>
    <xf numFmtId="0" fontId="17" fillId="0" borderId="0" xfId="86" applyFont="1" applyAlignment="1">
      <alignment vertical="center" wrapText="1"/>
    </xf>
    <xf numFmtId="0" fontId="17" fillId="0" borderId="0" xfId="256" applyFont="1" applyAlignment="1">
      <alignment horizontal="center" vertical="center" wrapText="1"/>
    </xf>
    <xf numFmtId="0" fontId="116" fillId="0" borderId="0" xfId="256" applyFont="1" applyAlignment="1">
      <alignment horizontal="center" vertical="center" wrapText="1"/>
    </xf>
    <xf numFmtId="0" fontId="28" fillId="4" borderId="12" xfId="72" applyFont="1" applyFill="1" applyBorder="1" applyAlignment="1">
      <alignment horizontal="center" vertical="center"/>
    </xf>
    <xf numFmtId="0" fontId="28" fillId="4" borderId="25" xfId="72" applyFont="1" applyFill="1" applyBorder="1" applyAlignment="1">
      <alignment horizontal="center" vertical="center"/>
    </xf>
    <xf numFmtId="0" fontId="28" fillId="4" borderId="43" xfId="72" applyFont="1" applyFill="1" applyBorder="1" applyAlignment="1">
      <alignment horizontal="center" vertical="center"/>
    </xf>
    <xf numFmtId="0" fontId="11" fillId="4" borderId="10" xfId="72" applyFill="1" applyBorder="1" applyAlignment="1">
      <alignment horizontal="left" vertical="center" wrapText="1" shrinkToFit="1"/>
    </xf>
    <xf numFmtId="0" fontId="11" fillId="4" borderId="19" xfId="72" applyFill="1" applyBorder="1" applyAlignment="1">
      <alignment horizontal="left" vertical="center" wrapText="1" shrinkToFit="1"/>
    </xf>
    <xf numFmtId="0" fontId="11" fillId="4" borderId="2" xfId="72" applyFill="1" applyBorder="1" applyAlignment="1">
      <alignment horizontal="left" vertical="center" wrapText="1" shrinkToFit="1"/>
    </xf>
    <xf numFmtId="0" fontId="11" fillId="4" borderId="10" xfId="72" applyFill="1" applyBorder="1" applyAlignment="1">
      <alignment horizontal="center" vertical="center"/>
    </xf>
    <xf numFmtId="0" fontId="11" fillId="4" borderId="19" xfId="72" applyFill="1" applyBorder="1" applyAlignment="1">
      <alignment horizontal="center" vertical="center"/>
    </xf>
    <xf numFmtId="0" fontId="11" fillId="4" borderId="2" xfId="72" applyFill="1" applyBorder="1" applyAlignment="1">
      <alignment horizontal="center" vertical="center"/>
    </xf>
    <xf numFmtId="39" fontId="12" fillId="0" borderId="1" xfId="72" applyNumberFormat="1" applyFont="1" applyFill="1" applyBorder="1" applyAlignment="1">
      <alignment horizontal="center" vertical="center"/>
    </xf>
    <xf numFmtId="0" fontId="11" fillId="0" borderId="10" xfId="72" applyFill="1" applyBorder="1" applyAlignment="1">
      <alignment horizontal="left" vertical="center" wrapText="1" shrinkToFit="1"/>
    </xf>
    <xf numFmtId="0" fontId="11" fillId="0" borderId="19" xfId="72" applyFill="1" applyBorder="1" applyAlignment="1">
      <alignment horizontal="left" vertical="center" wrapText="1" shrinkToFit="1"/>
    </xf>
    <xf numFmtId="0" fontId="11" fillId="0" borderId="2" xfId="72" applyFill="1" applyBorder="1" applyAlignment="1">
      <alignment horizontal="left" vertical="center" wrapText="1" shrinkToFit="1"/>
    </xf>
    <xf numFmtId="0" fontId="11" fillId="0" borderId="10" xfId="72" applyFill="1" applyBorder="1" applyAlignment="1">
      <alignment horizontal="center" vertical="center"/>
    </xf>
    <xf numFmtId="0" fontId="11" fillId="0" borderId="19" xfId="72" applyFill="1" applyBorder="1" applyAlignment="1">
      <alignment horizontal="center" vertical="center"/>
    </xf>
    <xf numFmtId="0" fontId="11" fillId="0" borderId="2" xfId="72" applyFill="1" applyBorder="1" applyAlignment="1">
      <alignment horizontal="center" vertical="center"/>
    </xf>
    <xf numFmtId="0" fontId="11" fillId="0" borderId="10" xfId="72" applyFill="1" applyBorder="1" applyAlignment="1">
      <alignment horizontal="left" vertical="top" wrapText="1" shrinkToFit="1"/>
    </xf>
    <xf numFmtId="0" fontId="11" fillId="0" borderId="19" xfId="72" applyFill="1" applyBorder="1" applyAlignment="1">
      <alignment horizontal="left" vertical="top" wrapText="1" shrinkToFit="1"/>
    </xf>
    <xf numFmtId="0" fontId="11" fillId="0" borderId="2" xfId="72" applyFill="1" applyBorder="1" applyAlignment="1">
      <alignment horizontal="left" vertical="top" wrapText="1" shrinkToFit="1"/>
    </xf>
    <xf numFmtId="0" fontId="11" fillId="0" borderId="10" xfId="72" applyFill="1" applyBorder="1" applyAlignment="1">
      <alignment horizontal="center" vertical="center" wrapText="1" shrinkToFit="1"/>
    </xf>
    <xf numFmtId="0" fontId="11" fillId="0" borderId="19" xfId="72" applyFill="1" applyBorder="1" applyAlignment="1">
      <alignment horizontal="center" vertical="center" wrapText="1" shrinkToFit="1"/>
    </xf>
    <xf numFmtId="0" fontId="11" fillId="0" borderId="2" xfId="72" applyFill="1" applyBorder="1" applyAlignment="1">
      <alignment horizontal="center" vertical="center" wrapText="1" shrinkToFit="1"/>
    </xf>
    <xf numFmtId="174" fontId="11" fillId="0" borderId="10" xfId="72" applyNumberFormat="1" applyFill="1" applyBorder="1" applyAlignment="1">
      <alignment horizontal="center" vertical="center"/>
    </xf>
    <xf numFmtId="174" fontId="11" fillId="0" borderId="19" xfId="72" applyNumberFormat="1" applyFill="1" applyBorder="1" applyAlignment="1">
      <alignment horizontal="center" vertical="center"/>
    </xf>
    <xf numFmtId="174" fontId="11" fillId="0" borderId="2" xfId="72" applyNumberFormat="1" applyFill="1" applyBorder="1" applyAlignment="1">
      <alignment horizontal="center" vertical="center"/>
    </xf>
    <xf numFmtId="174" fontId="11" fillId="4" borderId="1" xfId="72" applyNumberFormat="1" applyFont="1" applyFill="1" applyBorder="1" applyAlignment="1">
      <alignment horizontal="center" vertical="center"/>
    </xf>
    <xf numFmtId="0" fontId="11" fillId="0" borderId="10" xfId="72" applyFont="1" applyFill="1" applyBorder="1" applyAlignment="1">
      <alignment horizontal="left" vertical="center" wrapText="1" shrinkToFit="1"/>
    </xf>
    <xf numFmtId="0" fontId="11" fillId="0" borderId="19" xfId="72" applyFont="1" applyFill="1" applyBorder="1" applyAlignment="1">
      <alignment horizontal="left" vertical="center" wrapText="1" shrinkToFit="1"/>
    </xf>
    <xf numFmtId="0" fontId="11" fillId="0" borderId="2" xfId="72" applyFont="1" applyFill="1" applyBorder="1" applyAlignment="1">
      <alignment horizontal="left" vertical="center" wrapText="1" shrinkToFit="1"/>
    </xf>
    <xf numFmtId="0" fontId="75" fillId="5" borderId="2" xfId="72" applyFont="1" applyFill="1" applyBorder="1" applyAlignment="1">
      <alignment horizontal="center" vertical="center" wrapText="1"/>
    </xf>
    <xf numFmtId="0" fontId="75" fillId="5" borderId="1" xfId="72" applyFont="1" applyFill="1" applyBorder="1" applyAlignment="1">
      <alignment horizontal="center" vertical="center" wrapText="1"/>
    </xf>
    <xf numFmtId="2" fontId="75" fillId="5" borderId="2" xfId="72" applyNumberFormat="1" applyFont="1" applyFill="1" applyBorder="1" applyAlignment="1">
      <alignment horizontal="center" vertical="center" wrapText="1"/>
    </xf>
    <xf numFmtId="2" fontId="75" fillId="5" borderId="1" xfId="72" applyNumberFormat="1" applyFont="1" applyFill="1" applyBorder="1" applyAlignment="1">
      <alignment horizontal="center" vertical="center" wrapText="1"/>
    </xf>
    <xf numFmtId="44" fontId="75" fillId="5" borderId="2" xfId="5" applyFont="1" applyFill="1" applyBorder="1" applyAlignment="1">
      <alignment horizontal="center" vertical="center" wrapText="1"/>
    </xf>
    <xf numFmtId="44" fontId="75" fillId="5" borderId="1" xfId="5" applyFont="1" applyFill="1" applyBorder="1" applyAlignment="1">
      <alignment horizontal="center" vertical="center" wrapText="1"/>
    </xf>
    <xf numFmtId="44" fontId="11" fillId="3" borderId="10" xfId="5" applyFont="1" applyFill="1" applyBorder="1" applyAlignment="1">
      <alignment horizontal="center" vertical="center"/>
    </xf>
    <xf numFmtId="44" fontId="11" fillId="3" borderId="19" xfId="5" applyFont="1" applyFill="1" applyBorder="1" applyAlignment="1">
      <alignment horizontal="center" vertical="center"/>
    </xf>
    <xf numFmtId="44" fontId="11" fillId="3" borderId="2" xfId="5" applyFont="1" applyFill="1" applyBorder="1" applyAlignment="1">
      <alignment horizontal="center" vertical="center"/>
    </xf>
    <xf numFmtId="0" fontId="127" fillId="5" borderId="11" xfId="72" applyFont="1" applyFill="1" applyBorder="1" applyAlignment="1">
      <alignment horizontal="center" vertical="center"/>
    </xf>
    <xf numFmtId="4" fontId="75" fillId="5" borderId="17" xfId="72" applyNumberFormat="1" applyFont="1" applyFill="1" applyBorder="1" applyAlignment="1">
      <alignment horizontal="center" vertical="center" wrapText="1"/>
    </xf>
    <xf numFmtId="4" fontId="75" fillId="5" borderId="2" xfId="72" applyNumberFormat="1" applyFont="1" applyFill="1" applyBorder="1" applyAlignment="1">
      <alignment horizontal="center" vertical="center" wrapText="1"/>
    </xf>
    <xf numFmtId="0" fontId="75" fillId="5" borderId="2" xfId="72" applyFont="1" applyFill="1" applyBorder="1" applyAlignment="1">
      <alignment horizontal="center" vertical="center"/>
    </xf>
    <xf numFmtId="0" fontId="75" fillId="5" borderId="1" xfId="72" applyFont="1" applyFill="1" applyBorder="1" applyAlignment="1">
      <alignment horizontal="center" vertical="center"/>
    </xf>
    <xf numFmtId="0" fontId="75" fillId="5" borderId="17" xfId="72" applyFont="1" applyFill="1" applyBorder="1" applyAlignment="1">
      <alignment horizontal="center" vertical="center" wrapText="1"/>
    </xf>
    <xf numFmtId="39" fontId="12" fillId="3" borderId="1" xfId="72" applyNumberFormat="1" applyFont="1" applyFill="1" applyBorder="1" applyAlignment="1">
      <alignment horizontal="center" vertical="center"/>
    </xf>
    <xf numFmtId="39" fontId="12" fillId="0" borderId="50" xfId="72" applyNumberFormat="1" applyFont="1" applyBorder="1" applyAlignment="1">
      <alignment horizontal="right" vertical="center"/>
    </xf>
    <xf numFmtId="39" fontId="12" fillId="0" borderId="3" xfId="72" applyNumberFormat="1" applyFont="1" applyBorder="1" applyAlignment="1">
      <alignment horizontal="right" vertical="center"/>
    </xf>
    <xf numFmtId="0" fontId="11" fillId="4" borderId="1" xfId="72" applyFont="1" applyFill="1" applyBorder="1" applyAlignment="1">
      <alignment horizontal="left" vertical="center" wrapText="1" shrinkToFit="1"/>
    </xf>
    <xf numFmtId="0" fontId="11" fillId="0" borderId="1" xfId="72" applyBorder="1" applyAlignment="1">
      <alignment horizontal="left" vertical="center" shrinkToFit="1"/>
    </xf>
    <xf numFmtId="174" fontId="11" fillId="0" borderId="1" xfId="72" applyNumberFormat="1" applyBorder="1" applyAlignment="1">
      <alignment horizontal="center" vertical="center"/>
    </xf>
    <xf numFmtId="10" fontId="11" fillId="3" borderId="10" xfId="522" applyNumberFormat="1" applyFont="1" applyFill="1" applyBorder="1" applyAlignment="1">
      <alignment horizontal="center" vertical="center"/>
    </xf>
    <xf numFmtId="10" fontId="11" fillId="3" borderId="19" xfId="522" applyNumberFormat="1" applyFont="1" applyFill="1" applyBorder="1" applyAlignment="1">
      <alignment horizontal="center" vertical="center"/>
    </xf>
    <xf numFmtId="10" fontId="11" fillId="3" borderId="2" xfId="522" applyNumberFormat="1" applyFont="1" applyFill="1" applyBorder="1" applyAlignment="1">
      <alignment horizontal="center" vertical="center"/>
    </xf>
    <xf numFmtId="0" fontId="11" fillId="0" borderId="1" xfId="72" applyFont="1" applyBorder="1" applyAlignment="1">
      <alignment horizontal="left" vertical="center" wrapText="1" shrinkToFit="1"/>
    </xf>
    <xf numFmtId="174" fontId="126" fillId="0" borderId="1" xfId="72" applyNumberFormat="1" applyFont="1" applyBorder="1" applyAlignment="1">
      <alignment horizontal="center" vertical="center"/>
    </xf>
    <xf numFmtId="43" fontId="62" fillId="4" borderId="1" xfId="525" applyFont="1" applyFill="1" applyBorder="1" applyAlignment="1">
      <alignment horizontal="center"/>
    </xf>
    <xf numFmtId="43" fontId="62" fillId="7" borderId="1" xfId="525" applyFont="1" applyFill="1" applyBorder="1" applyAlignment="1">
      <alignment horizontal="center"/>
    </xf>
    <xf numFmtId="43" fontId="62" fillId="8" borderId="1" xfId="525" applyFont="1" applyFill="1" applyBorder="1" applyAlignment="1">
      <alignment horizontal="center"/>
    </xf>
    <xf numFmtId="0" fontId="128" fillId="0" borderId="0" xfId="0" applyFont="1" applyAlignment="1">
      <alignment horizontal="left" vertical="top" wrapText="1"/>
    </xf>
    <xf numFmtId="172" fontId="0" fillId="0" borderId="37" xfId="0" applyNumberFormat="1" applyFill="1" applyBorder="1" applyAlignment="1">
      <alignment horizontal="center"/>
    </xf>
    <xf numFmtId="172" fontId="0" fillId="0" borderId="4" xfId="0" applyNumberFormat="1" applyFill="1" applyBorder="1" applyAlignment="1">
      <alignment horizontal="center"/>
    </xf>
    <xf numFmtId="172" fontId="0" fillId="0" borderId="51" xfId="0" applyNumberFormat="1" applyFill="1" applyBorder="1" applyAlignment="1">
      <alignment horizontal="center"/>
    </xf>
    <xf numFmtId="172" fontId="0" fillId="0" borderId="54" xfId="0" applyNumberFormat="1" applyFill="1" applyBorder="1" applyAlignment="1">
      <alignment horizontal="center"/>
    </xf>
    <xf numFmtId="172" fontId="0" fillId="0" borderId="55" xfId="0" applyNumberFormat="1" applyFill="1" applyBorder="1" applyAlignment="1">
      <alignment horizontal="center"/>
    </xf>
    <xf numFmtId="172" fontId="0" fillId="0" borderId="56" xfId="0" applyNumberFormat="1" applyFill="1" applyBorder="1" applyAlignment="1">
      <alignment horizontal="center"/>
    </xf>
    <xf numFmtId="172" fontId="96" fillId="0" borderId="12" xfId="0" applyNumberFormat="1" applyFont="1" applyFill="1" applyBorder="1" applyAlignment="1">
      <alignment horizontal="center"/>
    </xf>
    <xf numFmtId="172" fontId="96" fillId="0" borderId="25" xfId="0" applyNumberFormat="1" applyFont="1" applyFill="1" applyBorder="1" applyAlignment="1">
      <alignment horizontal="center"/>
    </xf>
    <xf numFmtId="172" fontId="96" fillId="0" borderId="43" xfId="0" applyNumberFormat="1" applyFont="1" applyFill="1" applyBorder="1" applyAlignment="1">
      <alignment horizontal="center"/>
    </xf>
    <xf numFmtId="172" fontId="96" fillId="0" borderId="0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96" fillId="0" borderId="52" xfId="0" applyFont="1" applyBorder="1" applyAlignment="1">
      <alignment horizontal="center"/>
    </xf>
    <xf numFmtId="0" fontId="96" fillId="0" borderId="14" xfId="0" applyFont="1" applyBorder="1" applyAlignment="1">
      <alignment horizontal="center"/>
    </xf>
    <xf numFmtId="0" fontId="96" fillId="0" borderId="45" xfId="0" applyFont="1" applyBorder="1" applyAlignment="1">
      <alignment horizontal="center"/>
    </xf>
    <xf numFmtId="0" fontId="96" fillId="0" borderId="34" xfId="0" applyFont="1" applyFill="1" applyBorder="1" applyAlignment="1">
      <alignment horizontal="center"/>
    </xf>
    <xf numFmtId="0" fontId="96" fillId="0" borderId="35" xfId="0" applyFont="1" applyFill="1" applyBorder="1" applyAlignment="1">
      <alignment horizontal="center"/>
    </xf>
    <xf numFmtId="0" fontId="96" fillId="0" borderId="53" xfId="0" applyFont="1" applyFill="1" applyBorder="1" applyAlignment="1">
      <alignment horizontal="center"/>
    </xf>
    <xf numFmtId="191" fontId="0" fillId="0" borderId="54" xfId="0" applyNumberFormat="1" applyFill="1" applyBorder="1" applyAlignment="1">
      <alignment horizontal="center"/>
    </xf>
    <xf numFmtId="191" fontId="0" fillId="0" borderId="55" xfId="0" applyNumberFormat="1" applyFill="1" applyBorder="1" applyAlignment="1">
      <alignment horizontal="center"/>
    </xf>
    <xf numFmtId="191" fontId="0" fillId="0" borderId="56" xfId="0" applyNumberFormat="1" applyFill="1" applyBorder="1" applyAlignment="1">
      <alignment horizontal="center"/>
    </xf>
    <xf numFmtId="172" fontId="0" fillId="0" borderId="34" xfId="0" applyNumberFormat="1" applyFill="1" applyBorder="1" applyAlignment="1">
      <alignment horizontal="center"/>
    </xf>
    <xf numFmtId="172" fontId="0" fillId="0" borderId="35" xfId="0" applyNumberFormat="1" applyFill="1" applyBorder="1" applyAlignment="1">
      <alignment horizontal="center"/>
    </xf>
    <xf numFmtId="172" fontId="0" fillId="0" borderId="53" xfId="0" applyNumberFormat="1" applyFill="1" applyBorder="1" applyAlignment="1">
      <alignment horizontal="center"/>
    </xf>
    <xf numFmtId="0" fontId="0" fillId="0" borderId="28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right"/>
    </xf>
    <xf numFmtId="0" fontId="0" fillId="18" borderId="37" xfId="0" applyFill="1" applyBorder="1" applyAlignment="1">
      <alignment horizontal="center"/>
    </xf>
    <xf numFmtId="0" fontId="0" fillId="18" borderId="4" xfId="0" applyFill="1" applyBorder="1" applyAlignment="1">
      <alignment horizontal="center"/>
    </xf>
    <xf numFmtId="0" fontId="0" fillId="18" borderId="51" xfId="0" applyFill="1" applyBorder="1" applyAlignment="1">
      <alignment horizontal="center"/>
    </xf>
    <xf numFmtId="0" fontId="9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6" fillId="0" borderId="12" xfId="0" applyFont="1" applyBorder="1" applyAlignment="1">
      <alignment horizontal="center"/>
    </xf>
    <xf numFmtId="0" fontId="96" fillId="0" borderId="25" xfId="0" applyFont="1" applyBorder="1" applyAlignment="1">
      <alignment horizontal="center"/>
    </xf>
    <xf numFmtId="0" fontId="96" fillId="0" borderId="43" xfId="0" applyFont="1" applyBorder="1" applyAlignment="1">
      <alignment horizontal="center"/>
    </xf>
    <xf numFmtId="0" fontId="134" fillId="12" borderId="0" xfId="0" applyFont="1" applyFill="1" applyAlignment="1">
      <alignment horizontal="center"/>
    </xf>
    <xf numFmtId="0" fontId="100" fillId="5" borderId="1" xfId="0" applyFont="1" applyFill="1" applyBorder="1" applyAlignment="1">
      <alignment horizontal="center" vertical="center"/>
    </xf>
    <xf numFmtId="44" fontId="132" fillId="0" borderId="1" xfId="0" applyNumberFormat="1" applyFont="1" applyFill="1" applyBorder="1" applyAlignment="1">
      <alignment horizontal="center" vertical="center"/>
    </xf>
    <xf numFmtId="44" fontId="132" fillId="0" borderId="8" xfId="0" applyNumberFormat="1" applyFont="1" applyFill="1" applyBorder="1" applyAlignment="1">
      <alignment horizontal="left" vertical="center"/>
    </xf>
    <xf numFmtId="44" fontId="132" fillId="0" borderId="4" xfId="0" applyNumberFormat="1" applyFont="1" applyFill="1" applyBorder="1" applyAlignment="1">
      <alignment horizontal="left" vertical="center"/>
    </xf>
    <xf numFmtId="44" fontId="132" fillId="0" borderId="9" xfId="0" applyNumberFormat="1" applyFont="1" applyFill="1" applyBorder="1" applyAlignment="1">
      <alignment horizontal="left" vertical="center"/>
    </xf>
    <xf numFmtId="0" fontId="82" fillId="0" borderId="0" xfId="0" applyFont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64" fillId="4" borderId="59" xfId="0" applyFont="1" applyFill="1" applyBorder="1" applyAlignment="1">
      <alignment horizontal="center" vertical="center"/>
    </xf>
    <xf numFmtId="0" fontId="64" fillId="4" borderId="24" xfId="0" applyFont="1" applyFill="1" applyBorder="1" applyAlignment="1">
      <alignment horizontal="center" vertical="center"/>
    </xf>
    <xf numFmtId="0" fontId="89" fillId="11" borderId="12" xfId="0" applyFont="1" applyFill="1" applyBorder="1" applyAlignment="1">
      <alignment horizontal="center" vertical="center"/>
    </xf>
    <xf numFmtId="0" fontId="89" fillId="11" borderId="25" xfId="0" applyFont="1" applyFill="1" applyBorder="1" applyAlignment="1">
      <alignment horizontal="center" vertical="center"/>
    </xf>
    <xf numFmtId="0" fontId="89" fillId="11" borderId="43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 wrapText="1"/>
    </xf>
    <xf numFmtId="0" fontId="89" fillId="11" borderId="12" xfId="0" applyFont="1" applyFill="1" applyBorder="1" applyAlignment="1">
      <alignment horizontal="center" vertical="center" wrapText="1"/>
    </xf>
    <xf numFmtId="0" fontId="89" fillId="11" borderId="25" xfId="0" applyFont="1" applyFill="1" applyBorder="1" applyAlignment="1">
      <alignment horizontal="center" vertical="center" wrapText="1"/>
    </xf>
    <xf numFmtId="0" fontId="89" fillId="11" borderId="43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64" fillId="7" borderId="62" xfId="0" applyFont="1" applyFill="1" applyBorder="1" applyAlignment="1">
      <alignment horizontal="center" vertical="center" wrapText="1"/>
    </xf>
    <xf numFmtId="44" fontId="131" fillId="5" borderId="1" xfId="0" applyNumberFormat="1" applyFont="1" applyFill="1" applyBorder="1" applyAlignment="1">
      <alignment horizontal="center" vertical="center"/>
    </xf>
    <xf numFmtId="0" fontId="62" fillId="0" borderId="12" xfId="0" applyFont="1" applyBorder="1" applyAlignment="1">
      <alignment horizontal="center" vertical="center" wrapText="1"/>
    </xf>
    <xf numFmtId="0" fontId="62" fillId="0" borderId="25" xfId="0" applyFont="1" applyBorder="1" applyAlignment="1">
      <alignment horizontal="center" vertical="center" wrapText="1"/>
    </xf>
    <xf numFmtId="0" fontId="62" fillId="0" borderId="43" xfId="0" applyFont="1" applyBorder="1" applyAlignment="1">
      <alignment horizontal="center" vertical="center" wrapText="1"/>
    </xf>
    <xf numFmtId="44" fontId="62" fillId="4" borderId="22" xfId="3" applyFont="1" applyFill="1" applyBorder="1" applyAlignment="1">
      <alignment horizontal="center" vertical="center"/>
    </xf>
    <xf numFmtId="44" fontId="62" fillId="4" borderId="58" xfId="3" applyFont="1" applyFill="1" applyBorder="1" applyAlignment="1">
      <alignment horizontal="center" vertical="center"/>
    </xf>
    <xf numFmtId="0" fontId="62" fillId="7" borderId="12" xfId="0" applyFont="1" applyFill="1" applyBorder="1" applyAlignment="1">
      <alignment horizontal="center" wrapText="1"/>
    </xf>
    <xf numFmtId="0" fontId="62" fillId="7" borderId="25" xfId="0" applyFont="1" applyFill="1" applyBorder="1" applyAlignment="1">
      <alignment horizontal="center" wrapText="1"/>
    </xf>
    <xf numFmtId="0" fontId="62" fillId="7" borderId="60" xfId="0" applyFont="1" applyFill="1" applyBorder="1" applyAlignment="1">
      <alignment horizontal="center" wrapText="1"/>
    </xf>
    <xf numFmtId="43" fontId="62" fillId="7" borderId="21" xfId="525" applyFont="1" applyFill="1" applyBorder="1" applyAlignment="1">
      <alignment horizontal="center"/>
    </xf>
    <xf numFmtId="43" fontId="62" fillId="7" borderId="25" xfId="525" applyFont="1" applyFill="1" applyBorder="1" applyAlignment="1">
      <alignment horizontal="center"/>
    </xf>
    <xf numFmtId="43" fontId="62" fillId="7" borderId="60" xfId="525" applyFont="1" applyFill="1" applyBorder="1" applyAlignment="1">
      <alignment horizontal="center"/>
    </xf>
    <xf numFmtId="0" fontId="64" fillId="4" borderId="61" xfId="0" applyFont="1" applyFill="1" applyBorder="1" applyAlignment="1">
      <alignment horizontal="center" vertical="center"/>
    </xf>
    <xf numFmtId="0" fontId="62" fillId="4" borderId="42" xfId="0" applyFont="1" applyFill="1" applyBorder="1" applyAlignment="1">
      <alignment horizontal="center" vertical="center"/>
    </xf>
    <xf numFmtId="0" fontId="62" fillId="4" borderId="12" xfId="0" applyFont="1" applyFill="1" applyBorder="1" applyAlignment="1">
      <alignment horizontal="center" wrapText="1"/>
    </xf>
    <xf numFmtId="0" fontId="62" fillId="4" borderId="25" xfId="0" applyFont="1" applyFill="1" applyBorder="1" applyAlignment="1">
      <alignment horizontal="center" wrapText="1"/>
    </xf>
    <xf numFmtId="0" fontId="62" fillId="4" borderId="60" xfId="0" applyFont="1" applyFill="1" applyBorder="1" applyAlignment="1">
      <alignment horizontal="center" wrapText="1"/>
    </xf>
    <xf numFmtId="43" fontId="62" fillId="4" borderId="14" xfId="525" applyFont="1" applyFill="1" applyBorder="1" applyAlignment="1">
      <alignment horizontal="center"/>
    </xf>
    <xf numFmtId="44" fontId="62" fillId="7" borderId="22" xfId="3" applyFont="1" applyFill="1" applyBorder="1" applyAlignment="1">
      <alignment horizontal="center" vertical="center"/>
    </xf>
    <xf numFmtId="44" fontId="62" fillId="7" borderId="58" xfId="3" applyFont="1" applyFill="1" applyBorder="1" applyAlignment="1">
      <alignment horizontal="center" vertical="center"/>
    </xf>
    <xf numFmtId="0" fontId="64" fillId="4" borderId="22" xfId="0" applyFont="1" applyFill="1" applyBorder="1" applyAlignment="1">
      <alignment horizontal="center" vertical="center"/>
    </xf>
    <xf numFmtId="0" fontId="64" fillId="4" borderId="58" xfId="0" applyFont="1" applyFill="1" applyBorder="1" applyAlignment="1">
      <alignment horizontal="center" vertical="center"/>
    </xf>
    <xf numFmtId="0" fontId="92" fillId="0" borderId="22" xfId="0" applyFont="1" applyFill="1" applyBorder="1" applyAlignment="1">
      <alignment horizontal="center" vertical="center"/>
    </xf>
    <xf numFmtId="0" fontId="92" fillId="0" borderId="58" xfId="0" applyFont="1" applyFill="1" applyBorder="1" applyAlignment="1">
      <alignment horizontal="center" vertical="center"/>
    </xf>
    <xf numFmtId="1" fontId="62" fillId="4" borderId="22" xfId="0" applyNumberFormat="1" applyFont="1" applyFill="1" applyBorder="1" applyAlignment="1">
      <alignment horizontal="center" vertical="center"/>
    </xf>
    <xf numFmtId="0" fontId="62" fillId="4" borderId="58" xfId="0" applyFont="1" applyFill="1" applyBorder="1" applyAlignment="1">
      <alignment horizontal="center" vertical="center"/>
    </xf>
    <xf numFmtId="1" fontId="62" fillId="7" borderId="22" xfId="0" applyNumberFormat="1" applyFont="1" applyFill="1" applyBorder="1" applyAlignment="1">
      <alignment horizontal="center" vertical="center"/>
    </xf>
    <xf numFmtId="0" fontId="62" fillId="7" borderId="58" xfId="0" applyFont="1" applyFill="1" applyBorder="1" applyAlignment="1">
      <alignment horizontal="center" vertical="center"/>
    </xf>
    <xf numFmtId="0" fontId="89" fillId="11" borderId="60" xfId="0" applyFont="1" applyFill="1" applyBorder="1" applyAlignment="1">
      <alignment horizontal="center" vertical="center" wrapText="1"/>
    </xf>
    <xf numFmtId="0" fontId="135" fillId="0" borderId="0" xfId="0" applyFont="1" applyFill="1" applyBorder="1" applyAlignment="1">
      <alignment horizontal="center" vertical="center"/>
    </xf>
    <xf numFmtId="43" fontId="62" fillId="10" borderId="12" xfId="0" applyNumberFormat="1" applyFont="1" applyFill="1" applyBorder="1" applyAlignment="1">
      <alignment horizontal="center" vertical="center"/>
    </xf>
    <xf numFmtId="43" fontId="62" fillId="10" borderId="43" xfId="0" applyNumberFormat="1" applyFont="1" applyFill="1" applyBorder="1" applyAlignment="1">
      <alignment horizontal="center" vertical="center"/>
    </xf>
    <xf numFmtId="0" fontId="129" fillId="10" borderId="12" xfId="0" applyFont="1" applyFill="1" applyBorder="1" applyAlignment="1">
      <alignment horizontal="center" vertical="center"/>
    </xf>
    <xf numFmtId="0" fontId="129" fillId="10" borderId="25" xfId="0" applyFont="1" applyFill="1" applyBorder="1" applyAlignment="1">
      <alignment horizontal="center" vertical="center"/>
    </xf>
    <xf numFmtId="0" fontId="129" fillId="10" borderId="43" xfId="0" applyFont="1" applyFill="1" applyBorder="1" applyAlignment="1">
      <alignment horizontal="center" vertical="center"/>
    </xf>
    <xf numFmtId="0" fontId="64" fillId="0" borderId="77" xfId="0" applyFont="1" applyFill="1" applyBorder="1" applyAlignment="1">
      <alignment horizontal="center" vertical="center" wrapText="1"/>
    </xf>
    <xf numFmtId="0" fontId="64" fillId="0" borderId="25" xfId="0" applyFont="1" applyFill="1" applyBorder="1" applyAlignment="1">
      <alignment horizontal="center" vertical="center" wrapText="1"/>
    </xf>
    <xf numFmtId="0" fontId="64" fillId="0" borderId="43" xfId="0" applyFont="1" applyFill="1" applyBorder="1" applyAlignment="1">
      <alignment horizontal="center" vertical="center" wrapText="1"/>
    </xf>
    <xf numFmtId="0" fontId="130" fillId="0" borderId="12" xfId="0" applyFont="1" applyFill="1" applyBorder="1" applyAlignment="1">
      <alignment horizontal="center" vertical="center"/>
    </xf>
    <xf numFmtId="0" fontId="130" fillId="0" borderId="25" xfId="0" applyFont="1" applyFill="1" applyBorder="1" applyAlignment="1">
      <alignment horizontal="center" vertical="center"/>
    </xf>
    <xf numFmtId="0" fontId="130" fillId="0" borderId="43" xfId="0" applyFont="1" applyFill="1" applyBorder="1" applyAlignment="1">
      <alignment horizontal="center" vertical="center"/>
    </xf>
    <xf numFmtId="0" fontId="64" fillId="7" borderId="22" xfId="0" applyFont="1" applyFill="1" applyBorder="1" applyAlignment="1">
      <alignment horizontal="center" vertical="center" wrapText="1"/>
    </xf>
    <xf numFmtId="0" fontId="64" fillId="7" borderId="57" xfId="0" applyFont="1" applyFill="1" applyBorder="1" applyAlignment="1">
      <alignment horizontal="center" vertical="center" wrapText="1"/>
    </xf>
    <xf numFmtId="0" fontId="64" fillId="7" borderId="58" xfId="0" applyFont="1" applyFill="1" applyBorder="1" applyAlignment="1">
      <alignment horizontal="center" vertical="center" wrapText="1"/>
    </xf>
    <xf numFmtId="0" fontId="64" fillId="7" borderId="27" xfId="0" applyFont="1" applyFill="1" applyBorder="1" applyAlignment="1">
      <alignment horizontal="center" vertical="center" wrapText="1"/>
    </xf>
    <xf numFmtId="0" fontId="64" fillId="7" borderId="32" xfId="0" applyFont="1" applyFill="1" applyBorder="1" applyAlignment="1">
      <alignment horizontal="center" vertical="center" wrapText="1"/>
    </xf>
    <xf numFmtId="0" fontId="86" fillId="10" borderId="25" xfId="0" applyFont="1" applyFill="1" applyBorder="1" applyAlignment="1">
      <alignment horizontal="center" vertical="center"/>
    </xf>
    <xf numFmtId="0" fontId="63" fillId="4" borderId="10" xfId="0" applyFont="1" applyFill="1" applyBorder="1" applyAlignment="1">
      <alignment horizontal="center" vertical="center" wrapText="1"/>
    </xf>
    <xf numFmtId="0" fontId="63" fillId="4" borderId="2" xfId="0" applyFont="1" applyFill="1" applyBorder="1" applyAlignment="1">
      <alignment horizontal="center" vertical="center"/>
    </xf>
    <xf numFmtId="0" fontId="63" fillId="0" borderId="19" xfId="0" applyFont="1" applyBorder="1" applyAlignment="1">
      <alignment horizontal="center" vertical="center" wrapText="1"/>
    </xf>
    <xf numFmtId="0" fontId="63" fillId="4" borderId="1" xfId="0" applyFont="1" applyFill="1" applyBorder="1" applyAlignment="1">
      <alignment horizontal="center" vertical="center"/>
    </xf>
    <xf numFmtId="0" fontId="63" fillId="4" borderId="19" xfId="0" applyFont="1" applyFill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/>
    </xf>
    <xf numFmtId="0" fontId="74" fillId="5" borderId="0" xfId="0" applyFont="1" applyFill="1" applyAlignment="1">
      <alignment horizontal="center" vertical="center"/>
    </xf>
    <xf numFmtId="0" fontId="76" fillId="5" borderId="1" xfId="0" applyFont="1" applyFill="1" applyBorder="1" applyAlignment="1">
      <alignment horizontal="center" vertical="center"/>
    </xf>
  </cellXfs>
  <cellStyles count="531">
    <cellStyle name="Hyperlink 2" xfId="1"/>
    <cellStyle name="Hyperlink 3" xfId="2"/>
    <cellStyle name="Moeda" xfId="3" builtinId="4"/>
    <cellStyle name="Moeda 2" xfId="4"/>
    <cellStyle name="Moeda 2 2" xfId="5"/>
    <cellStyle name="Moeda 3" xfId="6"/>
    <cellStyle name="Moeda 3 10" xfId="7"/>
    <cellStyle name="Moeda 3 2" xfId="8"/>
    <cellStyle name="Moeda 3 2 2" xfId="9"/>
    <cellStyle name="Moeda 3 2 2 2" xfId="10"/>
    <cellStyle name="Moeda 3 2 2 2 2" xfId="11"/>
    <cellStyle name="Moeda 3 2 2 2 3" xfId="12"/>
    <cellStyle name="Moeda 3 2 2 3" xfId="13"/>
    <cellStyle name="Moeda 3 2 2 4" xfId="14"/>
    <cellStyle name="Moeda 3 2 3" xfId="15"/>
    <cellStyle name="Moeda 3 2 3 2" xfId="16"/>
    <cellStyle name="Moeda 3 2 3 2 2" xfId="17"/>
    <cellStyle name="Moeda 3 2 3 2 3" xfId="18"/>
    <cellStyle name="Moeda 3 2 3 3" xfId="19"/>
    <cellStyle name="Moeda 3 2 3 4" xfId="20"/>
    <cellStyle name="Moeda 3 2 4" xfId="21"/>
    <cellStyle name="Moeda 3 2 4 2" xfId="22"/>
    <cellStyle name="Moeda 3 2 4 2 2" xfId="23"/>
    <cellStyle name="Moeda 3 2 4 2 3" xfId="24"/>
    <cellStyle name="Moeda 3 2 4 3" xfId="25"/>
    <cellStyle name="Moeda 3 2 4 4" xfId="26"/>
    <cellStyle name="Moeda 3 2 5" xfId="27"/>
    <cellStyle name="Moeda 3 2 5 2" xfId="28"/>
    <cellStyle name="Moeda 3 2 5 2 2" xfId="29"/>
    <cellStyle name="Moeda 3 2 5 2 3" xfId="30"/>
    <cellStyle name="Moeda 3 2 5 3" xfId="31"/>
    <cellStyle name="Moeda 3 2 5 4" xfId="32"/>
    <cellStyle name="Moeda 3 2 6" xfId="33"/>
    <cellStyle name="Moeda 3 2 6 2" xfId="34"/>
    <cellStyle name="Moeda 3 2 6 3" xfId="35"/>
    <cellStyle name="Moeda 3 2 7" xfId="36"/>
    <cellStyle name="Moeda 3 2 7 2" xfId="37"/>
    <cellStyle name="Moeda 3 2 7 3" xfId="38"/>
    <cellStyle name="Moeda 3 2 8" xfId="39"/>
    <cellStyle name="Moeda 3 2 9" xfId="40"/>
    <cellStyle name="Moeda 3 3" xfId="41"/>
    <cellStyle name="Moeda 3 3 2" xfId="42"/>
    <cellStyle name="Moeda 3 3 2 2" xfId="43"/>
    <cellStyle name="Moeda 3 3 2 3" xfId="44"/>
    <cellStyle name="Moeda 3 3 3" xfId="45"/>
    <cellStyle name="Moeda 3 3 4" xfId="46"/>
    <cellStyle name="Moeda 3 4" xfId="47"/>
    <cellStyle name="Moeda 3 4 2" xfId="48"/>
    <cellStyle name="Moeda 3 4 2 2" xfId="49"/>
    <cellStyle name="Moeda 3 4 2 3" xfId="50"/>
    <cellStyle name="Moeda 3 4 3" xfId="51"/>
    <cellStyle name="Moeda 3 4 4" xfId="52"/>
    <cellStyle name="Moeda 3 5" xfId="53"/>
    <cellStyle name="Moeda 3 5 2" xfId="54"/>
    <cellStyle name="Moeda 3 5 2 2" xfId="55"/>
    <cellStyle name="Moeda 3 5 2 3" xfId="56"/>
    <cellStyle name="Moeda 3 5 3" xfId="57"/>
    <cellStyle name="Moeda 3 5 4" xfId="58"/>
    <cellStyle name="Moeda 3 6" xfId="59"/>
    <cellStyle name="Moeda 3 6 2" xfId="60"/>
    <cellStyle name="Moeda 3 6 2 2" xfId="61"/>
    <cellStyle name="Moeda 3 6 2 3" xfId="62"/>
    <cellStyle name="Moeda 3 6 3" xfId="63"/>
    <cellStyle name="Moeda 3 6 4" xfId="64"/>
    <cellStyle name="Moeda 3 7" xfId="65"/>
    <cellStyle name="Moeda 3 7 2" xfId="66"/>
    <cellStyle name="Moeda 3 7 3" xfId="67"/>
    <cellStyle name="Moeda 3 8" xfId="68"/>
    <cellStyle name="Moeda 3 8 2" xfId="69"/>
    <cellStyle name="Moeda 3 8 3" xfId="70"/>
    <cellStyle name="Moeda 3 9" xfId="71"/>
    <cellStyle name="Normal" xfId="0" builtinId="0"/>
    <cellStyle name="Normal 10" xfId="72"/>
    <cellStyle name="Normal 11" xfId="73"/>
    <cellStyle name="Normal 11 2" xfId="74"/>
    <cellStyle name="Normal 11 2 2" xfId="75"/>
    <cellStyle name="Normal 11 2 3" xfId="76"/>
    <cellStyle name="Normal 11 3" xfId="77"/>
    <cellStyle name="Normal 11 4" xfId="78"/>
    <cellStyle name="Normal 12" xfId="79"/>
    <cellStyle name="Normal 12 2" xfId="80"/>
    <cellStyle name="Normal 12 2 2" xfId="81"/>
    <cellStyle name="Normal 12 2 3" xfId="82"/>
    <cellStyle name="Normal 12 3" xfId="83"/>
    <cellStyle name="Normal 12 4" xfId="84"/>
    <cellStyle name="Normal 2" xfId="85"/>
    <cellStyle name="Normal 2 2" xfId="86"/>
    <cellStyle name="Normal 2 2 2" xfId="87"/>
    <cellStyle name="Normal 2 2 2 2" xfId="88"/>
    <cellStyle name="Normal 2 2 2 2 2" xfId="89"/>
    <cellStyle name="Normal 2 2 2 2 3" xfId="90"/>
    <cellStyle name="Normal 2 2 2 3" xfId="91"/>
    <cellStyle name="Normal 2 2 2 4" xfId="92"/>
    <cellStyle name="Normal 2 2 3" xfId="93"/>
    <cellStyle name="Normal 2 2 3 2" xfId="94"/>
    <cellStyle name="Normal 2 2 3 2 2" xfId="95"/>
    <cellStyle name="Normal 2 2 3 2 3" xfId="96"/>
    <cellStyle name="Normal 2 2 3 3" xfId="97"/>
    <cellStyle name="Normal 2 2 3 4" xfId="98"/>
    <cellStyle name="Normal 2 2 4" xfId="99"/>
    <cellStyle name="Normal 2 2 4 2" xfId="100"/>
    <cellStyle name="Normal 2 2 4 2 2" xfId="101"/>
    <cellStyle name="Normal 2 2 4 2 3" xfId="102"/>
    <cellStyle name="Normal 2 2 4 3" xfId="103"/>
    <cellStyle name="Normal 2 2 4 4" xfId="104"/>
    <cellStyle name="Normal 2 2 5" xfId="105"/>
    <cellStyle name="Normal 2 2 5 2" xfId="106"/>
    <cellStyle name="Normal 2 2 5 2 2" xfId="107"/>
    <cellStyle name="Normal 2 2 5 2 3" xfId="108"/>
    <cellStyle name="Normal 2 2 5 3" xfId="109"/>
    <cellStyle name="Normal 2 2 5 4" xfId="110"/>
    <cellStyle name="Normal 2 2 6" xfId="111"/>
    <cellStyle name="Normal 2 2 6 2" xfId="112"/>
    <cellStyle name="Normal 2 2 6 3" xfId="113"/>
    <cellStyle name="Normal 2 2 7" xfId="114"/>
    <cellStyle name="Normal 2 2 7 2" xfId="115"/>
    <cellStyle name="Normal 2 2 7 3" xfId="116"/>
    <cellStyle name="Normal 2 2 8" xfId="117"/>
    <cellStyle name="Normal 2 2 9" xfId="118"/>
    <cellStyle name="Normal 2 3" xfId="119"/>
    <cellStyle name="Normal 2 4" xfId="120"/>
    <cellStyle name="Normal 2 5" xfId="121"/>
    <cellStyle name="Normal 3" xfId="122"/>
    <cellStyle name="Normal 3 10" xfId="123"/>
    <cellStyle name="Normal 3 2" xfId="124"/>
    <cellStyle name="Normal 3 2 2" xfId="125"/>
    <cellStyle name="Normal 3 2 2 2" xfId="126"/>
    <cellStyle name="Normal 3 2 2 2 2" xfId="127"/>
    <cellStyle name="Normal 3 2 2 2 3" xfId="128"/>
    <cellStyle name="Normal 3 2 2 3" xfId="129"/>
    <cellStyle name="Normal 3 2 2 4" xfId="130"/>
    <cellStyle name="Normal 3 2 3" xfId="131"/>
    <cellStyle name="Normal 3 2 3 2" xfId="132"/>
    <cellStyle name="Normal 3 2 3 2 2" xfId="133"/>
    <cellStyle name="Normal 3 2 3 2 3" xfId="134"/>
    <cellStyle name="Normal 3 2 3 3" xfId="135"/>
    <cellStyle name="Normal 3 2 3 4" xfId="136"/>
    <cellStyle name="Normal 3 2 4" xfId="137"/>
    <cellStyle name="Normal 3 2 4 2" xfId="138"/>
    <cellStyle name="Normal 3 2 4 2 2" xfId="139"/>
    <cellStyle name="Normal 3 2 4 2 3" xfId="140"/>
    <cellStyle name="Normal 3 2 4 3" xfId="141"/>
    <cellStyle name="Normal 3 2 4 4" xfId="142"/>
    <cellStyle name="Normal 3 2 5" xfId="143"/>
    <cellStyle name="Normal 3 2 5 2" xfId="144"/>
    <cellStyle name="Normal 3 2 5 2 2" xfId="145"/>
    <cellStyle name="Normal 3 2 5 2 3" xfId="146"/>
    <cellStyle name="Normal 3 2 5 3" xfId="147"/>
    <cellStyle name="Normal 3 2 5 4" xfId="148"/>
    <cellStyle name="Normal 3 2 6" xfId="149"/>
    <cellStyle name="Normal 3 2 6 2" xfId="150"/>
    <cellStyle name="Normal 3 2 6 3" xfId="151"/>
    <cellStyle name="Normal 3 2 7" xfId="152"/>
    <cellStyle name="Normal 3 2 7 2" xfId="153"/>
    <cellStyle name="Normal 3 2 7 3" xfId="154"/>
    <cellStyle name="Normal 3 2 8" xfId="155"/>
    <cellStyle name="Normal 3 2 9" xfId="156"/>
    <cellStyle name="Normal 3 3" xfId="157"/>
    <cellStyle name="Normal 3 3 2" xfId="158"/>
    <cellStyle name="Normal 3 3 2 2" xfId="159"/>
    <cellStyle name="Normal 3 3 2 3" xfId="160"/>
    <cellStyle name="Normal 3 3 3" xfId="161"/>
    <cellStyle name="Normal 3 3 4" xfId="162"/>
    <cellStyle name="Normal 3 4" xfId="163"/>
    <cellStyle name="Normal 3 4 2" xfId="164"/>
    <cellStyle name="Normal 3 4 2 2" xfId="165"/>
    <cellStyle name="Normal 3 4 2 3" xfId="166"/>
    <cellStyle name="Normal 3 4 3" xfId="167"/>
    <cellStyle name="Normal 3 4 4" xfId="168"/>
    <cellStyle name="Normal 3 5" xfId="169"/>
    <cellStyle name="Normal 3 5 2" xfId="170"/>
    <cellStyle name="Normal 3 5 2 2" xfId="171"/>
    <cellStyle name="Normal 3 5 2 3" xfId="172"/>
    <cellStyle name="Normal 3 5 3" xfId="173"/>
    <cellStyle name="Normal 3 5 4" xfId="174"/>
    <cellStyle name="Normal 3 6" xfId="175"/>
    <cellStyle name="Normal 3 6 2" xfId="176"/>
    <cellStyle name="Normal 3 6 2 2" xfId="177"/>
    <cellStyle name="Normal 3 6 2 3" xfId="178"/>
    <cellStyle name="Normal 3 6 3" xfId="179"/>
    <cellStyle name="Normal 3 6 4" xfId="180"/>
    <cellStyle name="Normal 3 7" xfId="181"/>
    <cellStyle name="Normal 3 7 2" xfId="182"/>
    <cellStyle name="Normal 3 7 3" xfId="183"/>
    <cellStyle name="Normal 3 8" xfId="184"/>
    <cellStyle name="Normal 3 8 2" xfId="185"/>
    <cellStyle name="Normal 3 8 3" xfId="186"/>
    <cellStyle name="Normal 3 9" xfId="187"/>
    <cellStyle name="Normal 4" xfId="188"/>
    <cellStyle name="Normal 4 10" xfId="189"/>
    <cellStyle name="Normal 4 2" xfId="190"/>
    <cellStyle name="Normal 4 2 2" xfId="191"/>
    <cellStyle name="Normal 4 2 2 2" xfId="192"/>
    <cellStyle name="Normal 4 2 2 2 2" xfId="193"/>
    <cellStyle name="Normal 4 2 2 2 3" xfId="194"/>
    <cellStyle name="Normal 4 2 2 3" xfId="195"/>
    <cellStyle name="Normal 4 2 2 4" xfId="196"/>
    <cellStyle name="Normal 4 2 3" xfId="197"/>
    <cellStyle name="Normal 4 2 3 2" xfId="198"/>
    <cellStyle name="Normal 4 2 3 2 2" xfId="199"/>
    <cellStyle name="Normal 4 2 3 2 3" xfId="200"/>
    <cellStyle name="Normal 4 2 3 3" xfId="201"/>
    <cellStyle name="Normal 4 2 3 4" xfId="202"/>
    <cellStyle name="Normal 4 2 4" xfId="203"/>
    <cellStyle name="Normal 4 2 4 2" xfId="204"/>
    <cellStyle name="Normal 4 2 4 2 2" xfId="205"/>
    <cellStyle name="Normal 4 2 4 2 3" xfId="206"/>
    <cellStyle name="Normal 4 2 4 3" xfId="207"/>
    <cellStyle name="Normal 4 2 4 4" xfId="208"/>
    <cellStyle name="Normal 4 2 5" xfId="209"/>
    <cellStyle name="Normal 4 2 5 2" xfId="210"/>
    <cellStyle name="Normal 4 2 5 2 2" xfId="211"/>
    <cellStyle name="Normal 4 2 5 2 3" xfId="212"/>
    <cellStyle name="Normal 4 2 5 3" xfId="213"/>
    <cellStyle name="Normal 4 2 5 4" xfId="214"/>
    <cellStyle name="Normal 4 2 6" xfId="215"/>
    <cellStyle name="Normal 4 2 6 2" xfId="216"/>
    <cellStyle name="Normal 4 2 6 3" xfId="217"/>
    <cellStyle name="Normal 4 2 7" xfId="218"/>
    <cellStyle name="Normal 4 2 7 2" xfId="219"/>
    <cellStyle name="Normal 4 2 7 3" xfId="220"/>
    <cellStyle name="Normal 4 2 8" xfId="221"/>
    <cellStyle name="Normal 4 2 9" xfId="222"/>
    <cellStyle name="Normal 4 3" xfId="223"/>
    <cellStyle name="Normal 4 3 2" xfId="224"/>
    <cellStyle name="Normal 4 3 2 2" xfId="225"/>
    <cellStyle name="Normal 4 3 2 3" xfId="226"/>
    <cellStyle name="Normal 4 3 3" xfId="227"/>
    <cellStyle name="Normal 4 3 4" xfId="228"/>
    <cellStyle name="Normal 4 4" xfId="229"/>
    <cellStyle name="Normal 4 4 2" xfId="230"/>
    <cellStyle name="Normal 4 4 2 2" xfId="231"/>
    <cellStyle name="Normal 4 4 2 3" xfId="232"/>
    <cellStyle name="Normal 4 4 3" xfId="233"/>
    <cellStyle name="Normal 4 4 4" xfId="234"/>
    <cellStyle name="Normal 4 5" xfId="235"/>
    <cellStyle name="Normal 4 5 2" xfId="236"/>
    <cellStyle name="Normal 4 5 2 2" xfId="237"/>
    <cellStyle name="Normal 4 5 2 3" xfId="238"/>
    <cellStyle name="Normal 4 5 3" xfId="239"/>
    <cellStyle name="Normal 4 5 4" xfId="240"/>
    <cellStyle name="Normal 4 6" xfId="241"/>
    <cellStyle name="Normal 4 6 2" xfId="242"/>
    <cellStyle name="Normal 4 6 2 2" xfId="243"/>
    <cellStyle name="Normal 4 6 2 3" xfId="244"/>
    <cellStyle name="Normal 4 6 3" xfId="245"/>
    <cellStyle name="Normal 4 6 4" xfId="246"/>
    <cellStyle name="Normal 4 7" xfId="247"/>
    <cellStyle name="Normal 4 7 2" xfId="248"/>
    <cellStyle name="Normal 4 7 3" xfId="249"/>
    <cellStyle name="Normal 4 8" xfId="250"/>
    <cellStyle name="Normal 4 8 2" xfId="251"/>
    <cellStyle name="Normal 4 8 3" xfId="252"/>
    <cellStyle name="Normal 4 9" xfId="253"/>
    <cellStyle name="Normal 5" xfId="254"/>
    <cellStyle name="Normal 5 10" xfId="255"/>
    <cellStyle name="Normal 5 2" xfId="256"/>
    <cellStyle name="Normal 5 2 2" xfId="257"/>
    <cellStyle name="Normal 5 2 2 2" xfId="258"/>
    <cellStyle name="Normal 5 2 2 2 2" xfId="259"/>
    <cellStyle name="Normal 5 2 2 2 3" xfId="260"/>
    <cellStyle name="Normal 5 2 2 3" xfId="261"/>
    <cellStyle name="Normal 5 2 2 4" xfId="262"/>
    <cellStyle name="Normal 5 2 3" xfId="263"/>
    <cellStyle name="Normal 5 2 3 2" xfId="264"/>
    <cellStyle name="Normal 5 2 3 2 2" xfId="265"/>
    <cellStyle name="Normal 5 2 3 2 3" xfId="266"/>
    <cellStyle name="Normal 5 2 3 3" xfId="267"/>
    <cellStyle name="Normal 5 2 3 4" xfId="268"/>
    <cellStyle name="Normal 5 2 4" xfId="269"/>
    <cellStyle name="Normal 5 2 4 2" xfId="270"/>
    <cellStyle name="Normal 5 2 4 2 2" xfId="271"/>
    <cellStyle name="Normal 5 2 4 2 3" xfId="272"/>
    <cellStyle name="Normal 5 2 4 3" xfId="273"/>
    <cellStyle name="Normal 5 2 4 4" xfId="274"/>
    <cellStyle name="Normal 5 2 5" xfId="275"/>
    <cellStyle name="Normal 5 2 5 2" xfId="276"/>
    <cellStyle name="Normal 5 2 5 2 2" xfId="277"/>
    <cellStyle name="Normal 5 2 5 2 3" xfId="278"/>
    <cellStyle name="Normal 5 2 5 3" xfId="279"/>
    <cellStyle name="Normal 5 2 5 4" xfId="280"/>
    <cellStyle name="Normal 5 2 6" xfId="281"/>
    <cellStyle name="Normal 5 2 6 2" xfId="282"/>
    <cellStyle name="Normal 5 2 6 3" xfId="283"/>
    <cellStyle name="Normal 5 2 7" xfId="284"/>
    <cellStyle name="Normal 5 2 7 2" xfId="285"/>
    <cellStyle name="Normal 5 2 7 3" xfId="286"/>
    <cellStyle name="Normal 5 2 8" xfId="287"/>
    <cellStyle name="Normal 5 2 9" xfId="288"/>
    <cellStyle name="Normal 5 3" xfId="289"/>
    <cellStyle name="Normal 5 3 2" xfId="290"/>
    <cellStyle name="Normal 5 3 2 2" xfId="291"/>
    <cellStyle name="Normal 5 3 2 3" xfId="292"/>
    <cellStyle name="Normal 5 3 3" xfId="293"/>
    <cellStyle name="Normal 5 3 4" xfId="294"/>
    <cellStyle name="Normal 5 4" xfId="295"/>
    <cellStyle name="Normal 5 4 2" xfId="296"/>
    <cellStyle name="Normal 5 4 2 2" xfId="297"/>
    <cellStyle name="Normal 5 4 2 3" xfId="298"/>
    <cellStyle name="Normal 5 4 3" xfId="299"/>
    <cellStyle name="Normal 5 4 4" xfId="300"/>
    <cellStyle name="Normal 5 5" xfId="301"/>
    <cellStyle name="Normal 5 5 2" xfId="302"/>
    <cellStyle name="Normal 5 5 2 2" xfId="303"/>
    <cellStyle name="Normal 5 5 2 3" xfId="304"/>
    <cellStyle name="Normal 5 5 3" xfId="305"/>
    <cellStyle name="Normal 5 5 4" xfId="306"/>
    <cellStyle name="Normal 5 6" xfId="307"/>
    <cellStyle name="Normal 5 6 2" xfId="308"/>
    <cellStyle name="Normal 5 6 2 2" xfId="309"/>
    <cellStyle name="Normal 5 6 2 3" xfId="310"/>
    <cellStyle name="Normal 5 6 3" xfId="311"/>
    <cellStyle name="Normal 5 6 4" xfId="312"/>
    <cellStyle name="Normal 5 7" xfId="313"/>
    <cellStyle name="Normal 5 7 2" xfId="314"/>
    <cellStyle name="Normal 5 7 3" xfId="315"/>
    <cellStyle name="Normal 5 8" xfId="316"/>
    <cellStyle name="Normal 5 8 2" xfId="317"/>
    <cellStyle name="Normal 5 8 3" xfId="318"/>
    <cellStyle name="Normal 5 9" xfId="319"/>
    <cellStyle name="Normal 6" xfId="320"/>
    <cellStyle name="Normal 6 10" xfId="321"/>
    <cellStyle name="Normal 6 2" xfId="322"/>
    <cellStyle name="Normal 6 2 2" xfId="323"/>
    <cellStyle name="Normal 6 2 2 2" xfId="324"/>
    <cellStyle name="Normal 6 2 2 2 2" xfId="325"/>
    <cellStyle name="Normal 6 2 2 2 3" xfId="326"/>
    <cellStyle name="Normal 6 2 2 3" xfId="327"/>
    <cellStyle name="Normal 6 2 2 4" xfId="328"/>
    <cellStyle name="Normal 6 2 3" xfId="329"/>
    <cellStyle name="Normal 6 2 3 2" xfId="330"/>
    <cellStyle name="Normal 6 2 3 2 2" xfId="331"/>
    <cellStyle name="Normal 6 2 3 2 3" xfId="332"/>
    <cellStyle name="Normal 6 2 3 3" xfId="333"/>
    <cellStyle name="Normal 6 2 3 4" xfId="334"/>
    <cellStyle name="Normal 6 2 4" xfId="335"/>
    <cellStyle name="Normal 6 2 4 2" xfId="336"/>
    <cellStyle name="Normal 6 2 4 2 2" xfId="337"/>
    <cellStyle name="Normal 6 2 4 2 3" xfId="338"/>
    <cellStyle name="Normal 6 2 4 3" xfId="339"/>
    <cellStyle name="Normal 6 2 4 4" xfId="340"/>
    <cellStyle name="Normal 6 2 5" xfId="341"/>
    <cellStyle name="Normal 6 2 5 2" xfId="342"/>
    <cellStyle name="Normal 6 2 5 2 2" xfId="343"/>
    <cellStyle name="Normal 6 2 5 2 3" xfId="344"/>
    <cellStyle name="Normal 6 2 5 3" xfId="345"/>
    <cellStyle name="Normal 6 2 5 4" xfId="346"/>
    <cellStyle name="Normal 6 2 6" xfId="347"/>
    <cellStyle name="Normal 6 2 6 2" xfId="348"/>
    <cellStyle name="Normal 6 2 6 3" xfId="349"/>
    <cellStyle name="Normal 6 2 7" xfId="350"/>
    <cellStyle name="Normal 6 2 7 2" xfId="351"/>
    <cellStyle name="Normal 6 2 7 3" xfId="352"/>
    <cellStyle name="Normal 6 2 8" xfId="353"/>
    <cellStyle name="Normal 6 2 9" xfId="354"/>
    <cellStyle name="Normal 6 3" xfId="355"/>
    <cellStyle name="Normal 6 3 2" xfId="356"/>
    <cellStyle name="Normal 6 3 2 2" xfId="357"/>
    <cellStyle name="Normal 6 3 2 3" xfId="358"/>
    <cellStyle name="Normal 6 3 3" xfId="359"/>
    <cellStyle name="Normal 6 3 4" xfId="360"/>
    <cellStyle name="Normal 6 4" xfId="361"/>
    <cellStyle name="Normal 6 4 2" xfId="362"/>
    <cellStyle name="Normal 6 4 2 2" xfId="363"/>
    <cellStyle name="Normal 6 4 2 3" xfId="364"/>
    <cellStyle name="Normal 6 4 3" xfId="365"/>
    <cellStyle name="Normal 6 4 4" xfId="366"/>
    <cellStyle name="Normal 6 5" xfId="367"/>
    <cellStyle name="Normal 6 5 2" xfId="368"/>
    <cellStyle name="Normal 6 5 2 2" xfId="369"/>
    <cellStyle name="Normal 6 5 2 3" xfId="370"/>
    <cellStyle name="Normal 6 5 3" xfId="371"/>
    <cellStyle name="Normal 6 5 4" xfId="372"/>
    <cellStyle name="Normal 6 6" xfId="373"/>
    <cellStyle name="Normal 6 6 2" xfId="374"/>
    <cellStyle name="Normal 6 6 2 2" xfId="375"/>
    <cellStyle name="Normal 6 6 2 3" xfId="376"/>
    <cellStyle name="Normal 6 6 3" xfId="377"/>
    <cellStyle name="Normal 6 6 4" xfId="378"/>
    <cellStyle name="Normal 6 7" xfId="379"/>
    <cellStyle name="Normal 6 7 2" xfId="380"/>
    <cellStyle name="Normal 6 7 3" xfId="381"/>
    <cellStyle name="Normal 6 8" xfId="382"/>
    <cellStyle name="Normal 6 8 2" xfId="383"/>
    <cellStyle name="Normal 6 8 3" xfId="384"/>
    <cellStyle name="Normal 6 9" xfId="385"/>
    <cellStyle name="Normal 7" xfId="386"/>
    <cellStyle name="Normal 7 10" xfId="387"/>
    <cellStyle name="Normal 7 2" xfId="388"/>
    <cellStyle name="Normal 7 2 2" xfId="389"/>
    <cellStyle name="Normal 7 2 2 2" xfId="390"/>
    <cellStyle name="Normal 7 2 2 2 2" xfId="391"/>
    <cellStyle name="Normal 7 2 2 2 3" xfId="392"/>
    <cellStyle name="Normal 7 2 2 3" xfId="393"/>
    <cellStyle name="Normal 7 2 2 4" xfId="394"/>
    <cellStyle name="Normal 7 2 3" xfId="395"/>
    <cellStyle name="Normal 7 2 3 2" xfId="396"/>
    <cellStyle name="Normal 7 2 3 2 2" xfId="397"/>
    <cellStyle name="Normal 7 2 3 2 3" xfId="398"/>
    <cellStyle name="Normal 7 2 3 3" xfId="399"/>
    <cellStyle name="Normal 7 2 3 4" xfId="400"/>
    <cellStyle name="Normal 7 2 4" xfId="401"/>
    <cellStyle name="Normal 7 2 4 2" xfId="402"/>
    <cellStyle name="Normal 7 2 4 2 2" xfId="403"/>
    <cellStyle name="Normal 7 2 4 2 3" xfId="404"/>
    <cellStyle name="Normal 7 2 4 3" xfId="405"/>
    <cellStyle name="Normal 7 2 4 4" xfId="406"/>
    <cellStyle name="Normal 7 2 5" xfId="407"/>
    <cellStyle name="Normal 7 2 5 2" xfId="408"/>
    <cellStyle name="Normal 7 2 5 2 2" xfId="409"/>
    <cellStyle name="Normal 7 2 5 2 3" xfId="410"/>
    <cellStyle name="Normal 7 2 5 3" xfId="411"/>
    <cellStyle name="Normal 7 2 5 4" xfId="412"/>
    <cellStyle name="Normal 7 2 6" xfId="413"/>
    <cellStyle name="Normal 7 2 6 2" xfId="414"/>
    <cellStyle name="Normal 7 2 6 3" xfId="415"/>
    <cellStyle name="Normal 7 2 7" xfId="416"/>
    <cellStyle name="Normal 7 2 7 2" xfId="417"/>
    <cellStyle name="Normal 7 2 7 3" xfId="418"/>
    <cellStyle name="Normal 7 2 8" xfId="419"/>
    <cellStyle name="Normal 7 2 9" xfId="420"/>
    <cellStyle name="Normal 7 3" xfId="421"/>
    <cellStyle name="Normal 7 3 2" xfId="422"/>
    <cellStyle name="Normal 7 3 2 2" xfId="423"/>
    <cellStyle name="Normal 7 3 2 3" xfId="424"/>
    <cellStyle name="Normal 7 3 3" xfId="425"/>
    <cellStyle name="Normal 7 3 4" xfId="426"/>
    <cellStyle name="Normal 7 4" xfId="427"/>
    <cellStyle name="Normal 7 4 2" xfId="428"/>
    <cellStyle name="Normal 7 4 2 2" xfId="429"/>
    <cellStyle name="Normal 7 4 2 3" xfId="430"/>
    <cellStyle name="Normal 7 4 3" xfId="431"/>
    <cellStyle name="Normal 7 4 4" xfId="432"/>
    <cellStyle name="Normal 7 5" xfId="433"/>
    <cellStyle name="Normal 7 5 2" xfId="434"/>
    <cellStyle name="Normal 7 5 2 2" xfId="435"/>
    <cellStyle name="Normal 7 5 2 3" xfId="436"/>
    <cellStyle name="Normal 7 5 3" xfId="437"/>
    <cellStyle name="Normal 7 5 4" xfId="438"/>
    <cellStyle name="Normal 7 6" xfId="439"/>
    <cellStyle name="Normal 7 6 2" xfId="440"/>
    <cellStyle name="Normal 7 6 2 2" xfId="441"/>
    <cellStyle name="Normal 7 6 2 3" xfId="442"/>
    <cellStyle name="Normal 7 6 3" xfId="443"/>
    <cellStyle name="Normal 7 6 4" xfId="444"/>
    <cellStyle name="Normal 7 7" xfId="445"/>
    <cellStyle name="Normal 7 7 2" xfId="446"/>
    <cellStyle name="Normal 7 7 3" xfId="447"/>
    <cellStyle name="Normal 7 8" xfId="448"/>
    <cellStyle name="Normal 7 8 2" xfId="449"/>
    <cellStyle name="Normal 7 8 3" xfId="450"/>
    <cellStyle name="Normal 7 9" xfId="451"/>
    <cellStyle name="Normal 8" xfId="452"/>
    <cellStyle name="Normal 9" xfId="453"/>
    <cellStyle name="Normal 9 10" xfId="454"/>
    <cellStyle name="Normal 9 2" xfId="455"/>
    <cellStyle name="Normal 9 2 2" xfId="456"/>
    <cellStyle name="Normal 9 2 2 2" xfId="457"/>
    <cellStyle name="Normal 9 2 2 2 2" xfId="458"/>
    <cellStyle name="Normal 9 2 2 2 3" xfId="459"/>
    <cellStyle name="Normal 9 2 2 3" xfId="460"/>
    <cellStyle name="Normal 9 2 2 4" xfId="461"/>
    <cellStyle name="Normal 9 2 3" xfId="462"/>
    <cellStyle name="Normal 9 2 3 2" xfId="463"/>
    <cellStyle name="Normal 9 2 3 2 2" xfId="464"/>
    <cellStyle name="Normal 9 2 3 2 3" xfId="465"/>
    <cellStyle name="Normal 9 2 3 3" xfId="466"/>
    <cellStyle name="Normal 9 2 3 4" xfId="467"/>
    <cellStyle name="Normal 9 2 4" xfId="468"/>
    <cellStyle name="Normal 9 2 4 2" xfId="469"/>
    <cellStyle name="Normal 9 2 4 2 2" xfId="470"/>
    <cellStyle name="Normal 9 2 4 2 3" xfId="471"/>
    <cellStyle name="Normal 9 2 4 3" xfId="472"/>
    <cellStyle name="Normal 9 2 4 4" xfId="473"/>
    <cellStyle name="Normal 9 2 5" xfId="474"/>
    <cellStyle name="Normal 9 2 5 2" xfId="475"/>
    <cellStyle name="Normal 9 2 5 2 2" xfId="476"/>
    <cellStyle name="Normal 9 2 5 2 3" xfId="477"/>
    <cellStyle name="Normal 9 2 5 3" xfId="478"/>
    <cellStyle name="Normal 9 2 5 4" xfId="479"/>
    <cellStyle name="Normal 9 2 6" xfId="480"/>
    <cellStyle name="Normal 9 2 6 2" xfId="481"/>
    <cellStyle name="Normal 9 2 6 3" xfId="482"/>
    <cellStyle name="Normal 9 2 7" xfId="483"/>
    <cellStyle name="Normal 9 2 7 2" xfId="484"/>
    <cellStyle name="Normal 9 2 7 3" xfId="485"/>
    <cellStyle name="Normal 9 2 8" xfId="486"/>
    <cellStyle name="Normal 9 2 9" xfId="487"/>
    <cellStyle name="Normal 9 3" xfId="488"/>
    <cellStyle name="Normal 9 3 2" xfId="489"/>
    <cellStyle name="Normal 9 3 2 2" xfId="490"/>
    <cellStyle name="Normal 9 3 2 3" xfId="491"/>
    <cellStyle name="Normal 9 3 3" xfId="492"/>
    <cellStyle name="Normal 9 3 4" xfId="493"/>
    <cellStyle name="Normal 9 4" xfId="494"/>
    <cellStyle name="Normal 9 4 2" xfId="495"/>
    <cellStyle name="Normal 9 4 2 2" xfId="496"/>
    <cellStyle name="Normal 9 4 2 3" xfId="497"/>
    <cellStyle name="Normal 9 4 3" xfId="498"/>
    <cellStyle name="Normal 9 4 4" xfId="499"/>
    <cellStyle name="Normal 9 5" xfId="500"/>
    <cellStyle name="Normal 9 5 2" xfId="501"/>
    <cellStyle name="Normal 9 5 2 2" xfId="502"/>
    <cellStyle name="Normal 9 5 2 3" xfId="503"/>
    <cellStyle name="Normal 9 5 3" xfId="504"/>
    <cellStyle name="Normal 9 5 4" xfId="505"/>
    <cellStyle name="Normal 9 6" xfId="506"/>
    <cellStyle name="Normal 9 6 2" xfId="507"/>
    <cellStyle name="Normal 9 6 2 2" xfId="508"/>
    <cellStyle name="Normal 9 6 2 3" xfId="509"/>
    <cellStyle name="Normal 9 6 3" xfId="510"/>
    <cellStyle name="Normal 9 6 4" xfId="511"/>
    <cellStyle name="Normal 9 7" xfId="512"/>
    <cellStyle name="Normal 9 7 2" xfId="513"/>
    <cellStyle name="Normal 9 7 3" xfId="514"/>
    <cellStyle name="Normal 9 8" xfId="515"/>
    <cellStyle name="Normal 9 8 2" xfId="516"/>
    <cellStyle name="Normal 9 8 3" xfId="517"/>
    <cellStyle name="Normal 9 9" xfId="518"/>
    <cellStyle name="Porcentagem" xfId="519" builtinId="5"/>
    <cellStyle name="Porcentagem 2" xfId="520"/>
    <cellStyle name="Porcentagem 2 2" xfId="521"/>
    <cellStyle name="Porcentagem 3" xfId="522"/>
    <cellStyle name="Porcentagem 4" xfId="523"/>
    <cellStyle name="Porcentagem 4 2" xfId="524"/>
    <cellStyle name="Separador de milhares" xfId="525" builtinId="3"/>
    <cellStyle name="Separador de milhares 2" xfId="526"/>
    <cellStyle name="Separador de milhares 3" xfId="527"/>
    <cellStyle name="Separador de milhares 4" xfId="528"/>
    <cellStyle name="Separador de milhares 4 2" xfId="529"/>
    <cellStyle name="Vírgula 2" xfId="53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1933575</xdr:colOff>
      <xdr:row>5</xdr:row>
      <xdr:rowOff>133350</xdr:rowOff>
    </xdr:to>
    <xdr:pic>
      <xdr:nvPicPr>
        <xdr:cNvPr id="2648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335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10</xdr:col>
      <xdr:colOff>76200</xdr:colOff>
      <xdr:row>6</xdr:row>
      <xdr:rowOff>95250</xdr:rowOff>
    </xdr:to>
    <xdr:pic>
      <xdr:nvPicPr>
        <xdr:cNvPr id="9045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52400"/>
          <a:ext cx="19240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104775</xdr:colOff>
      <xdr:row>5</xdr:row>
      <xdr:rowOff>152400</xdr:rowOff>
    </xdr:to>
    <xdr:pic>
      <xdr:nvPicPr>
        <xdr:cNvPr id="53405" name="Picture 30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526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104775</xdr:colOff>
      <xdr:row>5</xdr:row>
      <xdr:rowOff>152400</xdr:rowOff>
    </xdr:to>
    <xdr:pic>
      <xdr:nvPicPr>
        <xdr:cNvPr id="17081" name="Picture 30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526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10</xdr:col>
      <xdr:colOff>76200</xdr:colOff>
      <xdr:row>6</xdr:row>
      <xdr:rowOff>95250</xdr:rowOff>
    </xdr:to>
    <xdr:pic>
      <xdr:nvPicPr>
        <xdr:cNvPr id="42370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52400"/>
          <a:ext cx="19240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104775</xdr:colOff>
      <xdr:row>5</xdr:row>
      <xdr:rowOff>152400</xdr:rowOff>
    </xdr:to>
    <xdr:pic>
      <xdr:nvPicPr>
        <xdr:cNvPr id="108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526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104775</xdr:colOff>
      <xdr:row>5</xdr:row>
      <xdr:rowOff>152400</xdr:rowOff>
    </xdr:to>
    <xdr:pic>
      <xdr:nvPicPr>
        <xdr:cNvPr id="14011" name="Picture 30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526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104775</xdr:colOff>
      <xdr:row>5</xdr:row>
      <xdr:rowOff>152400</xdr:rowOff>
    </xdr:to>
    <xdr:pic>
      <xdr:nvPicPr>
        <xdr:cNvPr id="16031" name="Picture 2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526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104775</xdr:colOff>
      <xdr:row>5</xdr:row>
      <xdr:rowOff>152400</xdr:rowOff>
    </xdr:to>
    <xdr:pic>
      <xdr:nvPicPr>
        <xdr:cNvPr id="18273" name="Picture 46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526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104775</xdr:colOff>
      <xdr:row>5</xdr:row>
      <xdr:rowOff>152400</xdr:rowOff>
    </xdr:to>
    <xdr:pic>
      <xdr:nvPicPr>
        <xdr:cNvPr id="29353" name="Picture 28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526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104775</xdr:colOff>
      <xdr:row>5</xdr:row>
      <xdr:rowOff>152400</xdr:rowOff>
    </xdr:to>
    <xdr:pic>
      <xdr:nvPicPr>
        <xdr:cNvPr id="45438" name="Picture 28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526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714375</xdr:colOff>
      <xdr:row>6</xdr:row>
      <xdr:rowOff>0</xdr:rowOff>
    </xdr:to>
    <xdr:pic>
      <xdr:nvPicPr>
        <xdr:cNvPr id="58412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335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104775</xdr:colOff>
      <xdr:row>5</xdr:row>
      <xdr:rowOff>152400</xdr:rowOff>
    </xdr:to>
    <xdr:pic>
      <xdr:nvPicPr>
        <xdr:cNvPr id="19091" name="Picture 26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526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104775</xdr:colOff>
      <xdr:row>5</xdr:row>
      <xdr:rowOff>152400</xdr:rowOff>
    </xdr:to>
    <xdr:pic>
      <xdr:nvPicPr>
        <xdr:cNvPr id="20105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526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104775</xdr:colOff>
      <xdr:row>5</xdr:row>
      <xdr:rowOff>152400</xdr:rowOff>
    </xdr:to>
    <xdr:pic>
      <xdr:nvPicPr>
        <xdr:cNvPr id="24207" name="Picture 25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526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104775</xdr:colOff>
      <xdr:row>5</xdr:row>
      <xdr:rowOff>152400</xdr:rowOff>
    </xdr:to>
    <xdr:pic>
      <xdr:nvPicPr>
        <xdr:cNvPr id="25221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526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104775</xdr:colOff>
      <xdr:row>5</xdr:row>
      <xdr:rowOff>152400</xdr:rowOff>
    </xdr:to>
    <xdr:pic>
      <xdr:nvPicPr>
        <xdr:cNvPr id="52382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526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104775</xdr:colOff>
      <xdr:row>5</xdr:row>
      <xdr:rowOff>152400</xdr:rowOff>
    </xdr:to>
    <xdr:pic>
      <xdr:nvPicPr>
        <xdr:cNvPr id="41348" name="Picture 25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526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104775</xdr:colOff>
      <xdr:row>5</xdr:row>
      <xdr:rowOff>152400</xdr:rowOff>
    </xdr:to>
    <xdr:pic>
      <xdr:nvPicPr>
        <xdr:cNvPr id="26253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526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104775</xdr:colOff>
      <xdr:row>5</xdr:row>
      <xdr:rowOff>152400</xdr:rowOff>
    </xdr:to>
    <xdr:pic>
      <xdr:nvPicPr>
        <xdr:cNvPr id="27277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526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104775</xdr:colOff>
      <xdr:row>5</xdr:row>
      <xdr:rowOff>152400</xdr:rowOff>
    </xdr:to>
    <xdr:pic>
      <xdr:nvPicPr>
        <xdr:cNvPr id="28334" name="Picture 28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526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228600</xdr:colOff>
      <xdr:row>9</xdr:row>
      <xdr:rowOff>142875</xdr:rowOff>
    </xdr:from>
    <xdr:to>
      <xdr:col>9</xdr:col>
      <xdr:colOff>28575</xdr:colOff>
      <xdr:row>16</xdr:row>
      <xdr:rowOff>95250</xdr:rowOff>
    </xdr:to>
    <xdr:pic>
      <xdr:nvPicPr>
        <xdr:cNvPr id="30292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95600" y="1495425"/>
          <a:ext cx="19335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1981200</xdr:colOff>
      <xdr:row>6</xdr:row>
      <xdr:rowOff>47625</xdr:rowOff>
    </xdr:to>
    <xdr:pic>
      <xdr:nvPicPr>
        <xdr:cNvPr id="39409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47625"/>
          <a:ext cx="19335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2</xdr:col>
      <xdr:colOff>409575</xdr:colOff>
      <xdr:row>5</xdr:row>
      <xdr:rowOff>180975</xdr:rowOff>
    </xdr:to>
    <xdr:pic>
      <xdr:nvPicPr>
        <xdr:cNvPr id="31316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57150"/>
          <a:ext cx="19335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409575</xdr:colOff>
      <xdr:row>5</xdr:row>
      <xdr:rowOff>123825</xdr:rowOff>
    </xdr:to>
    <xdr:pic>
      <xdr:nvPicPr>
        <xdr:cNvPr id="55378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335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409575</xdr:colOff>
      <xdr:row>5</xdr:row>
      <xdr:rowOff>123825</xdr:rowOff>
    </xdr:to>
    <xdr:pic>
      <xdr:nvPicPr>
        <xdr:cNvPr id="32340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335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409575</xdr:colOff>
      <xdr:row>5</xdr:row>
      <xdr:rowOff>123825</xdr:rowOff>
    </xdr:to>
    <xdr:pic>
      <xdr:nvPicPr>
        <xdr:cNvPr id="47428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335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409575</xdr:colOff>
      <xdr:row>5</xdr:row>
      <xdr:rowOff>123825</xdr:rowOff>
    </xdr:to>
    <xdr:pic>
      <xdr:nvPicPr>
        <xdr:cNvPr id="34388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335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409575</xdr:colOff>
      <xdr:row>5</xdr:row>
      <xdr:rowOff>123825</xdr:rowOff>
    </xdr:to>
    <xdr:pic>
      <xdr:nvPicPr>
        <xdr:cNvPr id="35412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335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1343025</xdr:colOff>
      <xdr:row>4</xdr:row>
      <xdr:rowOff>200025</xdr:rowOff>
    </xdr:to>
    <xdr:pic>
      <xdr:nvPicPr>
        <xdr:cNvPr id="40431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335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285750</xdr:colOff>
      <xdr:row>10</xdr:row>
      <xdr:rowOff>38100</xdr:rowOff>
    </xdr:from>
    <xdr:to>
      <xdr:col>9</xdr:col>
      <xdr:colOff>85725</xdr:colOff>
      <xdr:row>16</xdr:row>
      <xdr:rowOff>152400</xdr:rowOff>
    </xdr:to>
    <xdr:pic>
      <xdr:nvPicPr>
        <xdr:cNvPr id="37460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50" y="1552575"/>
          <a:ext cx="19335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0</xdr:colOff>
      <xdr:row>3</xdr:row>
      <xdr:rowOff>104775</xdr:rowOff>
    </xdr:to>
    <xdr:pic>
      <xdr:nvPicPr>
        <xdr:cNvPr id="54439" name="Picture 1" descr="Resultado de imagem para JUSTIÃA FEDERAL 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438150"/>
          <a:ext cx="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1181100</xdr:colOff>
      <xdr:row>4</xdr:row>
      <xdr:rowOff>142875</xdr:rowOff>
    </xdr:to>
    <xdr:pic>
      <xdr:nvPicPr>
        <xdr:cNvPr id="54440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771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285750</xdr:colOff>
      <xdr:row>10</xdr:row>
      <xdr:rowOff>38100</xdr:rowOff>
    </xdr:from>
    <xdr:to>
      <xdr:col>9</xdr:col>
      <xdr:colOff>85725</xdr:colOff>
      <xdr:row>16</xdr:row>
      <xdr:rowOff>152400</xdr:rowOff>
    </xdr:to>
    <xdr:pic>
      <xdr:nvPicPr>
        <xdr:cNvPr id="56385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50" y="1552575"/>
          <a:ext cx="19335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12</xdr:row>
      <xdr:rowOff>123825</xdr:rowOff>
    </xdr:from>
    <xdr:to>
      <xdr:col>8</xdr:col>
      <xdr:colOff>209550</xdr:colOff>
      <xdr:row>19</xdr:row>
      <xdr:rowOff>57150</xdr:rowOff>
    </xdr:to>
    <xdr:pic>
      <xdr:nvPicPr>
        <xdr:cNvPr id="6740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43175" y="1962150"/>
          <a:ext cx="1933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171450</xdr:rowOff>
    </xdr:from>
    <xdr:to>
      <xdr:col>2</xdr:col>
      <xdr:colOff>1095375</xdr:colOff>
      <xdr:row>6</xdr:row>
      <xdr:rowOff>47625</xdr:rowOff>
    </xdr:to>
    <xdr:pic>
      <xdr:nvPicPr>
        <xdr:cNvPr id="50348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81025" y="171450"/>
          <a:ext cx="17335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285750</xdr:colOff>
      <xdr:row>10</xdr:row>
      <xdr:rowOff>38100</xdr:rowOff>
    </xdr:from>
    <xdr:to>
      <xdr:col>9</xdr:col>
      <xdr:colOff>85725</xdr:colOff>
      <xdr:row>16</xdr:row>
      <xdr:rowOff>152400</xdr:rowOff>
    </xdr:to>
    <xdr:pic>
      <xdr:nvPicPr>
        <xdr:cNvPr id="57409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50" y="1552575"/>
          <a:ext cx="19335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714375</xdr:colOff>
      <xdr:row>6</xdr:row>
      <xdr:rowOff>0</xdr:rowOff>
    </xdr:to>
    <xdr:pic>
      <xdr:nvPicPr>
        <xdr:cNvPr id="4758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335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11</xdr:col>
      <xdr:colOff>104775</xdr:colOff>
      <xdr:row>5</xdr:row>
      <xdr:rowOff>133350</xdr:rowOff>
    </xdr:to>
    <xdr:pic>
      <xdr:nvPicPr>
        <xdr:cNvPr id="8102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0"/>
          <a:ext cx="19335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10</xdr:col>
      <xdr:colOff>76200</xdr:colOff>
      <xdr:row>6</xdr:row>
      <xdr:rowOff>95250</xdr:rowOff>
    </xdr:to>
    <xdr:pic>
      <xdr:nvPicPr>
        <xdr:cNvPr id="51359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52400"/>
          <a:ext cx="19240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76200</xdr:colOff>
      <xdr:row>5</xdr:row>
      <xdr:rowOff>133350</xdr:rowOff>
    </xdr:to>
    <xdr:pic>
      <xdr:nvPicPr>
        <xdr:cNvPr id="9944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240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104775</xdr:colOff>
      <xdr:row>5</xdr:row>
      <xdr:rowOff>152400</xdr:rowOff>
    </xdr:to>
    <xdr:pic>
      <xdr:nvPicPr>
        <xdr:cNvPr id="11973" name="Picture 31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526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10</xdr:col>
      <xdr:colOff>76200</xdr:colOff>
      <xdr:row>6</xdr:row>
      <xdr:rowOff>95250</xdr:rowOff>
    </xdr:to>
    <xdr:pic>
      <xdr:nvPicPr>
        <xdr:cNvPr id="43394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52400"/>
          <a:ext cx="19240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%20JFPB%20Dist%20Terc%20V6%2027-10-2021%20VLR%20PREV-ADM-CARLO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erceirizados Atuais"/>
      <sheetName val="Apoio Adm e Limpeza EP"/>
      <sheetName val="Apoio Adm e Limpeza TR"/>
      <sheetName val="Custos Atuais"/>
      <sheetName val="TABELAS 4"/>
      <sheetName val="TABELAS..."/>
      <sheetName val="Plan3"/>
      <sheetName val="Novo Levantamento"/>
      <sheetName val="Novo Levantamento (2)"/>
      <sheetName val="Equipamentos"/>
      <sheetName val="Plan1"/>
    </sheetNames>
    <sheetDataSet>
      <sheetData sheetId="0">
        <row r="12">
          <cell r="L12">
            <v>28</v>
          </cell>
        </row>
        <row r="101">
          <cell r="M101">
            <v>228000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0"/>
    <pageSetUpPr fitToPage="1"/>
  </sheetPr>
  <dimension ref="A1:AJ32"/>
  <sheetViews>
    <sheetView showGridLines="0" zoomScale="115" zoomScaleNormal="115" workbookViewId="0">
      <selection activeCell="D17" sqref="D17"/>
    </sheetView>
  </sheetViews>
  <sheetFormatPr defaultRowHeight="12.75"/>
  <cols>
    <col min="1" max="1" width="32.140625" style="7" customWidth="1"/>
    <col min="2" max="2" width="73" style="7" customWidth="1"/>
    <col min="3" max="16384" width="9.140625" style="5"/>
  </cols>
  <sheetData>
    <row r="1" spans="1:6" ht="15.6" customHeight="1">
      <c r="A1" s="571"/>
      <c r="B1" s="571"/>
      <c r="C1" s="1"/>
      <c r="D1" s="1"/>
      <c r="E1" s="1"/>
      <c r="F1" s="1"/>
    </row>
    <row r="2" spans="1:6" ht="15.6" customHeight="1">
      <c r="A2" s="570" t="s">
        <v>26</v>
      </c>
      <c r="B2" s="570"/>
      <c r="C2" s="3"/>
      <c r="D2" s="3"/>
      <c r="E2" s="3"/>
      <c r="F2" s="3"/>
    </row>
    <row r="3" spans="1:6" ht="15.6" customHeight="1">
      <c r="A3" s="570" t="s">
        <v>27</v>
      </c>
      <c r="B3" s="570"/>
      <c r="C3" s="3"/>
      <c r="D3" s="3"/>
      <c r="E3" s="3"/>
      <c r="F3" s="3"/>
    </row>
    <row r="4" spans="1:6" ht="15.6" customHeight="1">
      <c r="A4" s="570" t="s">
        <v>329</v>
      </c>
      <c r="B4" s="570"/>
      <c r="C4" s="3"/>
      <c r="D4" s="3"/>
      <c r="E4" s="3"/>
      <c r="F4" s="3"/>
    </row>
    <row r="5" spans="1:6" ht="15.6" customHeight="1">
      <c r="A5"/>
      <c r="C5" s="2"/>
      <c r="D5" s="2"/>
      <c r="E5" s="2"/>
      <c r="F5" s="2"/>
    </row>
    <row r="6" spans="1:6" ht="15.6" customHeight="1"/>
    <row r="7" spans="1:6">
      <c r="A7" s="574" t="s">
        <v>29</v>
      </c>
      <c r="B7" s="572" t="s">
        <v>330</v>
      </c>
    </row>
    <row r="8" spans="1:6">
      <c r="A8" s="575"/>
      <c r="B8" s="573"/>
    </row>
    <row r="9" spans="1:6" ht="66" customHeight="1">
      <c r="A9" s="562" t="s">
        <v>28</v>
      </c>
      <c r="B9" s="566" t="s">
        <v>331</v>
      </c>
    </row>
    <row r="10" spans="1:6">
      <c r="A10" s="563"/>
      <c r="B10" s="567"/>
    </row>
    <row r="11" spans="1:6">
      <c r="A11" s="562" t="s">
        <v>30</v>
      </c>
      <c r="B11" s="568" t="s">
        <v>136</v>
      </c>
    </row>
    <row r="12" spans="1:6">
      <c r="A12" s="563"/>
      <c r="B12" s="569"/>
    </row>
    <row r="13" spans="1:6">
      <c r="A13" s="562" t="s">
        <v>31</v>
      </c>
      <c r="B13" s="564" t="s">
        <v>32</v>
      </c>
    </row>
    <row r="14" spans="1:6">
      <c r="A14" s="563"/>
      <c r="B14" s="565"/>
    </row>
    <row r="15" spans="1:6">
      <c r="A15" s="562" t="s">
        <v>33</v>
      </c>
      <c r="B15" s="564" t="s">
        <v>58</v>
      </c>
    </row>
    <row r="16" spans="1:6">
      <c r="A16" s="563"/>
      <c r="B16" s="565"/>
    </row>
    <row r="17" spans="1:36">
      <c r="A17" s="562" t="s">
        <v>168</v>
      </c>
      <c r="B17" s="564">
        <v>36</v>
      </c>
    </row>
    <row r="18" spans="1:36">
      <c r="A18" s="563"/>
      <c r="B18" s="565"/>
    </row>
    <row r="19" spans="1:36" ht="66" customHeight="1">
      <c r="A19" s="562" t="s">
        <v>34</v>
      </c>
      <c r="B19" s="566" t="s">
        <v>392</v>
      </c>
    </row>
    <row r="20" spans="1:36">
      <c r="A20" s="563"/>
      <c r="B20" s="567"/>
    </row>
    <row r="21" spans="1:36">
      <c r="A21" s="562" t="s">
        <v>35</v>
      </c>
      <c r="B21" s="564"/>
    </row>
    <row r="22" spans="1:36">
      <c r="A22" s="563"/>
      <c r="B22" s="565"/>
    </row>
    <row r="25" spans="1:36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</row>
    <row r="26" spans="1:36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</row>
    <row r="27" spans="1:36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</row>
    <row r="28" spans="1:36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</row>
    <row r="29" spans="1:36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</row>
    <row r="30" spans="1:36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</row>
    <row r="31" spans="1:36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</row>
    <row r="32" spans="1:36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</row>
  </sheetData>
  <mergeCells count="20">
    <mergeCell ref="B17:B18"/>
    <mergeCell ref="A3:B3"/>
    <mergeCell ref="A2:B2"/>
    <mergeCell ref="A1:B1"/>
    <mergeCell ref="B19:B20"/>
    <mergeCell ref="B21:B22"/>
    <mergeCell ref="B7:B8"/>
    <mergeCell ref="A7:A8"/>
    <mergeCell ref="A4:B4"/>
    <mergeCell ref="A9:A10"/>
    <mergeCell ref="A17:A18"/>
    <mergeCell ref="A19:A20"/>
    <mergeCell ref="A21:A22"/>
    <mergeCell ref="B15:B16"/>
    <mergeCell ref="B9:B10"/>
    <mergeCell ref="A11:A12"/>
    <mergeCell ref="B11:B12"/>
    <mergeCell ref="A13:A14"/>
    <mergeCell ref="B13:B14"/>
    <mergeCell ref="A15:A16"/>
  </mergeCells>
  <pageMargins left="0.51181102362204722" right="0.51181102362204722" top="0.78740157480314965" bottom="0.78740157480314965" header="0.31496062992125984" footer="0.31496062992125984"/>
  <pageSetup paperSize="9" scale="8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</sheetPr>
  <dimension ref="A1:AQ160"/>
  <sheetViews>
    <sheetView showGridLines="0" topLeftCell="A64" zoomScale="115" zoomScaleNormal="115" zoomScaleSheetLayoutView="120" workbookViewId="0">
      <selection activeCell="A76" sqref="A76:AJ76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6" width="3.85546875" style="34" customWidth="1"/>
    <col min="37" max="37" width="2.42578125" style="34" customWidth="1"/>
    <col min="38" max="38" width="13" style="130" customWidth="1"/>
    <col min="39" max="42" width="2.42578125" style="34"/>
    <col min="43" max="43" width="3.5703125" style="34" customWidth="1"/>
    <col min="44" max="16384" width="2.42578125" style="34"/>
  </cols>
  <sheetData>
    <row r="1" spans="1:38" ht="15" customHeight="1">
      <c r="A1" s="854"/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  <c r="AI1" s="854"/>
      <c r="AJ1" s="854"/>
    </row>
    <row r="2" spans="1:38" ht="15" customHeight="1">
      <c r="A2" s="855" t="s">
        <v>26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  <c r="S2" s="855"/>
      <c r="T2" s="855"/>
      <c r="U2" s="855"/>
      <c r="V2" s="855"/>
      <c r="W2" s="855"/>
      <c r="X2" s="855"/>
      <c r="Y2" s="855"/>
      <c r="Z2" s="855"/>
      <c r="AA2" s="855"/>
      <c r="AB2" s="855"/>
      <c r="AC2" s="855"/>
      <c r="AD2" s="855"/>
      <c r="AE2" s="855"/>
      <c r="AF2" s="855"/>
      <c r="AG2" s="855"/>
      <c r="AH2" s="855"/>
      <c r="AI2" s="855"/>
      <c r="AJ2" s="855"/>
    </row>
    <row r="3" spans="1:38" ht="15" customHeight="1">
      <c r="A3" s="855" t="s">
        <v>27</v>
      </c>
      <c r="B3" s="855"/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  <c r="AB3" s="855"/>
      <c r="AC3" s="855"/>
      <c r="AD3" s="855"/>
      <c r="AE3" s="855"/>
      <c r="AF3" s="855"/>
      <c r="AG3" s="855"/>
      <c r="AH3" s="855"/>
      <c r="AI3" s="855"/>
      <c r="AJ3" s="855"/>
    </row>
    <row r="4" spans="1:38" ht="15" customHeight="1">
      <c r="A4" s="855" t="s">
        <v>329</v>
      </c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B4" s="855"/>
      <c r="AC4" s="855"/>
      <c r="AD4" s="855"/>
      <c r="AE4" s="855"/>
      <c r="AF4" s="855"/>
      <c r="AG4" s="855"/>
      <c r="AH4" s="855"/>
      <c r="AI4" s="855"/>
      <c r="AJ4" s="855"/>
    </row>
    <row r="5" spans="1:38" ht="15" customHeight="1">
      <c r="A5" s="854"/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854"/>
      <c r="W5" s="854"/>
      <c r="X5" s="854"/>
      <c r="Y5" s="854"/>
      <c r="Z5" s="854"/>
      <c r="AA5" s="854"/>
      <c r="AB5" s="854"/>
      <c r="AC5" s="854"/>
      <c r="AD5" s="854"/>
      <c r="AE5" s="854"/>
      <c r="AF5" s="854"/>
      <c r="AG5" s="854"/>
      <c r="AH5" s="854"/>
      <c r="AI5" s="854"/>
      <c r="AJ5" s="854"/>
    </row>
    <row r="6" spans="1:38" ht="15" customHeight="1">
      <c r="A6" s="854"/>
      <c r="B6" s="854"/>
      <c r="C6" s="854"/>
      <c r="D6" s="854"/>
      <c r="E6" s="854"/>
      <c r="F6" s="854"/>
      <c r="G6" s="854"/>
      <c r="H6" s="854"/>
      <c r="I6" s="854"/>
      <c r="J6" s="854"/>
      <c r="K6" s="854"/>
      <c r="L6" s="854"/>
      <c r="M6" s="854"/>
      <c r="N6" s="854"/>
      <c r="O6" s="854"/>
      <c r="P6" s="854"/>
      <c r="Q6" s="854"/>
      <c r="R6" s="854"/>
      <c r="S6" s="854"/>
      <c r="T6" s="854"/>
      <c r="U6" s="854"/>
      <c r="V6" s="854"/>
      <c r="W6" s="854"/>
      <c r="X6" s="854"/>
      <c r="Y6" s="854"/>
      <c r="Z6" s="854"/>
      <c r="AA6" s="854"/>
      <c r="AB6" s="854"/>
      <c r="AC6" s="854"/>
      <c r="AD6" s="854"/>
      <c r="AE6" s="854"/>
      <c r="AF6" s="854"/>
      <c r="AG6" s="854"/>
      <c r="AH6" s="854"/>
      <c r="AI6" s="854"/>
      <c r="AJ6" s="854"/>
    </row>
    <row r="7" spans="1:38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  <c r="AL7" s="131"/>
    </row>
    <row r="8" spans="1:38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  <c r="AL8" s="131"/>
    </row>
    <row r="9" spans="1:38" s="35" customFormat="1" ht="14.45" customHeight="1">
      <c r="A9" s="856" t="s">
        <v>389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  <c r="AL9" s="131"/>
    </row>
    <row r="10" spans="1:38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  <c r="AL10" s="131"/>
    </row>
    <row r="11" spans="1:38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  <c r="AL11" s="131"/>
    </row>
    <row r="12" spans="1:38" s="35" customFormat="1" ht="14.45" customHeight="1">
      <c r="A12" s="860" t="s">
        <v>144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  <c r="R12" s="861"/>
      <c r="S12" s="861"/>
      <c r="T12" s="861"/>
      <c r="U12" s="861"/>
      <c r="V12" s="861"/>
      <c r="W12" s="861"/>
      <c r="X12" s="861"/>
      <c r="Y12" s="861"/>
      <c r="Z12" s="861"/>
      <c r="AA12" s="861"/>
      <c r="AB12" s="861"/>
      <c r="AC12" s="861"/>
      <c r="AD12" s="861"/>
      <c r="AE12" s="861"/>
      <c r="AF12" s="861"/>
      <c r="AG12" s="861"/>
      <c r="AH12" s="861"/>
      <c r="AI12" s="861"/>
      <c r="AJ12" s="862"/>
      <c r="AL12" s="131"/>
    </row>
    <row r="13" spans="1:38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  <c r="AL13" s="131"/>
    </row>
    <row r="14" spans="1:38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L14" s="131"/>
    </row>
    <row r="15" spans="1:38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  <c r="AL15" s="131"/>
    </row>
    <row r="16" spans="1:38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  <c r="AL16" s="131"/>
    </row>
    <row r="17" spans="1:38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  <c r="AL17" s="131"/>
    </row>
    <row r="18" spans="1:38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  <c r="AL18" s="131"/>
    </row>
    <row r="19" spans="1:38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  <c r="AL19" s="131"/>
    </row>
    <row r="20" spans="1:38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L20" s="131"/>
    </row>
    <row r="21" spans="1:38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  <c r="AL21" s="131"/>
    </row>
    <row r="22" spans="1:38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335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  <c r="AL22" s="131"/>
    </row>
    <row r="23" spans="1:38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  <c r="AL23" s="131"/>
    </row>
    <row r="24" spans="1:38" s="35" customFormat="1" ht="14.45" customHeight="1">
      <c r="A24" s="832" t="s">
        <v>390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  <c r="AL24" s="131"/>
    </row>
    <row r="25" spans="1:38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L25" s="131"/>
    </row>
    <row r="26" spans="1:38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  <c r="AL26" s="131"/>
    </row>
    <row r="27" spans="1:38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L27" s="131"/>
    </row>
    <row r="28" spans="1:38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  <c r="AL28" s="131"/>
    </row>
    <row r="29" spans="1:38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  <c r="AL29" s="131"/>
    </row>
    <row r="30" spans="1:38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819" t="s">
        <v>218</v>
      </c>
      <c r="AE30" s="819"/>
      <c r="AF30" s="819"/>
      <c r="AG30" s="819"/>
      <c r="AH30" s="819"/>
      <c r="AI30" s="819"/>
      <c r="AJ30" s="819"/>
      <c r="AL30" s="131"/>
    </row>
    <row r="31" spans="1:38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819" t="s">
        <v>225</v>
      </c>
      <c r="AE31" s="819"/>
      <c r="AF31" s="819"/>
      <c r="AG31" s="819"/>
      <c r="AH31" s="819"/>
      <c r="AI31" s="819"/>
      <c r="AJ31" s="819"/>
      <c r="AL31" s="131"/>
    </row>
    <row r="32" spans="1:38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v>1103</v>
      </c>
      <c r="AE32" s="820"/>
      <c r="AF32" s="820"/>
      <c r="AG32" s="820"/>
      <c r="AH32" s="820"/>
      <c r="AI32" s="820"/>
      <c r="AJ32" s="820"/>
      <c r="AL32" s="131"/>
    </row>
    <row r="33" spans="1:38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19" t="s">
        <v>221</v>
      </c>
      <c r="AE33" s="819"/>
      <c r="AF33" s="819"/>
      <c r="AG33" s="819"/>
      <c r="AH33" s="819"/>
      <c r="AI33" s="819"/>
      <c r="AJ33" s="819"/>
      <c r="AL33" s="131"/>
    </row>
    <row r="34" spans="1:38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  <c r="AL34" s="131"/>
    </row>
    <row r="35" spans="1:38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L35" s="131"/>
    </row>
    <row r="36" spans="1:38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8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  <c r="AL37" s="132"/>
    </row>
    <row r="38" spans="1:38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1103</v>
      </c>
      <c r="AE38" s="775"/>
      <c r="AF38" s="775"/>
      <c r="AG38" s="775"/>
      <c r="AH38" s="775"/>
      <c r="AI38" s="775"/>
      <c r="AJ38" s="776"/>
    </row>
    <row r="39" spans="1:38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8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41"/>
      <c r="Z40" s="742"/>
      <c r="AA40" s="742"/>
      <c r="AB40" s="742"/>
      <c r="AC40" s="743"/>
      <c r="AD40" s="744"/>
      <c r="AE40" s="745"/>
      <c r="AF40" s="745"/>
      <c r="AG40" s="745"/>
      <c r="AH40" s="745"/>
      <c r="AI40" s="745"/>
      <c r="AJ40" s="746"/>
    </row>
    <row r="41" spans="1:38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8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8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8" ht="14.45" customHeight="1">
      <c r="A44" s="722" t="s">
        <v>8</v>
      </c>
      <c r="B44" s="723"/>
      <c r="C44" s="724" t="s">
        <v>11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14"/>
      <c r="Z44" s="811"/>
      <c r="AA44" s="811"/>
      <c r="AB44" s="811"/>
      <c r="AC44" s="812"/>
      <c r="AD44" s="744"/>
      <c r="AE44" s="745"/>
      <c r="AF44" s="745"/>
      <c r="AG44" s="745"/>
      <c r="AH44" s="745"/>
      <c r="AI44" s="745"/>
      <c r="AJ44" s="746"/>
    </row>
    <row r="45" spans="1:38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1103</v>
      </c>
      <c r="AE45" s="692"/>
      <c r="AF45" s="692"/>
      <c r="AG45" s="692"/>
      <c r="AH45" s="692"/>
      <c r="AI45" s="692"/>
      <c r="AJ45" s="693"/>
    </row>
    <row r="46" spans="1:38" ht="14.45" customHeight="1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2"/>
      <c r="Z46" s="122"/>
      <c r="AA46" s="122"/>
      <c r="AB46" s="122"/>
      <c r="AC46" s="122"/>
      <c r="AD46" s="61"/>
      <c r="AE46" s="61"/>
      <c r="AF46" s="61"/>
      <c r="AG46" s="61"/>
      <c r="AH46" s="61"/>
      <c r="AI46" s="61"/>
      <c r="AJ46" s="61"/>
    </row>
    <row r="47" spans="1:38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8" ht="14.45" customHeight="1">
      <c r="A48" s="813" t="s">
        <v>280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91.916666666666657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30.638888888888886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122.55555555555554</v>
      </c>
      <c r="AE52" s="692"/>
      <c r="AF52" s="692"/>
      <c r="AG52" s="692"/>
      <c r="AH52" s="692"/>
      <c r="AI52" s="692"/>
      <c r="AJ52" s="693"/>
    </row>
    <row r="53" spans="1:36" ht="14.45" customHeight="1">
      <c r="A53" s="121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2"/>
      <c r="Z53" s="122"/>
      <c r="AA53" s="122"/>
      <c r="AB53" s="122"/>
      <c r="AC53" s="122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245.11111111111114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30.638888888888893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36.766666666666666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18.383333333333333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12.255555555555556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7.3533333333333344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2.4511111111111115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98.044444444444451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451.00444444444452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109.82000000000001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142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454.82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122.55555555555554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451.00444444444452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454.82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1028.3800000000001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4.5958333333333332</v>
      </c>
      <c r="AE85" s="775"/>
      <c r="AF85" s="775"/>
      <c r="AG85" s="775"/>
      <c r="AH85" s="775"/>
      <c r="AI85" s="775"/>
      <c r="AJ85" s="776"/>
      <c r="AL85" s="149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0.36766666666666664</v>
      </c>
      <c r="AE86" s="775"/>
      <c r="AF86" s="775"/>
      <c r="AG86" s="775"/>
      <c r="AH86" s="775"/>
      <c r="AI86" s="775"/>
      <c r="AJ86" s="776"/>
      <c r="AL86" s="149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40.05115555555556</v>
      </c>
      <c r="AE87" s="775"/>
      <c r="AF87" s="775"/>
      <c r="AG87" s="775"/>
      <c r="AH87" s="775"/>
      <c r="AI87" s="775"/>
      <c r="AJ87" s="776"/>
      <c r="AL87" s="149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41.4435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7.8925777777777792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0.68631111111111132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95.037044444444447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91.916666666666657</v>
      </c>
      <c r="AE96" s="775"/>
      <c r="AF96" s="775"/>
      <c r="AG96" s="775"/>
      <c r="AH96" s="775"/>
      <c r="AI96" s="775"/>
      <c r="AJ96" s="776"/>
      <c r="AK96" s="130"/>
      <c r="AL96" s="133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15.3317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0.22060000000000002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3.0884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1.4339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0.77210000000000001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21.647396296296296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41.49691893333334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175.90768189629631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7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7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7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175.90768189629631</v>
      </c>
      <c r="AE115" s="775"/>
      <c r="AF115" s="775"/>
      <c r="AG115" s="775"/>
      <c r="AH115" s="775"/>
      <c r="AI115" s="775"/>
      <c r="AJ115" s="776"/>
    </row>
    <row r="116" spans="1:37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7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175.90768189629631</v>
      </c>
      <c r="AE117" s="692"/>
      <c r="AF117" s="692"/>
      <c r="AG117" s="692"/>
      <c r="AH117" s="692"/>
      <c r="AI117" s="692"/>
      <c r="AJ117" s="693"/>
    </row>
    <row r="118" spans="1:37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7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7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7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'Fardamentos e EPI´s - ASG'!H20</f>
        <v>135.04333333333332</v>
      </c>
      <c r="AE121" s="772"/>
      <c r="AF121" s="772"/>
      <c r="AG121" s="772"/>
      <c r="AH121" s="772"/>
      <c r="AI121" s="772"/>
      <c r="AJ121" s="773"/>
    </row>
    <row r="122" spans="1:37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7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>
        <f>'Equip. e Ferramentas - Preço'!O165</f>
        <v>155.14487882758621</v>
      </c>
      <c r="AE123" s="772"/>
      <c r="AF123" s="772"/>
      <c r="AG123" s="772"/>
      <c r="AH123" s="772"/>
      <c r="AI123" s="772"/>
      <c r="AJ123" s="773"/>
    </row>
    <row r="124" spans="1:37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290.18821216091953</v>
      </c>
      <c r="AE124" s="692"/>
      <c r="AF124" s="692"/>
      <c r="AG124" s="692"/>
      <c r="AH124" s="692"/>
      <c r="AI124" s="692"/>
      <c r="AJ124" s="693"/>
    </row>
    <row r="125" spans="1:37" ht="14.45" customHeight="1"/>
    <row r="126" spans="1:37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7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7" ht="14.45" customHeight="1">
      <c r="A128" s="736" t="s">
        <v>0</v>
      </c>
      <c r="B128" s="737"/>
      <c r="C128" s="757" t="s">
        <v>326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80.775388155049825</v>
      </c>
      <c r="AE128" s="745"/>
      <c r="AF128" s="745"/>
      <c r="AG128" s="745"/>
      <c r="AH128" s="745"/>
      <c r="AI128" s="745"/>
      <c r="AJ128" s="746"/>
      <c r="AK128" s="130"/>
    </row>
    <row r="129" spans="1:37" ht="14.45" customHeight="1">
      <c r="A129" s="736" t="s">
        <v>1</v>
      </c>
      <c r="B129" s="737"/>
      <c r="C129" s="757" t="s">
        <v>325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182.82162852426276</v>
      </c>
      <c r="AE129" s="745"/>
      <c r="AF129" s="745"/>
      <c r="AG129" s="745"/>
      <c r="AH129" s="745"/>
      <c r="AI129" s="745"/>
      <c r="AJ129" s="746"/>
      <c r="AK129" s="130"/>
    </row>
    <row r="130" spans="1:37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</row>
    <row r="131" spans="1:37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7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97.080786705450677</v>
      </c>
      <c r="AE132" s="745"/>
      <c r="AF132" s="745"/>
      <c r="AG132" s="745"/>
      <c r="AH132" s="745"/>
      <c r="AI132" s="745"/>
      <c r="AJ132" s="746"/>
      <c r="AK132" s="130"/>
    </row>
    <row r="133" spans="1:37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21.034170452847647</v>
      </c>
      <c r="AE133" s="745"/>
      <c r="AF133" s="745"/>
      <c r="AG133" s="745"/>
      <c r="AH133" s="745"/>
      <c r="AI133" s="745"/>
      <c r="AJ133" s="746"/>
      <c r="AK133" s="134"/>
    </row>
    <row r="134" spans="1:37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161.80131117575115</v>
      </c>
      <c r="AE134" s="745"/>
      <c r="AF134" s="745"/>
      <c r="AG134" s="745"/>
      <c r="AH134" s="745"/>
      <c r="AI134" s="745"/>
      <c r="AJ134" s="746"/>
      <c r="AK134" s="130"/>
    </row>
    <row r="135" spans="1:37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543.51328501336207</v>
      </c>
      <c r="AE135" s="747"/>
      <c r="AF135" s="747"/>
      <c r="AG135" s="747"/>
      <c r="AH135" s="747"/>
      <c r="AI135" s="747"/>
      <c r="AJ135" s="747"/>
      <c r="AK135" s="130"/>
    </row>
    <row r="136" spans="1:37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7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7" ht="14.4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0"/>
    </row>
    <row r="139" spans="1:37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7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1103</v>
      </c>
      <c r="AE140" s="720"/>
      <c r="AF140" s="720"/>
      <c r="AG140" s="720"/>
      <c r="AH140" s="720"/>
      <c r="AI140" s="720"/>
      <c r="AJ140" s="721"/>
      <c r="AK140" s="130"/>
    </row>
    <row r="141" spans="1:37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1028.3800000000001</v>
      </c>
      <c r="AE141" s="720"/>
      <c r="AF141" s="720"/>
      <c r="AG141" s="720"/>
      <c r="AH141" s="720"/>
      <c r="AI141" s="720"/>
      <c r="AJ141" s="721"/>
      <c r="AK141" s="130"/>
    </row>
    <row r="142" spans="1:37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95.037044444444447</v>
      </c>
      <c r="AE142" s="720"/>
      <c r="AF142" s="720"/>
      <c r="AG142" s="720"/>
      <c r="AH142" s="720"/>
      <c r="AI142" s="720"/>
      <c r="AJ142" s="721"/>
      <c r="AK142" s="130"/>
    </row>
    <row r="143" spans="1:37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175.90768189629631</v>
      </c>
      <c r="AE143" s="720"/>
      <c r="AF143" s="720"/>
      <c r="AG143" s="720"/>
      <c r="AH143" s="720"/>
      <c r="AI143" s="720"/>
      <c r="AJ143" s="721"/>
      <c r="AK143" s="130"/>
    </row>
    <row r="144" spans="1:37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290.18821216091953</v>
      </c>
      <c r="AE144" s="720"/>
      <c r="AF144" s="720"/>
      <c r="AG144" s="720"/>
      <c r="AH144" s="720"/>
      <c r="AI144" s="720"/>
      <c r="AJ144" s="721"/>
      <c r="AK144" s="130"/>
    </row>
    <row r="145" spans="1:37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2692.5129385016603</v>
      </c>
      <c r="AE145" s="720"/>
      <c r="AF145" s="720"/>
      <c r="AG145" s="720"/>
      <c r="AH145" s="720"/>
      <c r="AI145" s="720"/>
      <c r="AJ145" s="721"/>
      <c r="AK145" s="130"/>
    </row>
    <row r="146" spans="1:37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543.51328501336207</v>
      </c>
      <c r="AE146" s="720"/>
      <c r="AF146" s="720"/>
      <c r="AG146" s="720"/>
      <c r="AH146" s="720"/>
      <c r="AI146" s="720"/>
      <c r="AJ146" s="721"/>
      <c r="AK146" s="130"/>
    </row>
    <row r="147" spans="1:37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3236.0262235150226</v>
      </c>
      <c r="AE147" s="692"/>
      <c r="AF147" s="692"/>
      <c r="AG147" s="692"/>
      <c r="AH147" s="692"/>
      <c r="AI147" s="692"/>
      <c r="AJ147" s="693"/>
      <c r="AK147" s="130"/>
    </row>
    <row r="148" spans="1:37" ht="14.45" customHeight="1"/>
    <row r="149" spans="1:37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7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7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7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7" ht="34.15" customHeight="1">
      <c r="A153" s="701" t="str">
        <f>A24</f>
        <v>SERVIÇO DE LIMPEZA (CAMPINA GRANDE)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3236.0262235150226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3236.0262235150226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3236.0262235150226</v>
      </c>
      <c r="AF153" s="714"/>
      <c r="AG153" s="714"/>
      <c r="AH153" s="714"/>
      <c r="AI153" s="714"/>
      <c r="AJ153" s="715"/>
    </row>
    <row r="154" spans="1:37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3236.03</v>
      </c>
      <c r="AF154" s="686"/>
      <c r="AG154" s="686"/>
      <c r="AH154" s="686"/>
      <c r="AI154" s="686"/>
      <c r="AJ154" s="686"/>
    </row>
    <row r="155" spans="1:37" ht="14.45" customHeight="1"/>
    <row r="156" spans="1:37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7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7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7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3236.03</v>
      </c>
      <c r="AE159" s="700"/>
      <c r="AF159" s="700"/>
      <c r="AG159" s="700"/>
      <c r="AH159" s="700"/>
      <c r="AI159" s="700"/>
      <c r="AJ159" s="700"/>
    </row>
    <row r="160" spans="1:37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116497.08</v>
      </c>
      <c r="AE160" s="684"/>
      <c r="AF160" s="684"/>
      <c r="AG160" s="684"/>
      <c r="AH160" s="684"/>
      <c r="AI160" s="684"/>
      <c r="AJ160" s="684"/>
    </row>
  </sheetData>
  <mergeCells count="392">
    <mergeCell ref="A106:X106"/>
    <mergeCell ref="Y106:AC106"/>
    <mergeCell ref="AD106:AJ106"/>
    <mergeCell ref="A104:AC104"/>
    <mergeCell ref="AD104:AJ104"/>
    <mergeCell ref="A105:B105"/>
    <mergeCell ref="C105:X105"/>
    <mergeCell ref="Y105:AC105"/>
    <mergeCell ref="AD105:AJ105"/>
    <mergeCell ref="A102:X102"/>
    <mergeCell ref="Y102:AC102"/>
    <mergeCell ref="AD102:AJ102"/>
    <mergeCell ref="A103:B103"/>
    <mergeCell ref="C103:X103"/>
    <mergeCell ref="Y103:AC103"/>
    <mergeCell ref="AD103:AJ103"/>
    <mergeCell ref="A100:B100"/>
    <mergeCell ref="C100:X100"/>
    <mergeCell ref="Y100:AC100"/>
    <mergeCell ref="AD100:AJ100"/>
    <mergeCell ref="A101:B101"/>
    <mergeCell ref="C101:X101"/>
    <mergeCell ref="Y101:AC101"/>
    <mergeCell ref="AD101:AJ101"/>
    <mergeCell ref="A98:B98"/>
    <mergeCell ref="C98:X98"/>
    <mergeCell ref="Y98:AC98"/>
    <mergeCell ref="AD98:AJ98"/>
    <mergeCell ref="A99:B99"/>
    <mergeCell ref="C99:X99"/>
    <mergeCell ref="Y99:AC99"/>
    <mergeCell ref="AD99:AJ99"/>
    <mergeCell ref="A96:B96"/>
    <mergeCell ref="C96:X96"/>
    <mergeCell ref="Y96:AC96"/>
    <mergeCell ref="AD96:AJ96"/>
    <mergeCell ref="A97:B97"/>
    <mergeCell ref="C97:X97"/>
    <mergeCell ref="Y97:AC97"/>
    <mergeCell ref="AD97:AJ97"/>
    <mergeCell ref="A93:AJ93"/>
    <mergeCell ref="A94:AJ94"/>
    <mergeCell ref="A95:B95"/>
    <mergeCell ref="C95:X95"/>
    <mergeCell ref="Y95:AC95"/>
    <mergeCell ref="AD95:AJ95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Y84:AC84"/>
    <mergeCell ref="AD84:AJ84"/>
    <mergeCell ref="A85:B85"/>
    <mergeCell ref="C85:X85"/>
    <mergeCell ref="Y85:AC85"/>
    <mergeCell ref="AD85:AJ85"/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  <mergeCell ref="AD159:AJ159"/>
    <mergeCell ref="A153:L153"/>
    <mergeCell ref="M153:Q153"/>
    <mergeCell ref="R153:V153"/>
    <mergeCell ref="W153:AA153"/>
    <mergeCell ref="AB153:AD153"/>
    <mergeCell ref="AE153:AJ153"/>
    <mergeCell ref="A152:L152"/>
    <mergeCell ref="M152:Q152"/>
    <mergeCell ref="R152:V152"/>
    <mergeCell ref="W152:AA152"/>
    <mergeCell ref="AB152:AD152"/>
    <mergeCell ref="AE152:AJ15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A145:AC145"/>
    <mergeCell ref="AD145:AJ145"/>
    <mergeCell ref="A146:B146"/>
    <mergeCell ref="C146:AC146"/>
    <mergeCell ref="AD146:AJ146"/>
    <mergeCell ref="A147:AC147"/>
    <mergeCell ref="AD147:AJ147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37:AJ137"/>
    <mergeCell ref="A139:AC139"/>
    <mergeCell ref="AD139:AJ139"/>
    <mergeCell ref="A140:B140"/>
    <mergeCell ref="C140:AC140"/>
    <mergeCell ref="AD140:AJ140"/>
    <mergeCell ref="A134:B134"/>
    <mergeCell ref="C134:X134"/>
    <mergeCell ref="Y134:AC134"/>
    <mergeCell ref="AD134:AJ134"/>
    <mergeCell ref="A135:AC135"/>
    <mergeCell ref="AD135:AJ135"/>
    <mergeCell ref="A132:B132"/>
    <mergeCell ref="C132:X132"/>
    <mergeCell ref="Y132:AC132"/>
    <mergeCell ref="AD132:AJ132"/>
    <mergeCell ref="A133:B133"/>
    <mergeCell ref="C133:X133"/>
    <mergeCell ref="Y133:AC133"/>
    <mergeCell ref="AD133:AJ133"/>
    <mergeCell ref="A129:B129"/>
    <mergeCell ref="C129:X129"/>
    <mergeCell ref="Y129:AC129"/>
    <mergeCell ref="AD129:AJ129"/>
    <mergeCell ref="Y130:AC130"/>
    <mergeCell ref="A131:B131"/>
    <mergeCell ref="C131:X131"/>
    <mergeCell ref="Y131:AC131"/>
    <mergeCell ref="A127:B127"/>
    <mergeCell ref="C127:X127"/>
    <mergeCell ref="Y127:AC127"/>
    <mergeCell ref="AD127:AJ127"/>
    <mergeCell ref="A128:B128"/>
    <mergeCell ref="C128:X128"/>
    <mergeCell ref="Y128:AC128"/>
    <mergeCell ref="AD128:AJ128"/>
    <mergeCell ref="A124:AC124"/>
    <mergeCell ref="AD124:AJ124"/>
    <mergeCell ref="A126:AJ126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10:B110"/>
    <mergeCell ref="C110:AC110"/>
    <mergeCell ref="AD110:AJ110"/>
    <mergeCell ref="A111:AC111"/>
    <mergeCell ref="AD111:AJ111"/>
    <mergeCell ref="A112:AJ112"/>
    <mergeCell ref="A107:AJ107"/>
    <mergeCell ref="A108:AJ108"/>
    <mergeCell ref="A109:B109"/>
    <mergeCell ref="C109:X109"/>
    <mergeCell ref="Y109:AC109"/>
    <mergeCell ref="AD109:AJ109"/>
    <mergeCell ref="A92:AJ92"/>
    <mergeCell ref="A80:B80"/>
    <mergeCell ref="C80:AC80"/>
    <mergeCell ref="AD80:AJ80"/>
    <mergeCell ref="A81:AC81"/>
    <mergeCell ref="AD81:AJ81"/>
    <mergeCell ref="A82:AJ82"/>
    <mergeCell ref="A83:AJ83"/>
    <mergeCell ref="A84:B84"/>
    <mergeCell ref="C84:X84"/>
    <mergeCell ref="A78:B78"/>
    <mergeCell ref="C78:AC78"/>
    <mergeCell ref="AD78:AJ78"/>
    <mergeCell ref="A79:B79"/>
    <mergeCell ref="C79:AC79"/>
    <mergeCell ref="AD79:AJ79"/>
    <mergeCell ref="A74:AC74"/>
    <mergeCell ref="AD74:AJ74"/>
    <mergeCell ref="A75:AJ75"/>
    <mergeCell ref="A76:AJ76"/>
    <mergeCell ref="A77:B77"/>
    <mergeCell ref="C77:AC77"/>
    <mergeCell ref="AD77:AJ7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A1:AQ160"/>
  <sheetViews>
    <sheetView showGridLines="0" topLeftCell="A58" zoomScale="115" zoomScaleNormal="115" zoomScaleSheetLayoutView="120" workbookViewId="0">
      <selection activeCell="Y40" sqref="Y40:AC40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6" width="3.85546875" style="34" customWidth="1"/>
    <col min="37" max="37" width="2.42578125" style="34" customWidth="1"/>
    <col min="38" max="38" width="13" style="34" customWidth="1"/>
    <col min="39" max="42" width="2.42578125" style="34"/>
    <col min="43" max="43" width="3.5703125" style="34" customWidth="1"/>
    <col min="44" max="16384" width="2.42578125" style="34"/>
  </cols>
  <sheetData>
    <row r="1" spans="1:36" ht="15" customHeight="1">
      <c r="A1" s="898"/>
      <c r="B1" s="898"/>
      <c r="C1" s="898"/>
      <c r="D1" s="898"/>
      <c r="E1" s="898"/>
      <c r="F1" s="898"/>
      <c r="G1" s="898"/>
      <c r="H1" s="898"/>
      <c r="I1" s="898"/>
      <c r="J1" s="898"/>
      <c r="K1" s="898"/>
      <c r="L1" s="898"/>
      <c r="M1" s="898"/>
      <c r="N1" s="898"/>
      <c r="O1" s="898"/>
      <c r="P1" s="898"/>
      <c r="Q1" s="898"/>
      <c r="R1" s="898"/>
      <c r="S1" s="898"/>
      <c r="T1" s="898"/>
      <c r="U1" s="898"/>
      <c r="V1" s="898"/>
      <c r="W1" s="898"/>
      <c r="X1" s="898"/>
      <c r="Y1" s="898"/>
      <c r="Z1" s="898"/>
      <c r="AA1" s="898"/>
      <c r="AB1" s="898"/>
      <c r="AC1" s="898"/>
      <c r="AD1" s="898"/>
      <c r="AE1" s="898"/>
      <c r="AF1" s="898"/>
      <c r="AG1" s="898"/>
      <c r="AH1" s="898"/>
      <c r="AI1" s="898"/>
      <c r="AJ1" s="898"/>
    </row>
    <row r="2" spans="1:36" ht="15" customHeight="1">
      <c r="A2" s="899" t="s">
        <v>26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  <c r="L2" s="899"/>
      <c r="M2" s="899"/>
      <c r="N2" s="899"/>
      <c r="O2" s="899"/>
      <c r="P2" s="899"/>
      <c r="Q2" s="899"/>
      <c r="R2" s="899"/>
      <c r="S2" s="899"/>
      <c r="T2" s="899"/>
      <c r="U2" s="899"/>
      <c r="V2" s="899"/>
      <c r="W2" s="899"/>
      <c r="X2" s="899"/>
      <c r="Y2" s="899"/>
      <c r="Z2" s="899"/>
      <c r="AA2" s="899"/>
      <c r="AB2" s="899"/>
      <c r="AC2" s="899"/>
      <c r="AD2" s="899"/>
      <c r="AE2" s="899"/>
      <c r="AF2" s="899"/>
      <c r="AG2" s="899"/>
      <c r="AH2" s="899"/>
      <c r="AI2" s="899"/>
      <c r="AJ2" s="899"/>
    </row>
    <row r="3" spans="1:36" ht="15" customHeight="1">
      <c r="A3" s="899" t="s">
        <v>27</v>
      </c>
      <c r="B3" s="899"/>
      <c r="C3" s="899"/>
      <c r="D3" s="899"/>
      <c r="E3" s="899"/>
      <c r="F3" s="899"/>
      <c r="G3" s="899"/>
      <c r="H3" s="899"/>
      <c r="I3" s="899"/>
      <c r="J3" s="899"/>
      <c r="K3" s="899"/>
      <c r="L3" s="899"/>
      <c r="M3" s="899"/>
      <c r="N3" s="899"/>
      <c r="O3" s="899"/>
      <c r="P3" s="899"/>
      <c r="Q3" s="899"/>
      <c r="R3" s="899"/>
      <c r="S3" s="899"/>
      <c r="T3" s="899"/>
      <c r="U3" s="899"/>
      <c r="V3" s="899"/>
      <c r="W3" s="899"/>
      <c r="X3" s="899"/>
      <c r="Y3" s="899"/>
      <c r="Z3" s="899"/>
      <c r="AA3" s="899"/>
      <c r="AB3" s="899"/>
      <c r="AC3" s="899"/>
      <c r="AD3" s="899"/>
      <c r="AE3" s="899"/>
      <c r="AF3" s="899"/>
      <c r="AG3" s="899"/>
      <c r="AH3" s="899"/>
      <c r="AI3" s="899"/>
      <c r="AJ3" s="899"/>
    </row>
    <row r="4" spans="1:36" ht="15" customHeight="1">
      <c r="A4" s="899" t="s">
        <v>329</v>
      </c>
      <c r="B4" s="899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  <c r="AF4" s="899"/>
      <c r="AG4" s="899"/>
      <c r="AH4" s="899"/>
      <c r="AI4" s="899"/>
      <c r="AJ4" s="899"/>
    </row>
    <row r="5" spans="1:36" ht="15" customHeight="1">
      <c r="A5" s="898"/>
      <c r="B5" s="898"/>
      <c r="C5" s="898"/>
      <c r="D5" s="898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898"/>
      <c r="AB5" s="898"/>
      <c r="AC5" s="898"/>
      <c r="AD5" s="898"/>
      <c r="AE5" s="898"/>
      <c r="AF5" s="898"/>
      <c r="AG5" s="898"/>
      <c r="AH5" s="898"/>
      <c r="AI5" s="898"/>
      <c r="AJ5" s="898"/>
    </row>
    <row r="6" spans="1:36" ht="15" customHeight="1">
      <c r="A6" s="898"/>
      <c r="B6" s="898"/>
      <c r="C6" s="898"/>
      <c r="D6" s="898"/>
      <c r="E6" s="898"/>
      <c r="F6" s="898"/>
      <c r="G6" s="898"/>
      <c r="H6" s="898"/>
      <c r="I6" s="898"/>
      <c r="J6" s="898"/>
      <c r="K6" s="898"/>
      <c r="L6" s="898"/>
      <c r="M6" s="898"/>
      <c r="N6" s="898"/>
      <c r="O6" s="898"/>
      <c r="P6" s="898"/>
      <c r="Q6" s="898"/>
      <c r="R6" s="898"/>
      <c r="S6" s="898"/>
      <c r="T6" s="898"/>
      <c r="U6" s="898"/>
      <c r="V6" s="898"/>
      <c r="W6" s="898"/>
      <c r="X6" s="898"/>
      <c r="Y6" s="898"/>
      <c r="Z6" s="898"/>
      <c r="AA6" s="898"/>
      <c r="AB6" s="898"/>
      <c r="AC6" s="898"/>
      <c r="AD6" s="898"/>
      <c r="AE6" s="898"/>
      <c r="AF6" s="898"/>
      <c r="AG6" s="898"/>
      <c r="AH6" s="898"/>
      <c r="AI6" s="898"/>
      <c r="AJ6" s="898"/>
    </row>
    <row r="7" spans="1:36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</row>
    <row r="8" spans="1:36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</row>
    <row r="9" spans="1:36" s="35" customFormat="1" ht="14.45" customHeight="1">
      <c r="A9" s="856" t="s">
        <v>357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</row>
    <row r="10" spans="1:36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</row>
    <row r="11" spans="1:36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</row>
    <row r="12" spans="1:36" s="35" customFormat="1" ht="14.45" customHeight="1">
      <c r="A12" s="900" t="s">
        <v>144</v>
      </c>
      <c r="B12" s="901"/>
      <c r="C12" s="901"/>
      <c r="D12" s="901"/>
      <c r="E12" s="901"/>
      <c r="F12" s="901"/>
      <c r="G12" s="901"/>
      <c r="H12" s="901"/>
      <c r="I12" s="901"/>
      <c r="J12" s="901"/>
      <c r="K12" s="901"/>
      <c r="L12" s="901"/>
      <c r="M12" s="901"/>
      <c r="N12" s="901"/>
      <c r="O12" s="901"/>
      <c r="P12" s="901"/>
      <c r="Q12" s="901"/>
      <c r="R12" s="901"/>
      <c r="S12" s="901"/>
      <c r="T12" s="901"/>
      <c r="U12" s="901"/>
      <c r="V12" s="901"/>
      <c r="W12" s="901"/>
      <c r="X12" s="901"/>
      <c r="Y12" s="901"/>
      <c r="Z12" s="901"/>
      <c r="AA12" s="901"/>
      <c r="AB12" s="901"/>
      <c r="AC12" s="901"/>
      <c r="AD12" s="901"/>
      <c r="AE12" s="901"/>
      <c r="AF12" s="901"/>
      <c r="AG12" s="901"/>
      <c r="AH12" s="901"/>
      <c r="AI12" s="901"/>
      <c r="AJ12" s="902"/>
    </row>
    <row r="13" spans="1:36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</row>
    <row r="14" spans="1:36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</row>
    <row r="15" spans="1:36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</row>
    <row r="16" spans="1:36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</row>
    <row r="17" spans="1:36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</row>
    <row r="18" spans="1:36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</row>
    <row r="19" spans="1:36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</row>
    <row r="20" spans="1:36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</row>
    <row r="21" spans="1:36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</row>
    <row r="22" spans="1:36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336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</row>
    <row r="23" spans="1:36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</row>
    <row r="24" spans="1:36" s="35" customFormat="1" ht="14.45" customHeight="1">
      <c r="A24" s="832" t="s">
        <v>364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</row>
    <row r="25" spans="1:36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</row>
    <row r="26" spans="1:36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</row>
    <row r="27" spans="1:36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</row>
    <row r="29" spans="1:36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</row>
    <row r="30" spans="1:36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819" t="s">
        <v>218</v>
      </c>
      <c r="AE30" s="819"/>
      <c r="AF30" s="819"/>
      <c r="AG30" s="819"/>
      <c r="AH30" s="819"/>
      <c r="AI30" s="819"/>
      <c r="AJ30" s="819"/>
    </row>
    <row r="31" spans="1:36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819" t="s">
        <v>225</v>
      </c>
      <c r="AE31" s="819"/>
      <c r="AF31" s="819"/>
      <c r="AG31" s="819"/>
      <c r="AH31" s="819"/>
      <c r="AI31" s="819"/>
      <c r="AJ31" s="819"/>
    </row>
    <row r="32" spans="1:36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f>'ASG CG'!AD32</f>
        <v>1103</v>
      </c>
      <c r="AE32" s="820"/>
      <c r="AF32" s="820"/>
      <c r="AG32" s="820"/>
      <c r="AH32" s="820"/>
      <c r="AI32" s="820"/>
      <c r="AJ32" s="820"/>
    </row>
    <row r="33" spans="1:36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19" t="s">
        <v>221</v>
      </c>
      <c r="AE33" s="819"/>
      <c r="AF33" s="819"/>
      <c r="AG33" s="819"/>
      <c r="AH33" s="819"/>
      <c r="AI33" s="819"/>
      <c r="AJ33" s="819"/>
    </row>
    <row r="34" spans="1:36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</row>
    <row r="35" spans="1:36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6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</row>
    <row r="38" spans="1:36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1103</v>
      </c>
      <c r="AE38" s="775"/>
      <c r="AF38" s="775"/>
      <c r="AG38" s="775"/>
      <c r="AH38" s="775"/>
      <c r="AI38" s="775"/>
      <c r="AJ38" s="776"/>
    </row>
    <row r="39" spans="1:36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6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54"/>
      <c r="Z40" s="755"/>
      <c r="AA40" s="755"/>
      <c r="AB40" s="755"/>
      <c r="AC40" s="756"/>
      <c r="AD40" s="744">
        <f>AD38*Y40</f>
        <v>0</v>
      </c>
      <c r="AE40" s="745"/>
      <c r="AF40" s="745"/>
      <c r="AG40" s="745"/>
      <c r="AH40" s="745"/>
      <c r="AI40" s="745"/>
      <c r="AJ40" s="746"/>
    </row>
    <row r="41" spans="1:36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6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6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6" ht="14.45" customHeight="1">
      <c r="A44" s="722" t="s">
        <v>8</v>
      </c>
      <c r="B44" s="723"/>
      <c r="C44" s="724" t="s">
        <v>224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14"/>
      <c r="Z44" s="811"/>
      <c r="AA44" s="811"/>
      <c r="AB44" s="811"/>
      <c r="AC44" s="812"/>
      <c r="AD44" s="744">
        <v>0</v>
      </c>
      <c r="AE44" s="745"/>
      <c r="AF44" s="745"/>
      <c r="AG44" s="745"/>
      <c r="AH44" s="745"/>
      <c r="AI44" s="745"/>
      <c r="AJ44" s="746"/>
    </row>
    <row r="45" spans="1:36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1103</v>
      </c>
      <c r="AE45" s="692"/>
      <c r="AF45" s="692"/>
      <c r="AG45" s="692"/>
      <c r="AH45" s="692"/>
      <c r="AI45" s="692"/>
      <c r="AJ45" s="693"/>
    </row>
    <row r="46" spans="1:36" ht="14.45" customHeight="1">
      <c r="A46" s="331"/>
      <c r="B46" s="331"/>
      <c r="C46" s="331"/>
      <c r="D46" s="331"/>
      <c r="E46" s="331"/>
      <c r="F46" s="331"/>
      <c r="G46" s="331"/>
      <c r="H46" s="331"/>
      <c r="I46" s="331"/>
      <c r="J46" s="331"/>
      <c r="K46" s="331"/>
      <c r="L46" s="331"/>
      <c r="M46" s="331"/>
      <c r="N46" s="331"/>
      <c r="O46" s="331"/>
      <c r="P46" s="331"/>
      <c r="Q46" s="331"/>
      <c r="R46" s="331"/>
      <c r="S46" s="331"/>
      <c r="T46" s="331"/>
      <c r="U46" s="331"/>
      <c r="V46" s="331"/>
      <c r="W46" s="331"/>
      <c r="X46" s="331"/>
      <c r="Y46" s="332"/>
      <c r="Z46" s="332"/>
      <c r="AA46" s="332"/>
      <c r="AB46" s="332"/>
      <c r="AC46" s="332"/>
      <c r="AD46" s="61"/>
      <c r="AE46" s="61"/>
      <c r="AF46" s="61"/>
      <c r="AG46" s="61"/>
      <c r="AH46" s="61"/>
      <c r="AI46" s="61"/>
      <c r="AJ46" s="61"/>
    </row>
    <row r="47" spans="1:36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6" ht="14.45" customHeight="1">
      <c r="A48" s="748" t="s">
        <v>279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91.916666666666657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30.638888888888886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122.55555555555554</v>
      </c>
      <c r="AE52" s="692"/>
      <c r="AF52" s="692"/>
      <c r="AG52" s="692"/>
      <c r="AH52" s="692"/>
      <c r="AI52" s="692"/>
      <c r="AJ52" s="693"/>
    </row>
    <row r="53" spans="1:36" ht="14.45" customHeight="1">
      <c r="A53" s="331"/>
      <c r="B53" s="331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1"/>
      <c r="N53" s="331"/>
      <c r="O53" s="331"/>
      <c r="P53" s="331"/>
      <c r="Q53" s="331"/>
      <c r="R53" s="331"/>
      <c r="S53" s="331"/>
      <c r="T53" s="331"/>
      <c r="U53" s="331"/>
      <c r="V53" s="331"/>
      <c r="W53" s="331"/>
      <c r="X53" s="331"/>
      <c r="Y53" s="332"/>
      <c r="Z53" s="332"/>
      <c r="AA53" s="332"/>
      <c r="AB53" s="332"/>
      <c r="AC53" s="332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245.11111111111114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30.638888888888893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36.766666666666666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18.383333333333333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12.255555555555556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7.3533333333333344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2.4511111111111115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98.044444444444451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451.00444444444452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109.82000000000001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454.82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122.55555555555554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451.00444444444452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454.82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1028.3800000000001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4.5958333333333332</v>
      </c>
      <c r="AE85" s="775"/>
      <c r="AF85" s="775"/>
      <c r="AG85" s="775"/>
      <c r="AH85" s="775"/>
      <c r="AI85" s="775"/>
      <c r="AJ85" s="776"/>
      <c r="AL85" s="116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0.36766666666666664</v>
      </c>
      <c r="AE86" s="775"/>
      <c r="AF86" s="775"/>
      <c r="AG86" s="775"/>
      <c r="AH86" s="775"/>
      <c r="AI86" s="775"/>
      <c r="AJ86" s="776"/>
      <c r="AL86" s="116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40.05115555555556</v>
      </c>
      <c r="AE87" s="775"/>
      <c r="AF87" s="775"/>
      <c r="AG87" s="775"/>
      <c r="AH87" s="775"/>
      <c r="AI87" s="775"/>
      <c r="AJ87" s="776"/>
      <c r="AL87" s="116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41.4435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7.8925777777777792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0.68631111111111132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95.037044444444447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91.916666666666657</v>
      </c>
      <c r="AE96" s="775"/>
      <c r="AF96" s="775"/>
      <c r="AG96" s="775"/>
      <c r="AH96" s="775"/>
      <c r="AI96" s="775"/>
      <c r="AJ96" s="776"/>
      <c r="AK96" s="130"/>
      <c r="AL96" s="117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15.3317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0.22060000000000002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3.0884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1.4339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0.77210000000000001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21.647396296296296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41.49691893333334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175.90768189629631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7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7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7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175.90768189629631</v>
      </c>
      <c r="AE115" s="775"/>
      <c r="AF115" s="775"/>
      <c r="AG115" s="775"/>
      <c r="AH115" s="775"/>
      <c r="AI115" s="775"/>
      <c r="AJ115" s="776"/>
    </row>
    <row r="116" spans="1:37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7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175.90768189629631</v>
      </c>
      <c r="AE117" s="692"/>
      <c r="AF117" s="692"/>
      <c r="AG117" s="692"/>
      <c r="AH117" s="692"/>
      <c r="AI117" s="692"/>
      <c r="AJ117" s="693"/>
    </row>
    <row r="118" spans="1:37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7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7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7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'Fardamentos e EPI´s - ASG'!H20</f>
        <v>135.04333333333332</v>
      </c>
      <c r="AE121" s="772"/>
      <c r="AF121" s="772"/>
      <c r="AG121" s="772"/>
      <c r="AH121" s="772"/>
      <c r="AI121" s="772"/>
      <c r="AJ121" s="773"/>
    </row>
    <row r="122" spans="1:37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7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>
        <f>'Equip. e Ferramentas - Preço'!O165</f>
        <v>155.14487882758621</v>
      </c>
      <c r="AE123" s="772"/>
      <c r="AF123" s="772"/>
      <c r="AG123" s="772"/>
      <c r="AH123" s="772"/>
      <c r="AI123" s="772"/>
      <c r="AJ123" s="773"/>
    </row>
    <row r="124" spans="1:37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290.18821216091953</v>
      </c>
      <c r="AE124" s="692"/>
      <c r="AF124" s="692"/>
      <c r="AG124" s="692"/>
      <c r="AH124" s="692"/>
      <c r="AI124" s="692"/>
      <c r="AJ124" s="693"/>
    </row>
    <row r="125" spans="1:37" ht="14.45" customHeight="1"/>
    <row r="126" spans="1:37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7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7" ht="14.45" customHeight="1">
      <c r="A128" s="736" t="s">
        <v>0</v>
      </c>
      <c r="B128" s="737"/>
      <c r="C128" s="757" t="s">
        <v>328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80.775388155049825</v>
      </c>
      <c r="AE128" s="745"/>
      <c r="AF128" s="745"/>
      <c r="AG128" s="745"/>
      <c r="AH128" s="745"/>
      <c r="AI128" s="745"/>
      <c r="AJ128" s="746"/>
      <c r="AK128" s="130"/>
    </row>
    <row r="129" spans="1:37" ht="14.45" customHeight="1">
      <c r="A129" s="736" t="s">
        <v>1</v>
      </c>
      <c r="B129" s="737"/>
      <c r="C129" s="757" t="s">
        <v>327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182.82162852426276</v>
      </c>
      <c r="AE129" s="745"/>
      <c r="AF129" s="745"/>
      <c r="AG129" s="745"/>
      <c r="AH129" s="745"/>
      <c r="AI129" s="745"/>
      <c r="AJ129" s="746"/>
      <c r="AK129" s="130"/>
    </row>
    <row r="130" spans="1:37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</row>
    <row r="131" spans="1:37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7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97.080786705450677</v>
      </c>
      <c r="AE132" s="745"/>
      <c r="AF132" s="745"/>
      <c r="AG132" s="745"/>
      <c r="AH132" s="745"/>
      <c r="AI132" s="745"/>
      <c r="AJ132" s="746"/>
      <c r="AK132" s="130"/>
    </row>
    <row r="133" spans="1:37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21.034170452847647</v>
      </c>
      <c r="AE133" s="745"/>
      <c r="AF133" s="745"/>
      <c r="AG133" s="745"/>
      <c r="AH133" s="745"/>
      <c r="AI133" s="745"/>
      <c r="AJ133" s="746"/>
      <c r="AK133" s="134"/>
    </row>
    <row r="134" spans="1:37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161.80131117575115</v>
      </c>
      <c r="AE134" s="745"/>
      <c r="AF134" s="745"/>
      <c r="AG134" s="745"/>
      <c r="AH134" s="745"/>
      <c r="AI134" s="745"/>
      <c r="AJ134" s="746"/>
      <c r="AK134" s="130"/>
    </row>
    <row r="135" spans="1:37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543.51328501336207</v>
      </c>
      <c r="AE135" s="747"/>
      <c r="AF135" s="747"/>
      <c r="AG135" s="747"/>
      <c r="AH135" s="747"/>
      <c r="AI135" s="747"/>
      <c r="AJ135" s="747"/>
      <c r="AK135" s="130"/>
    </row>
    <row r="136" spans="1:37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7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7" ht="14.45" customHeight="1">
      <c r="A138" s="330"/>
      <c r="B138" s="330"/>
      <c r="C138" s="330"/>
      <c r="D138" s="330"/>
      <c r="E138" s="330"/>
      <c r="F138" s="330"/>
      <c r="G138" s="330"/>
      <c r="H138" s="330"/>
      <c r="I138" s="330"/>
      <c r="J138" s="330"/>
      <c r="K138" s="330"/>
      <c r="L138" s="330"/>
      <c r="M138" s="330"/>
      <c r="N138" s="330"/>
      <c r="O138" s="330"/>
      <c r="P138" s="330"/>
      <c r="Q138" s="330"/>
      <c r="R138" s="330"/>
      <c r="S138" s="330"/>
      <c r="T138" s="330"/>
      <c r="U138" s="330"/>
      <c r="V138" s="330"/>
      <c r="W138" s="330"/>
      <c r="X138" s="330"/>
      <c r="Y138" s="330"/>
      <c r="Z138" s="330"/>
      <c r="AA138" s="330"/>
      <c r="AB138" s="330"/>
      <c r="AC138" s="330"/>
      <c r="AD138" s="330"/>
      <c r="AE138" s="330"/>
      <c r="AF138" s="330"/>
      <c r="AG138" s="330"/>
      <c r="AH138" s="330"/>
      <c r="AI138" s="330"/>
      <c r="AJ138" s="330"/>
      <c r="AK138" s="130"/>
    </row>
    <row r="139" spans="1:37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7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1103</v>
      </c>
      <c r="AE140" s="720"/>
      <c r="AF140" s="720"/>
      <c r="AG140" s="720"/>
      <c r="AH140" s="720"/>
      <c r="AI140" s="720"/>
      <c r="AJ140" s="721"/>
      <c r="AK140" s="130"/>
    </row>
    <row r="141" spans="1:37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1028.3800000000001</v>
      </c>
      <c r="AE141" s="720"/>
      <c r="AF141" s="720"/>
      <c r="AG141" s="720"/>
      <c r="AH141" s="720"/>
      <c r="AI141" s="720"/>
      <c r="AJ141" s="721"/>
      <c r="AK141" s="130"/>
    </row>
    <row r="142" spans="1:37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95.037044444444447</v>
      </c>
      <c r="AE142" s="720"/>
      <c r="AF142" s="720"/>
      <c r="AG142" s="720"/>
      <c r="AH142" s="720"/>
      <c r="AI142" s="720"/>
      <c r="AJ142" s="721"/>
      <c r="AK142" s="130"/>
    </row>
    <row r="143" spans="1:37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175.90768189629631</v>
      </c>
      <c r="AE143" s="720"/>
      <c r="AF143" s="720"/>
      <c r="AG143" s="720"/>
      <c r="AH143" s="720"/>
      <c r="AI143" s="720"/>
      <c r="AJ143" s="721"/>
      <c r="AK143" s="130"/>
    </row>
    <row r="144" spans="1:37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290.18821216091953</v>
      </c>
      <c r="AE144" s="720"/>
      <c r="AF144" s="720"/>
      <c r="AG144" s="720"/>
      <c r="AH144" s="720"/>
      <c r="AI144" s="720"/>
      <c r="AJ144" s="721"/>
      <c r="AK144" s="130"/>
    </row>
    <row r="145" spans="1:38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2692.5129385016603</v>
      </c>
      <c r="AE145" s="720"/>
      <c r="AF145" s="720"/>
      <c r="AG145" s="720"/>
      <c r="AH145" s="720"/>
      <c r="AI145" s="720"/>
      <c r="AJ145" s="721"/>
      <c r="AK145" s="130"/>
    </row>
    <row r="146" spans="1:38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543.51328501336207</v>
      </c>
      <c r="AE146" s="720"/>
      <c r="AF146" s="720"/>
      <c r="AG146" s="720"/>
      <c r="AH146" s="720"/>
      <c r="AI146" s="720"/>
      <c r="AJ146" s="721"/>
      <c r="AK146" s="130"/>
    </row>
    <row r="147" spans="1:38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3236.0262235150226</v>
      </c>
      <c r="AE147" s="692"/>
      <c r="AF147" s="692"/>
      <c r="AG147" s="692"/>
      <c r="AH147" s="692"/>
      <c r="AI147" s="692"/>
      <c r="AJ147" s="693"/>
      <c r="AK147" s="130"/>
      <c r="AL147" s="117"/>
    </row>
    <row r="148" spans="1:38" ht="14.45" customHeight="1"/>
    <row r="149" spans="1:38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8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8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8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8" ht="34.15" customHeight="1">
      <c r="A153" s="701" t="str">
        <f>A24</f>
        <v>SERVIÇOS DE LIMPEZA  COM INSALUBRIDADE (MONTEIRO)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3236.0262235150226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3236.0262235150226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3236.0262235150226</v>
      </c>
      <c r="AF153" s="714"/>
      <c r="AG153" s="714"/>
      <c r="AH153" s="714"/>
      <c r="AI153" s="714"/>
      <c r="AJ153" s="715"/>
    </row>
    <row r="154" spans="1:38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3236.03</v>
      </c>
      <c r="AF154" s="686"/>
      <c r="AG154" s="686"/>
      <c r="AH154" s="686"/>
      <c r="AI154" s="686"/>
      <c r="AJ154" s="686"/>
    </row>
    <row r="155" spans="1:38" ht="14.45" customHeight="1"/>
    <row r="156" spans="1:38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8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8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8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3236.03</v>
      </c>
      <c r="AE159" s="700"/>
      <c r="AF159" s="700"/>
      <c r="AG159" s="700"/>
      <c r="AH159" s="700"/>
      <c r="AI159" s="700"/>
      <c r="AJ159" s="700"/>
    </row>
    <row r="160" spans="1:38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116497.08</v>
      </c>
      <c r="AE160" s="684"/>
      <c r="AF160" s="684"/>
      <c r="AG160" s="684"/>
      <c r="AH160" s="684"/>
      <c r="AI160" s="684"/>
      <c r="AJ160" s="684"/>
    </row>
  </sheetData>
  <mergeCells count="392"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  <mergeCell ref="AD159:AJ159"/>
    <mergeCell ref="A153:L153"/>
    <mergeCell ref="M153:Q153"/>
    <mergeCell ref="R153:V153"/>
    <mergeCell ref="W153:AA153"/>
    <mergeCell ref="AB153:AD153"/>
    <mergeCell ref="AE153:AJ153"/>
    <mergeCell ref="A152:L152"/>
    <mergeCell ref="M152:Q152"/>
    <mergeCell ref="R152:V152"/>
    <mergeCell ref="W152:AA152"/>
    <mergeCell ref="AB152:AD152"/>
    <mergeCell ref="AE152:AJ15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A145:AC145"/>
    <mergeCell ref="AD145:AJ145"/>
    <mergeCell ref="A146:B146"/>
    <mergeCell ref="C146:AC146"/>
    <mergeCell ref="AD146:AJ146"/>
    <mergeCell ref="A147:AC147"/>
    <mergeCell ref="AD147:AJ147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35:AC135"/>
    <mergeCell ref="AD135:AJ135"/>
    <mergeCell ref="A137:AJ137"/>
    <mergeCell ref="A139:AC139"/>
    <mergeCell ref="AD139:AJ139"/>
    <mergeCell ref="A140:B140"/>
    <mergeCell ref="C140:AC140"/>
    <mergeCell ref="AD140:AJ140"/>
    <mergeCell ref="AD132:AJ132"/>
    <mergeCell ref="A133:B133"/>
    <mergeCell ref="C133:X133"/>
    <mergeCell ref="Y133:AC133"/>
    <mergeCell ref="AD133:AJ133"/>
    <mergeCell ref="A134:B134"/>
    <mergeCell ref="C134:X134"/>
    <mergeCell ref="Y134:AC134"/>
    <mergeCell ref="AD134:AJ134"/>
    <mergeCell ref="Y130:AC130"/>
    <mergeCell ref="A131:B131"/>
    <mergeCell ref="C131:X131"/>
    <mergeCell ref="Y131:AC131"/>
    <mergeCell ref="A132:B132"/>
    <mergeCell ref="C132:X132"/>
    <mergeCell ref="Y132:AC132"/>
    <mergeCell ref="A128:B128"/>
    <mergeCell ref="C128:X128"/>
    <mergeCell ref="Y128:AC128"/>
    <mergeCell ref="AD128:AJ128"/>
    <mergeCell ref="A129:B129"/>
    <mergeCell ref="C129:X129"/>
    <mergeCell ref="Y129:AC129"/>
    <mergeCell ref="AD129:AJ129"/>
    <mergeCell ref="A124:AC124"/>
    <mergeCell ref="AD124:AJ124"/>
    <mergeCell ref="A126:AJ126"/>
    <mergeCell ref="A127:B127"/>
    <mergeCell ref="C127:X127"/>
    <mergeCell ref="Y127:AC127"/>
    <mergeCell ref="AD127:AJ127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10:B110"/>
    <mergeCell ref="C110:AC110"/>
    <mergeCell ref="AD110:AJ110"/>
    <mergeCell ref="A111:AC111"/>
    <mergeCell ref="AD111:AJ111"/>
    <mergeCell ref="A112:AJ112"/>
    <mergeCell ref="A106:X106"/>
    <mergeCell ref="Y106:AC106"/>
    <mergeCell ref="AD106:AJ106"/>
    <mergeCell ref="A107:AJ107"/>
    <mergeCell ref="A108:AJ108"/>
    <mergeCell ref="A109:B109"/>
    <mergeCell ref="C109:X109"/>
    <mergeCell ref="Y109:AC109"/>
    <mergeCell ref="AD109:AJ109"/>
    <mergeCell ref="A104:AC104"/>
    <mergeCell ref="AD104:AJ104"/>
    <mergeCell ref="A105:B105"/>
    <mergeCell ref="C105:X105"/>
    <mergeCell ref="Y105:AC105"/>
    <mergeCell ref="AD105:AJ105"/>
    <mergeCell ref="A102:X102"/>
    <mergeCell ref="Y102:AC102"/>
    <mergeCell ref="AD102:AJ102"/>
    <mergeCell ref="A103:B103"/>
    <mergeCell ref="C103:X103"/>
    <mergeCell ref="Y103:AC103"/>
    <mergeCell ref="AD103:AJ103"/>
    <mergeCell ref="A100:B100"/>
    <mergeCell ref="C100:X100"/>
    <mergeCell ref="Y100:AC100"/>
    <mergeCell ref="AD100:AJ100"/>
    <mergeCell ref="A101:B101"/>
    <mergeCell ref="C101:X101"/>
    <mergeCell ref="Y101:AC101"/>
    <mergeCell ref="AD101:AJ101"/>
    <mergeCell ref="A98:B98"/>
    <mergeCell ref="C98:X98"/>
    <mergeCell ref="Y98:AC98"/>
    <mergeCell ref="AD98:AJ98"/>
    <mergeCell ref="A99:B99"/>
    <mergeCell ref="C99:X99"/>
    <mergeCell ref="Y99:AC99"/>
    <mergeCell ref="AD99:AJ99"/>
    <mergeCell ref="A96:B96"/>
    <mergeCell ref="C96:X96"/>
    <mergeCell ref="Y96:AC96"/>
    <mergeCell ref="AD96:AJ96"/>
    <mergeCell ref="A97:B97"/>
    <mergeCell ref="C97:X97"/>
    <mergeCell ref="Y97:AC97"/>
    <mergeCell ref="AD97:AJ97"/>
    <mergeCell ref="A92:AJ92"/>
    <mergeCell ref="A93:AJ93"/>
    <mergeCell ref="A94:AJ94"/>
    <mergeCell ref="A95:B95"/>
    <mergeCell ref="C95:X95"/>
    <mergeCell ref="Y95:AC95"/>
    <mergeCell ref="AD95:AJ95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A83:AJ83"/>
    <mergeCell ref="A84:B84"/>
    <mergeCell ref="C84:X84"/>
    <mergeCell ref="Y84:AC84"/>
    <mergeCell ref="AD84:AJ84"/>
    <mergeCell ref="A85:B85"/>
    <mergeCell ref="C85:X85"/>
    <mergeCell ref="Y85:AC85"/>
    <mergeCell ref="AD85:AJ85"/>
    <mergeCell ref="A80:B80"/>
    <mergeCell ref="C80:AC80"/>
    <mergeCell ref="AD80:AJ80"/>
    <mergeCell ref="A81:AC81"/>
    <mergeCell ref="AD81:AJ81"/>
    <mergeCell ref="A82:AJ82"/>
    <mergeCell ref="A78:B78"/>
    <mergeCell ref="C78:AC78"/>
    <mergeCell ref="AD78:AJ78"/>
    <mergeCell ref="A79:B79"/>
    <mergeCell ref="C79:AC79"/>
    <mergeCell ref="AD79:AJ79"/>
    <mergeCell ref="A74:AC74"/>
    <mergeCell ref="AD74:AJ74"/>
    <mergeCell ref="A75:AJ75"/>
    <mergeCell ref="A76:AJ76"/>
    <mergeCell ref="A77:B77"/>
    <mergeCell ref="C77:AC77"/>
    <mergeCell ref="AD77:AJ7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</sheetPr>
  <dimension ref="A1:AQ160"/>
  <sheetViews>
    <sheetView showGridLines="0" topLeftCell="A112" zoomScale="115" zoomScaleNormal="115" zoomScaleSheetLayoutView="120" workbookViewId="0">
      <selection activeCell="Y44" sqref="Y44:AC44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6" width="3.85546875" style="34" customWidth="1"/>
    <col min="37" max="37" width="2.42578125" style="34" customWidth="1"/>
    <col min="38" max="38" width="13" style="34" customWidth="1"/>
    <col min="39" max="42" width="2.42578125" style="34"/>
    <col min="43" max="43" width="3.5703125" style="34" customWidth="1"/>
    <col min="44" max="16384" width="2.42578125" style="34"/>
  </cols>
  <sheetData>
    <row r="1" spans="1:36" ht="15" customHeight="1">
      <c r="A1" s="854"/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  <c r="AI1" s="854"/>
      <c r="AJ1" s="854"/>
    </row>
    <row r="2" spans="1:36" ht="15" customHeight="1">
      <c r="A2" s="855" t="s">
        <v>26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  <c r="S2" s="855"/>
      <c r="T2" s="855"/>
      <c r="U2" s="855"/>
      <c r="V2" s="855"/>
      <c r="W2" s="855"/>
      <c r="X2" s="855"/>
      <c r="Y2" s="855"/>
      <c r="Z2" s="855"/>
      <c r="AA2" s="855"/>
      <c r="AB2" s="855"/>
      <c r="AC2" s="855"/>
      <c r="AD2" s="855"/>
      <c r="AE2" s="855"/>
      <c r="AF2" s="855"/>
      <c r="AG2" s="855"/>
      <c r="AH2" s="855"/>
      <c r="AI2" s="855"/>
      <c r="AJ2" s="855"/>
    </row>
    <row r="3" spans="1:36" ht="15" customHeight="1">
      <c r="A3" s="855" t="s">
        <v>27</v>
      </c>
      <c r="B3" s="855"/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  <c r="AB3" s="855"/>
      <c r="AC3" s="855"/>
      <c r="AD3" s="855"/>
      <c r="AE3" s="855"/>
      <c r="AF3" s="855"/>
      <c r="AG3" s="855"/>
      <c r="AH3" s="855"/>
      <c r="AI3" s="855"/>
      <c r="AJ3" s="855"/>
    </row>
    <row r="4" spans="1:36" ht="15" customHeight="1">
      <c r="A4" s="855" t="s">
        <v>329</v>
      </c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B4" s="855"/>
      <c r="AC4" s="855"/>
      <c r="AD4" s="855"/>
      <c r="AE4" s="855"/>
      <c r="AF4" s="855"/>
      <c r="AG4" s="855"/>
      <c r="AH4" s="855"/>
      <c r="AI4" s="855"/>
      <c r="AJ4" s="855"/>
    </row>
    <row r="5" spans="1:36" ht="15" customHeight="1">
      <c r="A5" s="854"/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854"/>
      <c r="W5" s="854"/>
      <c r="X5" s="854"/>
      <c r="Y5" s="854"/>
      <c r="Z5" s="854"/>
      <c r="AA5" s="854"/>
      <c r="AB5" s="854"/>
      <c r="AC5" s="854"/>
      <c r="AD5" s="854"/>
      <c r="AE5" s="854"/>
      <c r="AF5" s="854"/>
      <c r="AG5" s="854"/>
      <c r="AH5" s="854"/>
      <c r="AI5" s="854"/>
      <c r="AJ5" s="854"/>
    </row>
    <row r="6" spans="1:36" ht="15" customHeight="1">
      <c r="A6" s="854"/>
      <c r="B6" s="854"/>
      <c r="C6" s="854"/>
      <c r="D6" s="854"/>
      <c r="E6" s="854"/>
      <c r="F6" s="854"/>
      <c r="G6" s="854"/>
      <c r="H6" s="854"/>
      <c r="I6" s="854"/>
      <c r="J6" s="854"/>
      <c r="K6" s="854"/>
      <c r="L6" s="854"/>
      <c r="M6" s="854"/>
      <c r="N6" s="854"/>
      <c r="O6" s="854"/>
      <c r="P6" s="854"/>
      <c r="Q6" s="854"/>
      <c r="R6" s="854"/>
      <c r="S6" s="854"/>
      <c r="T6" s="854"/>
      <c r="U6" s="854"/>
      <c r="V6" s="854"/>
      <c r="W6" s="854"/>
      <c r="X6" s="854"/>
      <c r="Y6" s="854"/>
      <c r="Z6" s="854"/>
      <c r="AA6" s="854"/>
      <c r="AB6" s="854"/>
      <c r="AC6" s="854"/>
      <c r="AD6" s="854"/>
      <c r="AE6" s="854"/>
      <c r="AF6" s="854"/>
      <c r="AG6" s="854"/>
      <c r="AH6" s="854"/>
      <c r="AI6" s="854"/>
      <c r="AJ6" s="854"/>
    </row>
    <row r="7" spans="1:36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</row>
    <row r="8" spans="1:36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</row>
    <row r="9" spans="1:36" s="35" customFormat="1" ht="14.45" customHeight="1">
      <c r="A9" s="856" t="s">
        <v>361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</row>
    <row r="10" spans="1:36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</row>
    <row r="11" spans="1:36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</row>
    <row r="12" spans="1:36" s="35" customFormat="1" ht="14.45" customHeight="1">
      <c r="A12" s="860" t="s">
        <v>144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  <c r="R12" s="861"/>
      <c r="S12" s="861"/>
      <c r="T12" s="861"/>
      <c r="U12" s="861"/>
      <c r="V12" s="861"/>
      <c r="W12" s="861"/>
      <c r="X12" s="861"/>
      <c r="Y12" s="861"/>
      <c r="Z12" s="861"/>
      <c r="AA12" s="861"/>
      <c r="AB12" s="861"/>
      <c r="AC12" s="861"/>
      <c r="AD12" s="861"/>
      <c r="AE12" s="861"/>
      <c r="AF12" s="861"/>
      <c r="AG12" s="861"/>
      <c r="AH12" s="861"/>
      <c r="AI12" s="861"/>
      <c r="AJ12" s="862"/>
    </row>
    <row r="13" spans="1:36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</row>
    <row r="14" spans="1:36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</row>
    <row r="15" spans="1:36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</row>
    <row r="16" spans="1:36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</row>
    <row r="17" spans="1:36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</row>
    <row r="18" spans="1:36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</row>
    <row r="19" spans="1:36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</row>
    <row r="20" spans="1:36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</row>
    <row r="21" spans="1:36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</row>
    <row r="22" spans="1:36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338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</row>
    <row r="23" spans="1:36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</row>
    <row r="24" spans="1:36" s="35" customFormat="1" ht="14.45" customHeight="1">
      <c r="A24" s="832" t="s">
        <v>360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</row>
    <row r="25" spans="1:36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</row>
    <row r="26" spans="1:36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</row>
    <row r="27" spans="1:36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</row>
    <row r="29" spans="1:36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</row>
    <row r="30" spans="1:36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819" t="s">
        <v>218</v>
      </c>
      <c r="AE30" s="819"/>
      <c r="AF30" s="819"/>
      <c r="AG30" s="819"/>
      <c r="AH30" s="819"/>
      <c r="AI30" s="819"/>
      <c r="AJ30" s="819"/>
    </row>
    <row r="31" spans="1:36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819" t="s">
        <v>225</v>
      </c>
      <c r="AE31" s="819"/>
      <c r="AF31" s="819"/>
      <c r="AG31" s="819"/>
      <c r="AH31" s="819"/>
      <c r="AI31" s="819"/>
      <c r="AJ31" s="819"/>
    </row>
    <row r="32" spans="1:36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f>'ASG CG'!AD32</f>
        <v>1103</v>
      </c>
      <c r="AE32" s="820"/>
      <c r="AF32" s="820"/>
      <c r="AG32" s="820"/>
      <c r="AH32" s="820"/>
      <c r="AI32" s="820"/>
      <c r="AJ32" s="820"/>
    </row>
    <row r="33" spans="1:36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19" t="s">
        <v>221</v>
      </c>
      <c r="AE33" s="819"/>
      <c r="AF33" s="819"/>
      <c r="AG33" s="819"/>
      <c r="AH33" s="819"/>
      <c r="AI33" s="819"/>
      <c r="AJ33" s="819"/>
    </row>
    <row r="34" spans="1:36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</row>
    <row r="35" spans="1:36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6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</row>
    <row r="38" spans="1:36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1103</v>
      </c>
      <c r="AE38" s="775"/>
      <c r="AF38" s="775"/>
      <c r="AG38" s="775"/>
      <c r="AH38" s="775"/>
      <c r="AI38" s="775"/>
      <c r="AJ38" s="776"/>
    </row>
    <row r="39" spans="1:36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6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41"/>
      <c r="Z40" s="742"/>
      <c r="AA40" s="742"/>
      <c r="AB40" s="742"/>
      <c r="AC40" s="743"/>
      <c r="AD40" s="744"/>
      <c r="AE40" s="745"/>
      <c r="AF40" s="745"/>
      <c r="AG40" s="745"/>
      <c r="AH40" s="745"/>
      <c r="AI40" s="745"/>
      <c r="AJ40" s="746"/>
    </row>
    <row r="41" spans="1:36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6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6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6" ht="14.45" customHeight="1">
      <c r="A44" s="722" t="s">
        <v>8</v>
      </c>
      <c r="B44" s="723"/>
      <c r="C44" s="724" t="s">
        <v>11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85"/>
      <c r="Z44" s="886"/>
      <c r="AA44" s="886"/>
      <c r="AB44" s="886"/>
      <c r="AC44" s="887"/>
      <c r="AD44" s="744">
        <f>AD38*Y44</f>
        <v>0</v>
      </c>
      <c r="AE44" s="745"/>
      <c r="AF44" s="745"/>
      <c r="AG44" s="745"/>
      <c r="AH44" s="745"/>
      <c r="AI44" s="745"/>
      <c r="AJ44" s="746"/>
    </row>
    <row r="45" spans="1:36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1103</v>
      </c>
      <c r="AE45" s="692"/>
      <c r="AF45" s="692"/>
      <c r="AG45" s="692"/>
      <c r="AH45" s="692"/>
      <c r="AI45" s="692"/>
      <c r="AJ45" s="693"/>
    </row>
    <row r="46" spans="1:36" ht="14.45" customHeight="1">
      <c r="A46" s="123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4"/>
      <c r="Z46" s="124"/>
      <c r="AA46" s="124"/>
      <c r="AB46" s="124"/>
      <c r="AC46" s="124"/>
      <c r="AD46" s="61"/>
      <c r="AE46" s="61"/>
      <c r="AF46" s="61"/>
      <c r="AG46" s="61"/>
      <c r="AH46" s="61"/>
      <c r="AI46" s="61"/>
      <c r="AJ46" s="61"/>
    </row>
    <row r="47" spans="1:36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6" ht="14.45" customHeight="1">
      <c r="A48" s="813" t="s">
        <v>280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91.916666666666657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30.638888888888886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122.55555555555554</v>
      </c>
      <c r="AE52" s="692"/>
      <c r="AF52" s="692"/>
      <c r="AG52" s="692"/>
      <c r="AH52" s="692"/>
      <c r="AI52" s="692"/>
      <c r="AJ52" s="693"/>
    </row>
    <row r="53" spans="1:36" ht="14.45" customHeight="1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4"/>
      <c r="Z53" s="124"/>
      <c r="AA53" s="124"/>
      <c r="AB53" s="124"/>
      <c r="AC53" s="124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245.11111111111114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30.638888888888893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36.766666666666666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18.383333333333333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12.255555555555556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7.3533333333333344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2.4511111111111115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98.044444444444451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451.00444444444452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109.82000000000001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454.82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122.55555555555554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451.00444444444452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454.82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1028.3800000000001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4.5958333333333332</v>
      </c>
      <c r="AE85" s="775"/>
      <c r="AF85" s="775"/>
      <c r="AG85" s="775"/>
      <c r="AH85" s="775"/>
      <c r="AI85" s="775"/>
      <c r="AJ85" s="776"/>
      <c r="AL85" s="116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0.36766666666666664</v>
      </c>
      <c r="AE86" s="775"/>
      <c r="AF86" s="775"/>
      <c r="AG86" s="775"/>
      <c r="AH86" s="775"/>
      <c r="AI86" s="775"/>
      <c r="AJ86" s="776"/>
      <c r="AL86" s="116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40.05115555555556</v>
      </c>
      <c r="AE87" s="775"/>
      <c r="AF87" s="775"/>
      <c r="AG87" s="775"/>
      <c r="AH87" s="775"/>
      <c r="AI87" s="775"/>
      <c r="AJ87" s="776"/>
      <c r="AL87" s="116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41.4435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7.8925777777777792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0.68631111111111132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95.037044444444447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91.916666666666657</v>
      </c>
      <c r="AE96" s="775"/>
      <c r="AF96" s="775"/>
      <c r="AG96" s="775"/>
      <c r="AH96" s="775"/>
      <c r="AI96" s="775"/>
      <c r="AJ96" s="776"/>
      <c r="AK96" s="130"/>
      <c r="AL96" s="117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15.3317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0.22060000000000002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3.0884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1.4339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0.77210000000000001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21.647396296296296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41.49691893333334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175.90768189629631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7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7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7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175.90768189629631</v>
      </c>
      <c r="AE115" s="775"/>
      <c r="AF115" s="775"/>
      <c r="AG115" s="775"/>
      <c r="AH115" s="775"/>
      <c r="AI115" s="775"/>
      <c r="AJ115" s="776"/>
    </row>
    <row r="116" spans="1:37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7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175.90768189629631</v>
      </c>
      <c r="AE117" s="692"/>
      <c r="AF117" s="692"/>
      <c r="AG117" s="692"/>
      <c r="AH117" s="692"/>
      <c r="AI117" s="692"/>
      <c r="AJ117" s="693"/>
    </row>
    <row r="118" spans="1:37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7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7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7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'Fardamentos e EPI´s - ASG'!H20</f>
        <v>135.04333333333332</v>
      </c>
      <c r="AE121" s="772"/>
      <c r="AF121" s="772"/>
      <c r="AG121" s="772"/>
      <c r="AH121" s="772"/>
      <c r="AI121" s="772"/>
      <c r="AJ121" s="773"/>
    </row>
    <row r="122" spans="1:37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7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>
        <f>'Equip. e Ferramentas - Preço'!O165</f>
        <v>155.14487882758621</v>
      </c>
      <c r="AE123" s="772"/>
      <c r="AF123" s="772"/>
      <c r="AG123" s="772"/>
      <c r="AH123" s="772"/>
      <c r="AI123" s="772"/>
      <c r="AJ123" s="773"/>
    </row>
    <row r="124" spans="1:37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290.18821216091953</v>
      </c>
      <c r="AE124" s="692"/>
      <c r="AF124" s="692"/>
      <c r="AG124" s="692"/>
      <c r="AH124" s="692"/>
      <c r="AI124" s="692"/>
      <c r="AJ124" s="693"/>
    </row>
    <row r="125" spans="1:37" ht="14.45" customHeight="1"/>
    <row r="126" spans="1:37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7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7" ht="14.45" customHeight="1">
      <c r="A128" s="736" t="s">
        <v>0</v>
      </c>
      <c r="B128" s="737"/>
      <c r="C128" s="757" t="s">
        <v>328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80.775388155049825</v>
      </c>
      <c r="AE128" s="745"/>
      <c r="AF128" s="745"/>
      <c r="AG128" s="745"/>
      <c r="AH128" s="745"/>
      <c r="AI128" s="745"/>
      <c r="AJ128" s="746"/>
      <c r="AK128" s="130"/>
    </row>
    <row r="129" spans="1:37" ht="14.45" customHeight="1">
      <c r="A129" s="736" t="s">
        <v>1</v>
      </c>
      <c r="B129" s="737"/>
      <c r="C129" s="757" t="s">
        <v>327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182.82162852426276</v>
      </c>
      <c r="AE129" s="745"/>
      <c r="AF129" s="745"/>
      <c r="AG129" s="745"/>
      <c r="AH129" s="745"/>
      <c r="AI129" s="745"/>
      <c r="AJ129" s="746"/>
      <c r="AK129" s="130"/>
    </row>
    <row r="130" spans="1:37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</row>
    <row r="131" spans="1:37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7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97.080786705450677</v>
      </c>
      <c r="AE132" s="745"/>
      <c r="AF132" s="745"/>
      <c r="AG132" s="745"/>
      <c r="AH132" s="745"/>
      <c r="AI132" s="745"/>
      <c r="AJ132" s="746"/>
      <c r="AK132" s="130"/>
    </row>
    <row r="133" spans="1:37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21.034170452847647</v>
      </c>
      <c r="AE133" s="745"/>
      <c r="AF133" s="745"/>
      <c r="AG133" s="745"/>
      <c r="AH133" s="745"/>
      <c r="AI133" s="745"/>
      <c r="AJ133" s="746"/>
      <c r="AK133" s="134"/>
    </row>
    <row r="134" spans="1:37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161.80131117575115</v>
      </c>
      <c r="AE134" s="745"/>
      <c r="AF134" s="745"/>
      <c r="AG134" s="745"/>
      <c r="AH134" s="745"/>
      <c r="AI134" s="745"/>
      <c r="AJ134" s="746"/>
      <c r="AK134" s="130"/>
    </row>
    <row r="135" spans="1:37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543.51328501336207</v>
      </c>
      <c r="AE135" s="747"/>
      <c r="AF135" s="747"/>
      <c r="AG135" s="747"/>
      <c r="AH135" s="747"/>
      <c r="AI135" s="747"/>
      <c r="AJ135" s="747"/>
      <c r="AK135" s="130"/>
    </row>
    <row r="136" spans="1:37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7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7" ht="14.4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0"/>
    </row>
    <row r="139" spans="1:37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7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1103</v>
      </c>
      <c r="AE140" s="720"/>
      <c r="AF140" s="720"/>
      <c r="AG140" s="720"/>
      <c r="AH140" s="720"/>
      <c r="AI140" s="720"/>
      <c r="AJ140" s="721"/>
      <c r="AK140" s="130"/>
    </row>
    <row r="141" spans="1:37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1028.3800000000001</v>
      </c>
      <c r="AE141" s="720"/>
      <c r="AF141" s="720"/>
      <c r="AG141" s="720"/>
      <c r="AH141" s="720"/>
      <c r="AI141" s="720"/>
      <c r="AJ141" s="721"/>
      <c r="AK141" s="130"/>
    </row>
    <row r="142" spans="1:37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95.037044444444447</v>
      </c>
      <c r="AE142" s="720"/>
      <c r="AF142" s="720"/>
      <c r="AG142" s="720"/>
      <c r="AH142" s="720"/>
      <c r="AI142" s="720"/>
      <c r="AJ142" s="721"/>
      <c r="AK142" s="130"/>
    </row>
    <row r="143" spans="1:37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175.90768189629631</v>
      </c>
      <c r="AE143" s="720"/>
      <c r="AF143" s="720"/>
      <c r="AG143" s="720"/>
      <c r="AH143" s="720"/>
      <c r="AI143" s="720"/>
      <c r="AJ143" s="721"/>
      <c r="AK143" s="130"/>
    </row>
    <row r="144" spans="1:37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290.18821216091953</v>
      </c>
      <c r="AE144" s="720"/>
      <c r="AF144" s="720"/>
      <c r="AG144" s="720"/>
      <c r="AH144" s="720"/>
      <c r="AI144" s="720"/>
      <c r="AJ144" s="721"/>
      <c r="AK144" s="130"/>
    </row>
    <row r="145" spans="1:38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2692.5129385016603</v>
      </c>
      <c r="AE145" s="720"/>
      <c r="AF145" s="720"/>
      <c r="AG145" s="720"/>
      <c r="AH145" s="720"/>
      <c r="AI145" s="720"/>
      <c r="AJ145" s="721"/>
      <c r="AK145" s="130"/>
    </row>
    <row r="146" spans="1:38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543.51328501336207</v>
      </c>
      <c r="AE146" s="720"/>
      <c r="AF146" s="720"/>
      <c r="AG146" s="720"/>
      <c r="AH146" s="720"/>
      <c r="AI146" s="720"/>
      <c r="AJ146" s="721"/>
      <c r="AK146" s="130"/>
      <c r="AL146" s="117"/>
    </row>
    <row r="147" spans="1:38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3236.0262235150226</v>
      </c>
      <c r="AE147" s="692"/>
      <c r="AF147" s="692"/>
      <c r="AG147" s="692"/>
      <c r="AH147" s="692"/>
      <c r="AI147" s="692"/>
      <c r="AJ147" s="693"/>
      <c r="AK147" s="130"/>
      <c r="AL147" s="117"/>
    </row>
    <row r="148" spans="1:38" ht="14.45" customHeight="1"/>
    <row r="149" spans="1:38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8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8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8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8" ht="34.15" customHeight="1">
      <c r="A153" s="701" t="str">
        <f>A24</f>
        <v>SERVIÇOS DE LIMPEZA (SOUSA)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3236.0262235150226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3236.0262235150226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3236.0262235150226</v>
      </c>
      <c r="AF153" s="714"/>
      <c r="AG153" s="714"/>
      <c r="AH153" s="714"/>
      <c r="AI153" s="714"/>
      <c r="AJ153" s="715"/>
    </row>
    <row r="154" spans="1:38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3236.03</v>
      </c>
      <c r="AF154" s="686"/>
      <c r="AG154" s="686"/>
      <c r="AH154" s="686"/>
      <c r="AI154" s="686"/>
      <c r="AJ154" s="686"/>
    </row>
    <row r="155" spans="1:38" ht="14.45" customHeight="1"/>
    <row r="156" spans="1:38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8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8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8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3236.03</v>
      </c>
      <c r="AE159" s="700"/>
      <c r="AF159" s="700"/>
      <c r="AG159" s="700"/>
      <c r="AH159" s="700"/>
      <c r="AI159" s="700"/>
      <c r="AJ159" s="700"/>
    </row>
    <row r="160" spans="1:38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116497.08</v>
      </c>
      <c r="AE160" s="684"/>
      <c r="AF160" s="684"/>
      <c r="AG160" s="684"/>
      <c r="AH160" s="684"/>
      <c r="AI160" s="684"/>
      <c r="AJ160" s="684"/>
    </row>
  </sheetData>
  <mergeCells count="392">
    <mergeCell ref="A106:X106"/>
    <mergeCell ref="Y106:AC106"/>
    <mergeCell ref="AD106:AJ106"/>
    <mergeCell ref="A104:AC104"/>
    <mergeCell ref="AD104:AJ104"/>
    <mergeCell ref="A105:B105"/>
    <mergeCell ref="C105:X105"/>
    <mergeCell ref="Y105:AC105"/>
    <mergeCell ref="AD105:AJ105"/>
    <mergeCell ref="A102:X102"/>
    <mergeCell ref="Y102:AC102"/>
    <mergeCell ref="AD102:AJ102"/>
    <mergeCell ref="A103:B103"/>
    <mergeCell ref="C103:X103"/>
    <mergeCell ref="Y103:AC103"/>
    <mergeCell ref="AD103:AJ103"/>
    <mergeCell ref="A100:B100"/>
    <mergeCell ref="C100:X100"/>
    <mergeCell ref="Y100:AC100"/>
    <mergeCell ref="AD100:AJ100"/>
    <mergeCell ref="A101:B101"/>
    <mergeCell ref="C101:X101"/>
    <mergeCell ref="Y101:AC101"/>
    <mergeCell ref="AD101:AJ101"/>
    <mergeCell ref="A98:B98"/>
    <mergeCell ref="C98:X98"/>
    <mergeCell ref="Y98:AC98"/>
    <mergeCell ref="AD98:AJ98"/>
    <mergeCell ref="A99:B99"/>
    <mergeCell ref="C99:X99"/>
    <mergeCell ref="Y99:AC99"/>
    <mergeCell ref="AD99:AJ99"/>
    <mergeCell ref="A96:B96"/>
    <mergeCell ref="C96:X96"/>
    <mergeCell ref="Y96:AC96"/>
    <mergeCell ref="AD96:AJ96"/>
    <mergeCell ref="A97:B97"/>
    <mergeCell ref="C97:X97"/>
    <mergeCell ref="Y97:AC97"/>
    <mergeCell ref="AD97:AJ97"/>
    <mergeCell ref="A93:AJ93"/>
    <mergeCell ref="A94:AJ94"/>
    <mergeCell ref="A95:B95"/>
    <mergeCell ref="C95:X95"/>
    <mergeCell ref="Y95:AC95"/>
    <mergeCell ref="AD95:AJ95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Y84:AC84"/>
    <mergeCell ref="AD84:AJ84"/>
    <mergeCell ref="A85:B85"/>
    <mergeCell ref="C85:X85"/>
    <mergeCell ref="Y85:AC85"/>
    <mergeCell ref="AD85:AJ85"/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  <mergeCell ref="AD159:AJ159"/>
    <mergeCell ref="A153:L153"/>
    <mergeCell ref="M153:Q153"/>
    <mergeCell ref="R153:V153"/>
    <mergeCell ref="W153:AA153"/>
    <mergeCell ref="AB153:AD153"/>
    <mergeCell ref="AE153:AJ153"/>
    <mergeCell ref="A152:L152"/>
    <mergeCell ref="M152:Q152"/>
    <mergeCell ref="R152:V152"/>
    <mergeCell ref="W152:AA152"/>
    <mergeCell ref="AB152:AD152"/>
    <mergeCell ref="AE152:AJ15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A145:AC145"/>
    <mergeCell ref="AD145:AJ145"/>
    <mergeCell ref="A146:B146"/>
    <mergeCell ref="C146:AC146"/>
    <mergeCell ref="AD146:AJ146"/>
    <mergeCell ref="A147:AC147"/>
    <mergeCell ref="AD147:AJ147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37:AJ137"/>
    <mergeCell ref="A139:AC139"/>
    <mergeCell ref="AD139:AJ139"/>
    <mergeCell ref="A140:B140"/>
    <mergeCell ref="C140:AC140"/>
    <mergeCell ref="AD140:AJ140"/>
    <mergeCell ref="A134:B134"/>
    <mergeCell ref="C134:X134"/>
    <mergeCell ref="Y134:AC134"/>
    <mergeCell ref="AD134:AJ134"/>
    <mergeCell ref="A135:AC135"/>
    <mergeCell ref="AD135:AJ135"/>
    <mergeCell ref="A132:B132"/>
    <mergeCell ref="C132:X132"/>
    <mergeCell ref="Y132:AC132"/>
    <mergeCell ref="AD132:AJ132"/>
    <mergeCell ref="A133:B133"/>
    <mergeCell ref="C133:X133"/>
    <mergeCell ref="Y133:AC133"/>
    <mergeCell ref="AD133:AJ133"/>
    <mergeCell ref="A129:B129"/>
    <mergeCell ref="C129:X129"/>
    <mergeCell ref="Y129:AC129"/>
    <mergeCell ref="AD129:AJ129"/>
    <mergeCell ref="Y130:AC130"/>
    <mergeCell ref="A131:B131"/>
    <mergeCell ref="C131:X131"/>
    <mergeCell ref="Y131:AC131"/>
    <mergeCell ref="A127:B127"/>
    <mergeCell ref="C127:X127"/>
    <mergeCell ref="Y127:AC127"/>
    <mergeCell ref="AD127:AJ127"/>
    <mergeCell ref="A128:B128"/>
    <mergeCell ref="C128:X128"/>
    <mergeCell ref="Y128:AC128"/>
    <mergeCell ref="AD128:AJ128"/>
    <mergeCell ref="A124:AC124"/>
    <mergeCell ref="AD124:AJ124"/>
    <mergeCell ref="A126:AJ126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10:B110"/>
    <mergeCell ref="C110:AC110"/>
    <mergeCell ref="AD110:AJ110"/>
    <mergeCell ref="A111:AC111"/>
    <mergeCell ref="AD111:AJ111"/>
    <mergeCell ref="A112:AJ112"/>
    <mergeCell ref="A107:AJ107"/>
    <mergeCell ref="A108:AJ108"/>
    <mergeCell ref="A109:B109"/>
    <mergeCell ref="C109:X109"/>
    <mergeCell ref="Y109:AC109"/>
    <mergeCell ref="AD109:AJ109"/>
    <mergeCell ref="A92:AJ92"/>
    <mergeCell ref="A80:B80"/>
    <mergeCell ref="C80:AC80"/>
    <mergeCell ref="AD80:AJ80"/>
    <mergeCell ref="A81:AC81"/>
    <mergeCell ref="AD81:AJ81"/>
    <mergeCell ref="A82:AJ82"/>
    <mergeCell ref="A83:AJ83"/>
    <mergeCell ref="A84:B84"/>
    <mergeCell ref="C84:X84"/>
    <mergeCell ref="A78:B78"/>
    <mergeCell ref="C78:AC78"/>
    <mergeCell ref="AD78:AJ78"/>
    <mergeCell ref="A79:B79"/>
    <mergeCell ref="C79:AC79"/>
    <mergeCell ref="AD79:AJ79"/>
    <mergeCell ref="A74:AC74"/>
    <mergeCell ref="AD74:AJ74"/>
    <mergeCell ref="A75:AJ75"/>
    <mergeCell ref="A76:AJ76"/>
    <mergeCell ref="A77:B77"/>
    <mergeCell ref="C77:AC77"/>
    <mergeCell ref="AD77:AJ7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AQ160"/>
  <sheetViews>
    <sheetView showGridLines="0" topLeftCell="A61" zoomScale="115" zoomScaleNormal="115" zoomScaleSheetLayoutView="120" workbookViewId="0">
      <selection activeCell="AD73" sqref="AD73:AJ73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6" width="3.85546875" style="34" customWidth="1"/>
    <col min="37" max="37" width="2.42578125" style="34" customWidth="1"/>
    <col min="38" max="38" width="13" style="130" customWidth="1"/>
    <col min="39" max="42" width="2.42578125" style="34"/>
    <col min="43" max="43" width="3.5703125" style="34" customWidth="1"/>
    <col min="44" max="16384" width="2.42578125" style="34"/>
  </cols>
  <sheetData>
    <row r="1" spans="1:38" ht="15" customHeight="1">
      <c r="A1" s="854"/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  <c r="AI1" s="854"/>
      <c r="AJ1" s="854"/>
    </row>
    <row r="2" spans="1:38" ht="15" customHeight="1">
      <c r="A2" s="855" t="s">
        <v>26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  <c r="S2" s="855"/>
      <c r="T2" s="855"/>
      <c r="U2" s="855"/>
      <c r="V2" s="855"/>
      <c r="W2" s="855"/>
      <c r="X2" s="855"/>
      <c r="Y2" s="855"/>
      <c r="Z2" s="855"/>
      <c r="AA2" s="855"/>
      <c r="AB2" s="855"/>
      <c r="AC2" s="855"/>
      <c r="AD2" s="855"/>
      <c r="AE2" s="855"/>
      <c r="AF2" s="855"/>
      <c r="AG2" s="855"/>
      <c r="AH2" s="855"/>
      <c r="AI2" s="855"/>
      <c r="AJ2" s="855"/>
    </row>
    <row r="3" spans="1:38" ht="15" customHeight="1">
      <c r="A3" s="855" t="s">
        <v>27</v>
      </c>
      <c r="B3" s="855"/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  <c r="AB3" s="855"/>
      <c r="AC3" s="855"/>
      <c r="AD3" s="855"/>
      <c r="AE3" s="855"/>
      <c r="AF3" s="855"/>
      <c r="AG3" s="855"/>
      <c r="AH3" s="855"/>
      <c r="AI3" s="855"/>
      <c r="AJ3" s="855"/>
    </row>
    <row r="4" spans="1:38" ht="15" customHeight="1">
      <c r="A4" s="855" t="s">
        <v>329</v>
      </c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B4" s="855"/>
      <c r="AC4" s="855"/>
      <c r="AD4" s="855"/>
      <c r="AE4" s="855"/>
      <c r="AF4" s="855"/>
      <c r="AG4" s="855"/>
      <c r="AH4" s="855"/>
      <c r="AI4" s="855"/>
      <c r="AJ4" s="855"/>
    </row>
    <row r="5" spans="1:38" ht="15" customHeight="1">
      <c r="A5" s="854"/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854"/>
      <c r="W5" s="854"/>
      <c r="X5" s="854"/>
      <c r="Y5" s="854"/>
      <c r="Z5" s="854"/>
      <c r="AA5" s="854"/>
      <c r="AB5" s="854"/>
      <c r="AC5" s="854"/>
      <c r="AD5" s="854"/>
      <c r="AE5" s="854"/>
      <c r="AF5" s="854"/>
      <c r="AG5" s="854"/>
      <c r="AH5" s="854"/>
      <c r="AI5" s="854"/>
      <c r="AJ5" s="854"/>
    </row>
    <row r="6" spans="1:38" ht="15" customHeight="1">
      <c r="A6" s="854"/>
      <c r="B6" s="854"/>
      <c r="C6" s="854"/>
      <c r="D6" s="854"/>
      <c r="E6" s="854"/>
      <c r="F6" s="854"/>
      <c r="G6" s="854"/>
      <c r="H6" s="854"/>
      <c r="I6" s="854"/>
      <c r="J6" s="854"/>
      <c r="K6" s="854"/>
      <c r="L6" s="854"/>
      <c r="M6" s="854"/>
      <c r="N6" s="854"/>
      <c r="O6" s="854"/>
      <c r="P6" s="854"/>
      <c r="Q6" s="854"/>
      <c r="R6" s="854"/>
      <c r="S6" s="854"/>
      <c r="T6" s="854"/>
      <c r="U6" s="854"/>
      <c r="V6" s="854"/>
      <c r="W6" s="854"/>
      <c r="X6" s="854"/>
      <c r="Y6" s="854"/>
      <c r="Z6" s="854"/>
      <c r="AA6" s="854"/>
      <c r="AB6" s="854"/>
      <c r="AC6" s="854"/>
      <c r="AD6" s="854"/>
      <c r="AE6" s="854"/>
      <c r="AF6" s="854"/>
      <c r="AG6" s="854"/>
      <c r="AH6" s="854"/>
      <c r="AI6" s="854"/>
      <c r="AJ6" s="854"/>
    </row>
    <row r="7" spans="1:38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  <c r="AL7" s="131"/>
    </row>
    <row r="8" spans="1:38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  <c r="AL8" s="131"/>
    </row>
    <row r="9" spans="1:38" s="35" customFormat="1" ht="14.45" customHeight="1">
      <c r="A9" s="856" t="s">
        <v>349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  <c r="AL9" s="131"/>
    </row>
    <row r="10" spans="1:38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  <c r="AL10" s="131"/>
    </row>
    <row r="11" spans="1:38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  <c r="AL11" s="131"/>
    </row>
    <row r="12" spans="1:38" s="35" customFormat="1" ht="14.45" customHeight="1">
      <c r="A12" s="860" t="s">
        <v>144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  <c r="R12" s="861"/>
      <c r="S12" s="861"/>
      <c r="T12" s="861"/>
      <c r="U12" s="861"/>
      <c r="V12" s="861"/>
      <c r="W12" s="861"/>
      <c r="X12" s="861"/>
      <c r="Y12" s="861"/>
      <c r="Z12" s="861"/>
      <c r="AA12" s="861"/>
      <c r="AB12" s="861"/>
      <c r="AC12" s="861"/>
      <c r="AD12" s="861"/>
      <c r="AE12" s="861"/>
      <c r="AF12" s="861"/>
      <c r="AG12" s="861"/>
      <c r="AH12" s="861"/>
      <c r="AI12" s="861"/>
      <c r="AJ12" s="862"/>
      <c r="AL12" s="131"/>
    </row>
    <row r="13" spans="1:38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  <c r="AL13" s="131"/>
    </row>
    <row r="14" spans="1:38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L14" s="131"/>
    </row>
    <row r="15" spans="1:38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  <c r="AL15" s="131"/>
    </row>
    <row r="16" spans="1:38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  <c r="AL16" s="131"/>
    </row>
    <row r="17" spans="1:38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  <c r="AL17" s="131"/>
    </row>
    <row r="18" spans="1:38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  <c r="AL18" s="131"/>
    </row>
    <row r="19" spans="1:38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  <c r="AL19" s="131"/>
    </row>
    <row r="20" spans="1:38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L20" s="131"/>
    </row>
    <row r="21" spans="1:38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  <c r="AL21" s="131"/>
    </row>
    <row r="22" spans="1:38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333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  <c r="AL22" s="131"/>
    </row>
    <row r="23" spans="1:38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  <c r="AL23" s="131"/>
    </row>
    <row r="24" spans="1:38" s="35" customFormat="1" ht="14.45" customHeight="1">
      <c r="A24" s="832" t="s">
        <v>352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  <c r="AL24" s="131"/>
    </row>
    <row r="25" spans="1:38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L25" s="131"/>
    </row>
    <row r="26" spans="1:38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  <c r="AL26" s="131"/>
    </row>
    <row r="27" spans="1:38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L27" s="131"/>
    </row>
    <row r="28" spans="1:38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  <c r="AL28" s="131"/>
    </row>
    <row r="29" spans="1:38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  <c r="AL29" s="131"/>
    </row>
    <row r="30" spans="1:38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819" t="s">
        <v>218</v>
      </c>
      <c r="AE30" s="819"/>
      <c r="AF30" s="819"/>
      <c r="AG30" s="819"/>
      <c r="AH30" s="819"/>
      <c r="AI30" s="819"/>
      <c r="AJ30" s="819"/>
      <c r="AL30" s="131"/>
    </row>
    <row r="31" spans="1:38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819" t="s">
        <v>225</v>
      </c>
      <c r="AE31" s="819"/>
      <c r="AF31" s="819"/>
      <c r="AG31" s="819"/>
      <c r="AH31" s="819"/>
      <c r="AI31" s="819"/>
      <c r="AJ31" s="819"/>
      <c r="AL31" s="131"/>
    </row>
    <row r="32" spans="1:38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v>1103</v>
      </c>
      <c r="AE32" s="820"/>
      <c r="AF32" s="820"/>
      <c r="AG32" s="820"/>
      <c r="AH32" s="820"/>
      <c r="AI32" s="820"/>
      <c r="AJ32" s="820"/>
      <c r="AL32" s="131"/>
    </row>
    <row r="33" spans="1:38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19" t="s">
        <v>221</v>
      </c>
      <c r="AE33" s="819"/>
      <c r="AF33" s="819"/>
      <c r="AG33" s="819"/>
      <c r="AH33" s="819"/>
      <c r="AI33" s="819"/>
      <c r="AJ33" s="819"/>
      <c r="AL33" s="131"/>
    </row>
    <row r="34" spans="1:38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  <c r="AL34" s="131"/>
    </row>
    <row r="35" spans="1:38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L35" s="131"/>
    </row>
    <row r="36" spans="1:38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8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  <c r="AL37" s="132"/>
    </row>
    <row r="38" spans="1:38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1103</v>
      </c>
      <c r="AE38" s="775"/>
      <c r="AF38" s="775"/>
      <c r="AG38" s="775"/>
      <c r="AH38" s="775"/>
      <c r="AI38" s="775"/>
      <c r="AJ38" s="776"/>
    </row>
    <row r="39" spans="1:38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8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54">
        <v>0.1</v>
      </c>
      <c r="Z40" s="755"/>
      <c r="AA40" s="755"/>
      <c r="AB40" s="755"/>
      <c r="AC40" s="756"/>
      <c r="AD40" s="744">
        <f>AD38*Y40</f>
        <v>110.30000000000001</v>
      </c>
      <c r="AE40" s="745"/>
      <c r="AF40" s="745"/>
      <c r="AG40" s="745"/>
      <c r="AH40" s="745"/>
      <c r="AI40" s="745"/>
      <c r="AJ40" s="746"/>
    </row>
    <row r="41" spans="1:38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8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8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8" ht="14.45" customHeight="1">
      <c r="A44" s="722" t="s">
        <v>8</v>
      </c>
      <c r="B44" s="723"/>
      <c r="C44" s="724" t="s">
        <v>11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14"/>
      <c r="Z44" s="811"/>
      <c r="AA44" s="811"/>
      <c r="AB44" s="811"/>
      <c r="AC44" s="812"/>
      <c r="AD44" s="744"/>
      <c r="AE44" s="745"/>
      <c r="AF44" s="745"/>
      <c r="AG44" s="745"/>
      <c r="AH44" s="745"/>
      <c r="AI44" s="745"/>
      <c r="AJ44" s="746"/>
    </row>
    <row r="45" spans="1:38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1213.3</v>
      </c>
      <c r="AE45" s="692"/>
      <c r="AF45" s="692"/>
      <c r="AG45" s="692"/>
      <c r="AH45" s="692"/>
      <c r="AI45" s="692"/>
      <c r="AJ45" s="693"/>
    </row>
    <row r="46" spans="1:38" ht="14.45" customHeight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7"/>
      <c r="Z46" s="157"/>
      <c r="AA46" s="157"/>
      <c r="AB46" s="157"/>
      <c r="AC46" s="157"/>
      <c r="AD46" s="61"/>
      <c r="AE46" s="61"/>
      <c r="AF46" s="61"/>
      <c r="AG46" s="61"/>
      <c r="AH46" s="61"/>
      <c r="AI46" s="61"/>
      <c r="AJ46" s="61"/>
    </row>
    <row r="47" spans="1:38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8" ht="14.45" customHeight="1">
      <c r="A48" s="813" t="s">
        <v>280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101.10833333333332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33.702777777777776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134.8111111111111</v>
      </c>
      <c r="AE52" s="692"/>
      <c r="AF52" s="692"/>
      <c r="AG52" s="692"/>
      <c r="AH52" s="692"/>
      <c r="AI52" s="692"/>
      <c r="AJ52" s="693"/>
    </row>
    <row r="53" spans="1:36" ht="14.45" customHeight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7"/>
      <c r="Z53" s="157"/>
      <c r="AA53" s="157"/>
      <c r="AB53" s="157"/>
      <c r="AC53" s="157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269.62222222222221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33.702777777777776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40.443333333333328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20.221666666666664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13.481111111111112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8.0886666666666667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2.6962222222222221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107.84888888888889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496.10488888888887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109.82000000000001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454.82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134.8111111111111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496.10488888888887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454.82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1085.7359999999999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5.055416666666666</v>
      </c>
      <c r="AE85" s="775"/>
      <c r="AF85" s="775"/>
      <c r="AG85" s="775"/>
      <c r="AH85" s="775"/>
      <c r="AI85" s="775"/>
      <c r="AJ85" s="776"/>
      <c r="AL85" s="149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0.40443333333333331</v>
      </c>
      <c r="AE86" s="775"/>
      <c r="AF86" s="775"/>
      <c r="AG86" s="775"/>
      <c r="AH86" s="775"/>
      <c r="AI86" s="775"/>
      <c r="AJ86" s="776"/>
      <c r="AL86" s="149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44.056271111111116</v>
      </c>
      <c r="AE87" s="775"/>
      <c r="AF87" s="775"/>
      <c r="AG87" s="775"/>
      <c r="AH87" s="775"/>
      <c r="AI87" s="775"/>
      <c r="AJ87" s="776"/>
      <c r="AL87" s="149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44.703477777777778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8.6818355555555566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0.7549422222222224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103.65637666666667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101.10833333333332</v>
      </c>
      <c r="AE96" s="775"/>
      <c r="AF96" s="775"/>
      <c r="AG96" s="775"/>
      <c r="AH96" s="775"/>
      <c r="AI96" s="775"/>
      <c r="AJ96" s="776"/>
      <c r="AK96" s="130"/>
      <c r="AL96" s="133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16.86487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0.24266000000000001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3.39724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1.5772899999999999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0.84931000000000001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23.812135925925926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45.646610826666667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193.4984500859259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7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7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7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193.4984500859259</v>
      </c>
      <c r="AE115" s="775"/>
      <c r="AF115" s="775"/>
      <c r="AG115" s="775"/>
      <c r="AH115" s="775"/>
      <c r="AI115" s="775"/>
      <c r="AJ115" s="776"/>
    </row>
    <row r="116" spans="1:37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7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193.4984500859259</v>
      </c>
      <c r="AE117" s="692"/>
      <c r="AF117" s="692"/>
      <c r="AG117" s="692"/>
      <c r="AH117" s="692"/>
      <c r="AI117" s="692"/>
      <c r="AJ117" s="693"/>
    </row>
    <row r="118" spans="1:37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7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7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7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'Fardamentos e EPI´s - ASG'!H20</f>
        <v>135.04333333333332</v>
      </c>
      <c r="AE121" s="772"/>
      <c r="AF121" s="772"/>
      <c r="AG121" s="772"/>
      <c r="AH121" s="772"/>
      <c r="AI121" s="772"/>
      <c r="AJ121" s="773"/>
    </row>
    <row r="122" spans="1:37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7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>
        <f>'Equip. e Ferramentas - Preço'!O165</f>
        <v>155.14487882758621</v>
      </c>
      <c r="AE123" s="772"/>
      <c r="AF123" s="772"/>
      <c r="AG123" s="772"/>
      <c r="AH123" s="772"/>
      <c r="AI123" s="772"/>
      <c r="AJ123" s="773"/>
    </row>
    <row r="124" spans="1:37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290.18821216091953</v>
      </c>
      <c r="AE124" s="692"/>
      <c r="AF124" s="692"/>
      <c r="AG124" s="692"/>
      <c r="AH124" s="692"/>
      <c r="AI124" s="692"/>
      <c r="AJ124" s="693"/>
    </row>
    <row r="125" spans="1:37" ht="14.45" customHeight="1"/>
    <row r="126" spans="1:37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7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7" ht="14.45" customHeight="1">
      <c r="A128" s="736" t="s">
        <v>0</v>
      </c>
      <c r="B128" s="737"/>
      <c r="C128" s="757" t="s">
        <v>326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86.591371167405356</v>
      </c>
      <c r="AE128" s="745"/>
      <c r="AF128" s="745"/>
      <c r="AG128" s="745"/>
      <c r="AH128" s="745"/>
      <c r="AI128" s="745"/>
      <c r="AJ128" s="746"/>
      <c r="AK128" s="130"/>
    </row>
    <row r="129" spans="1:37" ht="14.45" customHeight="1">
      <c r="A129" s="736" t="s">
        <v>1</v>
      </c>
      <c r="B129" s="737"/>
      <c r="C129" s="757" t="s">
        <v>325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195.98513674222747</v>
      </c>
      <c r="AE129" s="745"/>
      <c r="AF129" s="745"/>
      <c r="AG129" s="745"/>
      <c r="AH129" s="745"/>
      <c r="AI129" s="745"/>
      <c r="AJ129" s="746"/>
      <c r="AK129" s="130"/>
    </row>
    <row r="130" spans="1:37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</row>
    <row r="131" spans="1:37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7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104.07078971504582</v>
      </c>
      <c r="AE132" s="745"/>
      <c r="AF132" s="745"/>
      <c r="AG132" s="745"/>
      <c r="AH132" s="745"/>
      <c r="AI132" s="745"/>
      <c r="AJ132" s="746"/>
      <c r="AK132" s="130"/>
    </row>
    <row r="133" spans="1:37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22.548671104926594</v>
      </c>
      <c r="AE133" s="745"/>
      <c r="AF133" s="745"/>
      <c r="AG133" s="745"/>
      <c r="AH133" s="745"/>
      <c r="AI133" s="745"/>
      <c r="AJ133" s="746"/>
      <c r="AK133" s="134"/>
    </row>
    <row r="134" spans="1:37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173.45131619174305</v>
      </c>
      <c r="AE134" s="745"/>
      <c r="AF134" s="745"/>
      <c r="AG134" s="745"/>
      <c r="AH134" s="745"/>
      <c r="AI134" s="745"/>
      <c r="AJ134" s="746"/>
      <c r="AK134" s="130"/>
    </row>
    <row r="135" spans="1:37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582.64728492134827</v>
      </c>
      <c r="AE135" s="747"/>
      <c r="AF135" s="747"/>
      <c r="AG135" s="747"/>
      <c r="AH135" s="747"/>
      <c r="AI135" s="747"/>
      <c r="AJ135" s="747"/>
      <c r="AK135" s="130"/>
    </row>
    <row r="136" spans="1:37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7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7" ht="14.45" customHeight="1">
      <c r="A138" s="155"/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30"/>
    </row>
    <row r="139" spans="1:37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7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1213.3</v>
      </c>
      <c r="AE140" s="720"/>
      <c r="AF140" s="720"/>
      <c r="AG140" s="720"/>
      <c r="AH140" s="720"/>
      <c r="AI140" s="720"/>
      <c r="AJ140" s="721"/>
      <c r="AK140" s="130"/>
    </row>
    <row r="141" spans="1:37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1085.7359999999999</v>
      </c>
      <c r="AE141" s="720"/>
      <c r="AF141" s="720"/>
      <c r="AG141" s="720"/>
      <c r="AH141" s="720"/>
      <c r="AI141" s="720"/>
      <c r="AJ141" s="721"/>
      <c r="AK141" s="130"/>
    </row>
    <row r="142" spans="1:37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103.65637666666667</v>
      </c>
      <c r="AE142" s="720"/>
      <c r="AF142" s="720"/>
      <c r="AG142" s="720"/>
      <c r="AH142" s="720"/>
      <c r="AI142" s="720"/>
      <c r="AJ142" s="721"/>
      <c r="AK142" s="130"/>
    </row>
    <row r="143" spans="1:37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193.4984500859259</v>
      </c>
      <c r="AE143" s="720"/>
      <c r="AF143" s="720"/>
      <c r="AG143" s="720"/>
      <c r="AH143" s="720"/>
      <c r="AI143" s="720"/>
      <c r="AJ143" s="721"/>
      <c r="AK143" s="130"/>
    </row>
    <row r="144" spans="1:37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290.18821216091953</v>
      </c>
      <c r="AE144" s="720"/>
      <c r="AF144" s="720"/>
      <c r="AG144" s="720"/>
      <c r="AH144" s="720"/>
      <c r="AI144" s="720"/>
      <c r="AJ144" s="721"/>
      <c r="AK144" s="130"/>
    </row>
    <row r="145" spans="1:37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2886.3790389135124</v>
      </c>
      <c r="AE145" s="720"/>
      <c r="AF145" s="720"/>
      <c r="AG145" s="720"/>
      <c r="AH145" s="720"/>
      <c r="AI145" s="720"/>
      <c r="AJ145" s="721"/>
      <c r="AK145" s="130"/>
    </row>
    <row r="146" spans="1:37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582.64728492134827</v>
      </c>
      <c r="AE146" s="720"/>
      <c r="AF146" s="720"/>
      <c r="AG146" s="720"/>
      <c r="AH146" s="720"/>
      <c r="AI146" s="720"/>
      <c r="AJ146" s="721"/>
      <c r="AK146" s="130"/>
    </row>
    <row r="147" spans="1:37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3469.0263238348607</v>
      </c>
      <c r="AE147" s="692"/>
      <c r="AF147" s="692"/>
      <c r="AG147" s="692"/>
      <c r="AH147" s="692"/>
      <c r="AI147" s="692"/>
      <c r="AJ147" s="693"/>
      <c r="AK147" s="130"/>
    </row>
    <row r="148" spans="1:37" ht="14.45" customHeight="1"/>
    <row r="149" spans="1:37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7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7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7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7" ht="34.15" customHeight="1">
      <c r="A153" s="701" t="str">
        <f>A24</f>
        <v>SERVIÇO DE LIMPEZA (JOÃO PESSOA)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3469.0263238348607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3469.0263238348607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3469.0263238348607</v>
      </c>
      <c r="AF153" s="714"/>
      <c r="AG153" s="714"/>
      <c r="AH153" s="714"/>
      <c r="AI153" s="714"/>
      <c r="AJ153" s="715"/>
    </row>
    <row r="154" spans="1:37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3469.03</v>
      </c>
      <c r="AF154" s="686"/>
      <c r="AG154" s="686"/>
      <c r="AH154" s="686"/>
      <c r="AI154" s="686"/>
      <c r="AJ154" s="686"/>
    </row>
    <row r="155" spans="1:37" ht="14.45" customHeight="1"/>
    <row r="156" spans="1:37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7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7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7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3469.03</v>
      </c>
      <c r="AE159" s="700"/>
      <c r="AF159" s="700"/>
      <c r="AG159" s="700"/>
      <c r="AH159" s="700"/>
      <c r="AI159" s="700"/>
      <c r="AJ159" s="700"/>
    </row>
    <row r="160" spans="1:37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124885.08</v>
      </c>
      <c r="AE160" s="684"/>
      <c r="AF160" s="684"/>
      <c r="AG160" s="684"/>
      <c r="AH160" s="684"/>
      <c r="AI160" s="684"/>
      <c r="AJ160" s="684"/>
    </row>
  </sheetData>
  <mergeCells count="392"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  <mergeCell ref="AD159:AJ159"/>
    <mergeCell ref="A153:L153"/>
    <mergeCell ref="M153:Q153"/>
    <mergeCell ref="R153:V153"/>
    <mergeCell ref="W153:AA153"/>
    <mergeCell ref="AB153:AD153"/>
    <mergeCell ref="AE153:AJ153"/>
    <mergeCell ref="A152:L152"/>
    <mergeCell ref="M152:Q152"/>
    <mergeCell ref="R152:V152"/>
    <mergeCell ref="W152:AA152"/>
    <mergeCell ref="AB152:AD152"/>
    <mergeCell ref="AE152:AJ15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A145:AC145"/>
    <mergeCell ref="AD145:AJ145"/>
    <mergeCell ref="A146:B146"/>
    <mergeCell ref="C146:AC146"/>
    <mergeCell ref="AD146:AJ146"/>
    <mergeCell ref="A147:AC147"/>
    <mergeCell ref="AD147:AJ147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35:AC135"/>
    <mergeCell ref="AD135:AJ135"/>
    <mergeCell ref="A137:AJ137"/>
    <mergeCell ref="A139:AC139"/>
    <mergeCell ref="AD139:AJ139"/>
    <mergeCell ref="A140:B140"/>
    <mergeCell ref="C140:AC140"/>
    <mergeCell ref="AD140:AJ140"/>
    <mergeCell ref="AD132:AJ132"/>
    <mergeCell ref="A133:B133"/>
    <mergeCell ref="C133:X133"/>
    <mergeCell ref="Y133:AC133"/>
    <mergeCell ref="AD133:AJ133"/>
    <mergeCell ref="A134:B134"/>
    <mergeCell ref="C134:X134"/>
    <mergeCell ref="Y134:AC134"/>
    <mergeCell ref="AD134:AJ134"/>
    <mergeCell ref="Y130:AC130"/>
    <mergeCell ref="A131:B131"/>
    <mergeCell ref="C131:X131"/>
    <mergeCell ref="Y131:AC131"/>
    <mergeCell ref="A132:B132"/>
    <mergeCell ref="C132:X132"/>
    <mergeCell ref="Y132:AC132"/>
    <mergeCell ref="A128:B128"/>
    <mergeCell ref="C128:X128"/>
    <mergeCell ref="Y128:AC128"/>
    <mergeCell ref="AD128:AJ128"/>
    <mergeCell ref="A129:B129"/>
    <mergeCell ref="C129:X129"/>
    <mergeCell ref="Y129:AC129"/>
    <mergeCell ref="AD129:AJ129"/>
    <mergeCell ref="A124:AC124"/>
    <mergeCell ref="AD124:AJ124"/>
    <mergeCell ref="A126:AJ126"/>
    <mergeCell ref="A127:B127"/>
    <mergeCell ref="C127:X127"/>
    <mergeCell ref="Y127:AC127"/>
    <mergeCell ref="AD127:AJ127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10:B110"/>
    <mergeCell ref="C110:AC110"/>
    <mergeCell ref="AD110:AJ110"/>
    <mergeCell ref="A111:AC111"/>
    <mergeCell ref="AD111:AJ111"/>
    <mergeCell ref="A112:AJ112"/>
    <mergeCell ref="A106:X106"/>
    <mergeCell ref="Y106:AC106"/>
    <mergeCell ref="AD106:AJ106"/>
    <mergeCell ref="A107:AJ107"/>
    <mergeCell ref="A108:AJ108"/>
    <mergeCell ref="A109:B109"/>
    <mergeCell ref="C109:X109"/>
    <mergeCell ref="Y109:AC109"/>
    <mergeCell ref="AD109:AJ109"/>
    <mergeCell ref="A104:AC104"/>
    <mergeCell ref="AD104:AJ104"/>
    <mergeCell ref="A105:B105"/>
    <mergeCell ref="C105:X105"/>
    <mergeCell ref="Y105:AC105"/>
    <mergeCell ref="AD105:AJ105"/>
    <mergeCell ref="A102:X102"/>
    <mergeCell ref="Y102:AC102"/>
    <mergeCell ref="AD102:AJ102"/>
    <mergeCell ref="A103:B103"/>
    <mergeCell ref="C103:X103"/>
    <mergeCell ref="Y103:AC103"/>
    <mergeCell ref="AD103:AJ103"/>
    <mergeCell ref="A100:B100"/>
    <mergeCell ref="C100:X100"/>
    <mergeCell ref="Y100:AC100"/>
    <mergeCell ref="AD100:AJ100"/>
    <mergeCell ref="A101:B101"/>
    <mergeCell ref="C101:X101"/>
    <mergeCell ref="Y101:AC101"/>
    <mergeCell ref="AD101:AJ101"/>
    <mergeCell ref="A98:B98"/>
    <mergeCell ref="C98:X98"/>
    <mergeCell ref="Y98:AC98"/>
    <mergeCell ref="AD98:AJ98"/>
    <mergeCell ref="A99:B99"/>
    <mergeCell ref="C99:X99"/>
    <mergeCell ref="Y99:AC99"/>
    <mergeCell ref="AD99:AJ99"/>
    <mergeCell ref="A96:B96"/>
    <mergeCell ref="C96:X96"/>
    <mergeCell ref="Y96:AC96"/>
    <mergeCell ref="AD96:AJ96"/>
    <mergeCell ref="A97:B97"/>
    <mergeCell ref="C97:X97"/>
    <mergeCell ref="Y97:AC97"/>
    <mergeCell ref="AD97:AJ97"/>
    <mergeCell ref="A92:AJ92"/>
    <mergeCell ref="A93:AJ93"/>
    <mergeCell ref="A94:AJ94"/>
    <mergeCell ref="A95:B95"/>
    <mergeCell ref="C95:X95"/>
    <mergeCell ref="Y95:AC95"/>
    <mergeCell ref="AD95:AJ95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A83:AJ83"/>
    <mergeCell ref="A84:B84"/>
    <mergeCell ref="C84:X84"/>
    <mergeCell ref="Y84:AC84"/>
    <mergeCell ref="AD84:AJ84"/>
    <mergeCell ref="A85:B85"/>
    <mergeCell ref="C85:X85"/>
    <mergeCell ref="Y85:AC85"/>
    <mergeCell ref="AD85:AJ85"/>
    <mergeCell ref="A80:B80"/>
    <mergeCell ref="C80:AC80"/>
    <mergeCell ref="AD80:AJ80"/>
    <mergeCell ref="A81:AC81"/>
    <mergeCell ref="AD81:AJ81"/>
    <mergeCell ref="A82:AJ82"/>
    <mergeCell ref="A78:B78"/>
    <mergeCell ref="C78:AC78"/>
    <mergeCell ref="AD78:AJ78"/>
    <mergeCell ref="A79:B79"/>
    <mergeCell ref="C79:AC79"/>
    <mergeCell ref="AD79:AJ79"/>
    <mergeCell ref="A74:AC74"/>
    <mergeCell ref="AD74:AJ74"/>
    <mergeCell ref="A75:AJ75"/>
    <mergeCell ref="A76:AJ76"/>
    <mergeCell ref="A77:B77"/>
    <mergeCell ref="C77:AC77"/>
    <mergeCell ref="AD77:AJ7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AQ160"/>
  <sheetViews>
    <sheetView showGridLines="0" topLeftCell="A61" zoomScale="115" zoomScaleNormal="115" zoomScaleSheetLayoutView="120" workbookViewId="0">
      <selection activeCell="AL77" sqref="AL77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6" width="3.85546875" style="34" customWidth="1"/>
    <col min="37" max="37" width="2.42578125" style="34" customWidth="1"/>
    <col min="38" max="38" width="13" style="34" customWidth="1"/>
    <col min="39" max="42" width="2.42578125" style="34"/>
    <col min="43" max="43" width="3.5703125" style="34" customWidth="1"/>
    <col min="44" max="16384" width="2.42578125" style="34"/>
  </cols>
  <sheetData>
    <row r="1" spans="1:36" ht="15" customHeight="1">
      <c r="A1" s="854"/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  <c r="AI1" s="854"/>
      <c r="AJ1" s="854"/>
    </row>
    <row r="2" spans="1:36" ht="15" customHeight="1">
      <c r="A2" s="855" t="s">
        <v>26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  <c r="S2" s="855"/>
      <c r="T2" s="855"/>
      <c r="U2" s="855"/>
      <c r="V2" s="855"/>
      <c r="W2" s="855"/>
      <c r="X2" s="855"/>
      <c r="Y2" s="855"/>
      <c r="Z2" s="855"/>
      <c r="AA2" s="855"/>
      <c r="AB2" s="855"/>
      <c r="AC2" s="855"/>
      <c r="AD2" s="855"/>
      <c r="AE2" s="855"/>
      <c r="AF2" s="855"/>
      <c r="AG2" s="855"/>
      <c r="AH2" s="855"/>
      <c r="AI2" s="855"/>
      <c r="AJ2" s="855"/>
    </row>
    <row r="3" spans="1:36" ht="15" customHeight="1">
      <c r="A3" s="855" t="s">
        <v>27</v>
      </c>
      <c r="B3" s="855"/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  <c r="AB3" s="855"/>
      <c r="AC3" s="855"/>
      <c r="AD3" s="855"/>
      <c r="AE3" s="855"/>
      <c r="AF3" s="855"/>
      <c r="AG3" s="855"/>
      <c r="AH3" s="855"/>
      <c r="AI3" s="855"/>
      <c r="AJ3" s="855"/>
    </row>
    <row r="4" spans="1:36" ht="15" customHeight="1">
      <c r="A4" s="855" t="s">
        <v>329</v>
      </c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B4" s="855"/>
      <c r="AC4" s="855"/>
      <c r="AD4" s="855"/>
      <c r="AE4" s="855"/>
      <c r="AF4" s="855"/>
      <c r="AG4" s="855"/>
      <c r="AH4" s="855"/>
      <c r="AI4" s="855"/>
      <c r="AJ4" s="855"/>
    </row>
    <row r="5" spans="1:36" ht="15" customHeight="1">
      <c r="A5" s="854"/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854"/>
      <c r="W5" s="854"/>
      <c r="X5" s="854"/>
      <c r="Y5" s="854"/>
      <c r="Z5" s="854"/>
      <c r="AA5" s="854"/>
      <c r="AB5" s="854"/>
      <c r="AC5" s="854"/>
      <c r="AD5" s="854"/>
      <c r="AE5" s="854"/>
      <c r="AF5" s="854"/>
      <c r="AG5" s="854"/>
      <c r="AH5" s="854"/>
      <c r="AI5" s="854"/>
      <c r="AJ5" s="854"/>
    </row>
    <row r="6" spans="1:36" ht="15" customHeight="1">
      <c r="A6" s="854"/>
      <c r="B6" s="854"/>
      <c r="C6" s="854"/>
      <c r="D6" s="854"/>
      <c r="E6" s="854"/>
      <c r="F6" s="854"/>
      <c r="G6" s="854"/>
      <c r="H6" s="854"/>
      <c r="I6" s="854"/>
      <c r="J6" s="854"/>
      <c r="K6" s="854"/>
      <c r="L6" s="854"/>
      <c r="M6" s="854"/>
      <c r="N6" s="854"/>
      <c r="O6" s="854"/>
      <c r="P6" s="854"/>
      <c r="Q6" s="854"/>
      <c r="R6" s="854"/>
      <c r="S6" s="854"/>
      <c r="T6" s="854"/>
      <c r="U6" s="854"/>
      <c r="V6" s="854"/>
      <c r="W6" s="854"/>
      <c r="X6" s="854"/>
      <c r="Y6" s="854"/>
      <c r="Z6" s="854"/>
      <c r="AA6" s="854"/>
      <c r="AB6" s="854"/>
      <c r="AC6" s="854"/>
      <c r="AD6" s="854"/>
      <c r="AE6" s="854"/>
      <c r="AF6" s="854"/>
      <c r="AG6" s="854"/>
      <c r="AH6" s="854"/>
      <c r="AI6" s="854"/>
      <c r="AJ6" s="854"/>
    </row>
    <row r="7" spans="1:36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</row>
    <row r="8" spans="1:36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</row>
    <row r="9" spans="1:36" s="35" customFormat="1" ht="14.45" customHeight="1">
      <c r="A9" s="856" t="s">
        <v>351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</row>
    <row r="10" spans="1:36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</row>
    <row r="11" spans="1:36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</row>
    <row r="12" spans="1:36" s="35" customFormat="1" ht="14.45" customHeight="1">
      <c r="A12" s="860" t="s">
        <v>144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  <c r="R12" s="861"/>
      <c r="S12" s="861"/>
      <c r="T12" s="861"/>
      <c r="U12" s="861"/>
      <c r="V12" s="861"/>
      <c r="W12" s="861"/>
      <c r="X12" s="861"/>
      <c r="Y12" s="861"/>
      <c r="Z12" s="861"/>
      <c r="AA12" s="861"/>
      <c r="AB12" s="861"/>
      <c r="AC12" s="861"/>
      <c r="AD12" s="861"/>
      <c r="AE12" s="861"/>
      <c r="AF12" s="861"/>
      <c r="AG12" s="861"/>
      <c r="AH12" s="861"/>
      <c r="AI12" s="861"/>
      <c r="AJ12" s="862"/>
    </row>
    <row r="13" spans="1:36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</row>
    <row r="14" spans="1:36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</row>
    <row r="15" spans="1:36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</row>
    <row r="16" spans="1:36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</row>
    <row r="17" spans="1:36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</row>
    <row r="18" spans="1:36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</row>
    <row r="19" spans="1:36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</row>
    <row r="20" spans="1:36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</row>
    <row r="21" spans="1:36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</row>
    <row r="22" spans="1:36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334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</row>
    <row r="23" spans="1:36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</row>
    <row r="24" spans="1:36" s="35" customFormat="1" ht="14.45" customHeight="1">
      <c r="A24" s="832" t="s">
        <v>354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</row>
    <row r="25" spans="1:36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</row>
    <row r="26" spans="1:36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</row>
    <row r="27" spans="1:36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</row>
    <row r="29" spans="1:36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</row>
    <row r="30" spans="1:36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819" t="s">
        <v>218</v>
      </c>
      <c r="AE30" s="819"/>
      <c r="AF30" s="819"/>
      <c r="AG30" s="819"/>
      <c r="AH30" s="819"/>
      <c r="AI30" s="819"/>
      <c r="AJ30" s="819"/>
    </row>
    <row r="31" spans="1:36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819" t="s">
        <v>225</v>
      </c>
      <c r="AE31" s="819"/>
      <c r="AF31" s="819"/>
      <c r="AG31" s="819"/>
      <c r="AH31" s="819"/>
      <c r="AI31" s="819"/>
      <c r="AJ31" s="819"/>
    </row>
    <row r="32" spans="1:36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f>'ASG CG'!AD32</f>
        <v>1103</v>
      </c>
      <c r="AE32" s="820"/>
      <c r="AF32" s="820"/>
      <c r="AG32" s="820"/>
      <c r="AH32" s="820"/>
      <c r="AI32" s="820"/>
      <c r="AJ32" s="820"/>
    </row>
    <row r="33" spans="1:36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19" t="s">
        <v>221</v>
      </c>
      <c r="AE33" s="819"/>
      <c r="AF33" s="819"/>
      <c r="AG33" s="819"/>
      <c r="AH33" s="819"/>
      <c r="AI33" s="819"/>
      <c r="AJ33" s="819"/>
    </row>
    <row r="34" spans="1:36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</row>
    <row r="35" spans="1:36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6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</row>
    <row r="38" spans="1:36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1103</v>
      </c>
      <c r="AE38" s="775"/>
      <c r="AF38" s="775"/>
      <c r="AG38" s="775"/>
      <c r="AH38" s="775"/>
      <c r="AI38" s="775"/>
      <c r="AJ38" s="776"/>
    </row>
    <row r="39" spans="1:36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6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54">
        <v>0.1</v>
      </c>
      <c r="Z40" s="755"/>
      <c r="AA40" s="755"/>
      <c r="AB40" s="755"/>
      <c r="AC40" s="756"/>
      <c r="AD40" s="744">
        <f>AD38*Y40</f>
        <v>110.30000000000001</v>
      </c>
      <c r="AE40" s="745"/>
      <c r="AF40" s="745"/>
      <c r="AG40" s="745"/>
      <c r="AH40" s="745"/>
      <c r="AI40" s="745"/>
      <c r="AJ40" s="746"/>
    </row>
    <row r="41" spans="1:36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6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6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6" ht="14.45" customHeight="1">
      <c r="A44" s="722" t="s">
        <v>8</v>
      </c>
      <c r="B44" s="723"/>
      <c r="C44" s="724" t="s">
        <v>11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14"/>
      <c r="Z44" s="811"/>
      <c r="AA44" s="811"/>
      <c r="AB44" s="811"/>
      <c r="AC44" s="812"/>
      <c r="AD44" s="744"/>
      <c r="AE44" s="745"/>
      <c r="AF44" s="745"/>
      <c r="AG44" s="745"/>
      <c r="AH44" s="745"/>
      <c r="AI44" s="745"/>
      <c r="AJ44" s="746"/>
    </row>
    <row r="45" spans="1:36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1213.3</v>
      </c>
      <c r="AE45" s="692"/>
      <c r="AF45" s="692"/>
      <c r="AG45" s="692"/>
      <c r="AH45" s="692"/>
      <c r="AI45" s="692"/>
      <c r="AJ45" s="693"/>
    </row>
    <row r="46" spans="1:36" ht="14.45" customHeight="1">
      <c r="A46" s="123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4"/>
      <c r="Z46" s="124"/>
      <c r="AA46" s="124"/>
      <c r="AB46" s="124"/>
      <c r="AC46" s="124"/>
      <c r="AD46" s="61"/>
      <c r="AE46" s="61"/>
      <c r="AF46" s="61"/>
      <c r="AG46" s="61"/>
      <c r="AH46" s="61"/>
      <c r="AI46" s="61"/>
      <c r="AJ46" s="61"/>
    </row>
    <row r="47" spans="1:36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6" ht="14.45" customHeight="1">
      <c r="A48" s="813" t="s">
        <v>280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101.10833333333332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33.702777777777776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134.8111111111111</v>
      </c>
      <c r="AE52" s="692"/>
      <c r="AF52" s="692"/>
      <c r="AG52" s="692"/>
      <c r="AH52" s="692"/>
      <c r="AI52" s="692"/>
      <c r="AJ52" s="693"/>
    </row>
    <row r="53" spans="1:36" ht="14.45" customHeight="1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4"/>
      <c r="Z53" s="124"/>
      <c r="AA53" s="124"/>
      <c r="AB53" s="124"/>
      <c r="AC53" s="124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269.62222222222221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33.702777777777776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40.443333333333328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20.221666666666664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13.481111111111112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8.0886666666666667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2.6962222222222221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107.84888888888889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496.10488888888887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109.82000000000001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454.82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134.8111111111111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496.10488888888887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454.82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1085.7359999999999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5.055416666666666</v>
      </c>
      <c r="AE85" s="775"/>
      <c r="AF85" s="775"/>
      <c r="AG85" s="775"/>
      <c r="AH85" s="775"/>
      <c r="AI85" s="775"/>
      <c r="AJ85" s="776"/>
      <c r="AL85" s="116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0.40443333333333331</v>
      </c>
      <c r="AE86" s="775"/>
      <c r="AF86" s="775"/>
      <c r="AG86" s="775"/>
      <c r="AH86" s="775"/>
      <c r="AI86" s="775"/>
      <c r="AJ86" s="776"/>
      <c r="AL86" s="116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44.056271111111116</v>
      </c>
      <c r="AE87" s="775"/>
      <c r="AF87" s="775"/>
      <c r="AG87" s="775"/>
      <c r="AH87" s="775"/>
      <c r="AI87" s="775"/>
      <c r="AJ87" s="776"/>
      <c r="AL87" s="116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44.703477777777778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8.6818355555555566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0.7549422222222224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103.65637666666667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101.10833333333332</v>
      </c>
      <c r="AE96" s="775"/>
      <c r="AF96" s="775"/>
      <c r="AG96" s="775"/>
      <c r="AH96" s="775"/>
      <c r="AI96" s="775"/>
      <c r="AJ96" s="776"/>
      <c r="AK96" s="130"/>
      <c r="AL96" s="117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16.86487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0.24266000000000001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3.39724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1.5772899999999999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0.84931000000000001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23.812135925925926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45.646610826666667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193.4984500859259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7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7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7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193.4984500859259</v>
      </c>
      <c r="AE115" s="775"/>
      <c r="AF115" s="775"/>
      <c r="AG115" s="775"/>
      <c r="AH115" s="775"/>
      <c r="AI115" s="775"/>
      <c r="AJ115" s="776"/>
    </row>
    <row r="116" spans="1:37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7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193.4984500859259</v>
      </c>
      <c r="AE117" s="692"/>
      <c r="AF117" s="692"/>
      <c r="AG117" s="692"/>
      <c r="AH117" s="692"/>
      <c r="AI117" s="692"/>
      <c r="AJ117" s="693"/>
    </row>
    <row r="118" spans="1:37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7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7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7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'Fardamentos e EPI´s - ASG'!H20</f>
        <v>135.04333333333332</v>
      </c>
      <c r="AE121" s="772"/>
      <c r="AF121" s="772"/>
      <c r="AG121" s="772"/>
      <c r="AH121" s="772"/>
      <c r="AI121" s="772"/>
      <c r="AJ121" s="773"/>
    </row>
    <row r="122" spans="1:37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7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>
        <f>'Equip. e Ferramentas - Preço'!O165</f>
        <v>155.14487882758621</v>
      </c>
      <c r="AE123" s="772"/>
      <c r="AF123" s="772"/>
      <c r="AG123" s="772"/>
      <c r="AH123" s="772"/>
      <c r="AI123" s="772"/>
      <c r="AJ123" s="773"/>
    </row>
    <row r="124" spans="1:37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290.18821216091953</v>
      </c>
      <c r="AE124" s="692"/>
      <c r="AF124" s="692"/>
      <c r="AG124" s="692"/>
      <c r="AH124" s="692"/>
      <c r="AI124" s="692"/>
      <c r="AJ124" s="693"/>
    </row>
    <row r="125" spans="1:37" ht="14.45" customHeight="1"/>
    <row r="126" spans="1:37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7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7" ht="14.45" customHeight="1">
      <c r="A128" s="736" t="s">
        <v>0</v>
      </c>
      <c r="B128" s="737"/>
      <c r="C128" s="757" t="s">
        <v>328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86.591371167405356</v>
      </c>
      <c r="AE128" s="745"/>
      <c r="AF128" s="745"/>
      <c r="AG128" s="745"/>
      <c r="AH128" s="745"/>
      <c r="AI128" s="745"/>
      <c r="AJ128" s="746"/>
      <c r="AK128" s="130"/>
    </row>
    <row r="129" spans="1:37" ht="14.45" customHeight="1">
      <c r="A129" s="736" t="s">
        <v>1</v>
      </c>
      <c r="B129" s="737"/>
      <c r="C129" s="757" t="s">
        <v>327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195.98513674222747</v>
      </c>
      <c r="AE129" s="745"/>
      <c r="AF129" s="745"/>
      <c r="AG129" s="745"/>
      <c r="AH129" s="745"/>
      <c r="AI129" s="745"/>
      <c r="AJ129" s="746"/>
      <c r="AK129" s="130"/>
    </row>
    <row r="130" spans="1:37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</row>
    <row r="131" spans="1:37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7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104.07078971504582</v>
      </c>
      <c r="AE132" s="745"/>
      <c r="AF132" s="745"/>
      <c r="AG132" s="745"/>
      <c r="AH132" s="745"/>
      <c r="AI132" s="745"/>
      <c r="AJ132" s="746"/>
      <c r="AK132" s="130"/>
    </row>
    <row r="133" spans="1:37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22.548671104926594</v>
      </c>
      <c r="AE133" s="745"/>
      <c r="AF133" s="745"/>
      <c r="AG133" s="745"/>
      <c r="AH133" s="745"/>
      <c r="AI133" s="745"/>
      <c r="AJ133" s="746"/>
      <c r="AK133" s="134"/>
    </row>
    <row r="134" spans="1:37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173.45131619174305</v>
      </c>
      <c r="AE134" s="745"/>
      <c r="AF134" s="745"/>
      <c r="AG134" s="745"/>
      <c r="AH134" s="745"/>
      <c r="AI134" s="745"/>
      <c r="AJ134" s="746"/>
      <c r="AK134" s="130"/>
    </row>
    <row r="135" spans="1:37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582.64728492134827</v>
      </c>
      <c r="AE135" s="747"/>
      <c r="AF135" s="747"/>
      <c r="AG135" s="747"/>
      <c r="AH135" s="747"/>
      <c r="AI135" s="747"/>
      <c r="AJ135" s="747"/>
      <c r="AK135" s="130"/>
    </row>
    <row r="136" spans="1:37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7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7" ht="14.4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0"/>
    </row>
    <row r="139" spans="1:37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7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1213.3</v>
      </c>
      <c r="AE140" s="720"/>
      <c r="AF140" s="720"/>
      <c r="AG140" s="720"/>
      <c r="AH140" s="720"/>
      <c r="AI140" s="720"/>
      <c r="AJ140" s="721"/>
      <c r="AK140" s="130"/>
    </row>
    <row r="141" spans="1:37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1085.7359999999999</v>
      </c>
      <c r="AE141" s="720"/>
      <c r="AF141" s="720"/>
      <c r="AG141" s="720"/>
      <c r="AH141" s="720"/>
      <c r="AI141" s="720"/>
      <c r="AJ141" s="721"/>
      <c r="AK141" s="130"/>
    </row>
    <row r="142" spans="1:37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103.65637666666667</v>
      </c>
      <c r="AE142" s="720"/>
      <c r="AF142" s="720"/>
      <c r="AG142" s="720"/>
      <c r="AH142" s="720"/>
      <c r="AI142" s="720"/>
      <c r="AJ142" s="721"/>
      <c r="AK142" s="130"/>
    </row>
    <row r="143" spans="1:37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193.4984500859259</v>
      </c>
      <c r="AE143" s="720"/>
      <c r="AF143" s="720"/>
      <c r="AG143" s="720"/>
      <c r="AH143" s="720"/>
      <c r="AI143" s="720"/>
      <c r="AJ143" s="721"/>
      <c r="AK143" s="130"/>
    </row>
    <row r="144" spans="1:37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290.18821216091953</v>
      </c>
      <c r="AE144" s="720"/>
      <c r="AF144" s="720"/>
      <c r="AG144" s="720"/>
      <c r="AH144" s="720"/>
      <c r="AI144" s="720"/>
      <c r="AJ144" s="721"/>
      <c r="AK144" s="130"/>
    </row>
    <row r="145" spans="1:38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2886.3790389135124</v>
      </c>
      <c r="AE145" s="720"/>
      <c r="AF145" s="720"/>
      <c r="AG145" s="720"/>
      <c r="AH145" s="720"/>
      <c r="AI145" s="720"/>
      <c r="AJ145" s="721"/>
      <c r="AK145" s="130"/>
    </row>
    <row r="146" spans="1:38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582.64728492134827</v>
      </c>
      <c r="AE146" s="720"/>
      <c r="AF146" s="720"/>
      <c r="AG146" s="720"/>
      <c r="AH146" s="720"/>
      <c r="AI146" s="720"/>
      <c r="AJ146" s="721"/>
      <c r="AK146" s="130"/>
      <c r="AL146" s="117"/>
    </row>
    <row r="147" spans="1:38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3469.0263238348607</v>
      </c>
      <c r="AE147" s="692"/>
      <c r="AF147" s="692"/>
      <c r="AG147" s="692"/>
      <c r="AH147" s="692"/>
      <c r="AI147" s="692"/>
      <c r="AJ147" s="693"/>
      <c r="AK147" s="130"/>
    </row>
    <row r="148" spans="1:38" ht="14.45" customHeight="1"/>
    <row r="149" spans="1:38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8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8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8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8" ht="34.15" customHeight="1">
      <c r="A153" s="701" t="str">
        <f>A24</f>
        <v>SERVIÇO DE LIMPEZA (GUARABIRA)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3469.0263238348607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3469.0263238348607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3469.0263238348607</v>
      </c>
      <c r="AF153" s="714"/>
      <c r="AG153" s="714"/>
      <c r="AH153" s="714"/>
      <c r="AI153" s="714"/>
      <c r="AJ153" s="715"/>
    </row>
    <row r="154" spans="1:38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3469.03</v>
      </c>
      <c r="AF154" s="686"/>
      <c r="AG154" s="686"/>
      <c r="AH154" s="686"/>
      <c r="AI154" s="686"/>
      <c r="AJ154" s="686"/>
    </row>
    <row r="155" spans="1:38" ht="14.45" customHeight="1"/>
    <row r="156" spans="1:38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8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8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8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3469.03</v>
      </c>
      <c r="AE159" s="700"/>
      <c r="AF159" s="700"/>
      <c r="AG159" s="700"/>
      <c r="AH159" s="700"/>
      <c r="AI159" s="700"/>
      <c r="AJ159" s="700"/>
    </row>
    <row r="160" spans="1:38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124885.08</v>
      </c>
      <c r="AE160" s="684"/>
      <c r="AF160" s="684"/>
      <c r="AG160" s="684"/>
      <c r="AH160" s="684"/>
      <c r="AI160" s="684"/>
      <c r="AJ160" s="684"/>
    </row>
  </sheetData>
  <mergeCells count="392">
    <mergeCell ref="A106:X106"/>
    <mergeCell ref="Y106:AC106"/>
    <mergeCell ref="AD106:AJ106"/>
    <mergeCell ref="A104:AC104"/>
    <mergeCell ref="AD104:AJ104"/>
    <mergeCell ref="A105:B105"/>
    <mergeCell ref="C105:X105"/>
    <mergeCell ref="Y105:AC105"/>
    <mergeCell ref="AD105:AJ105"/>
    <mergeCell ref="A102:X102"/>
    <mergeCell ref="Y102:AC102"/>
    <mergeCell ref="AD102:AJ102"/>
    <mergeCell ref="A103:B103"/>
    <mergeCell ref="C103:X103"/>
    <mergeCell ref="Y103:AC103"/>
    <mergeCell ref="AD103:AJ103"/>
    <mergeCell ref="A100:B100"/>
    <mergeCell ref="C100:X100"/>
    <mergeCell ref="Y100:AC100"/>
    <mergeCell ref="AD100:AJ100"/>
    <mergeCell ref="A101:B101"/>
    <mergeCell ref="C101:X101"/>
    <mergeCell ref="Y101:AC101"/>
    <mergeCell ref="AD101:AJ101"/>
    <mergeCell ref="A98:B98"/>
    <mergeCell ref="C98:X98"/>
    <mergeCell ref="Y98:AC98"/>
    <mergeCell ref="AD98:AJ98"/>
    <mergeCell ref="A99:B99"/>
    <mergeCell ref="C99:X99"/>
    <mergeCell ref="Y99:AC99"/>
    <mergeCell ref="AD99:AJ99"/>
    <mergeCell ref="A96:B96"/>
    <mergeCell ref="C96:X96"/>
    <mergeCell ref="Y96:AC96"/>
    <mergeCell ref="AD96:AJ96"/>
    <mergeCell ref="A97:B97"/>
    <mergeCell ref="C97:X97"/>
    <mergeCell ref="Y97:AC97"/>
    <mergeCell ref="AD97:AJ97"/>
    <mergeCell ref="A93:AJ93"/>
    <mergeCell ref="A94:AJ94"/>
    <mergeCell ref="A95:B95"/>
    <mergeCell ref="C95:X95"/>
    <mergeCell ref="Y95:AC95"/>
    <mergeCell ref="AD95:AJ95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Y84:AC84"/>
    <mergeCell ref="AD84:AJ84"/>
    <mergeCell ref="A85:B85"/>
    <mergeCell ref="C85:X85"/>
    <mergeCell ref="Y85:AC85"/>
    <mergeCell ref="AD85:AJ85"/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  <mergeCell ref="AD159:AJ159"/>
    <mergeCell ref="A153:L153"/>
    <mergeCell ref="M153:Q153"/>
    <mergeCell ref="R153:V153"/>
    <mergeCell ref="W153:AA153"/>
    <mergeCell ref="AB153:AD153"/>
    <mergeCell ref="AE153:AJ153"/>
    <mergeCell ref="A152:L152"/>
    <mergeCell ref="M152:Q152"/>
    <mergeCell ref="R152:V152"/>
    <mergeCell ref="W152:AA152"/>
    <mergeCell ref="AB152:AD152"/>
    <mergeCell ref="AE152:AJ15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A145:AC145"/>
    <mergeCell ref="AD145:AJ145"/>
    <mergeCell ref="A146:B146"/>
    <mergeCell ref="C146:AC146"/>
    <mergeCell ref="AD146:AJ146"/>
    <mergeCell ref="A147:AC147"/>
    <mergeCell ref="AD147:AJ147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37:AJ137"/>
    <mergeCell ref="A139:AC139"/>
    <mergeCell ref="AD139:AJ139"/>
    <mergeCell ref="A140:B140"/>
    <mergeCell ref="C140:AC140"/>
    <mergeCell ref="AD140:AJ140"/>
    <mergeCell ref="A134:B134"/>
    <mergeCell ref="C134:X134"/>
    <mergeCell ref="Y134:AC134"/>
    <mergeCell ref="AD134:AJ134"/>
    <mergeCell ref="A135:AC135"/>
    <mergeCell ref="AD135:AJ135"/>
    <mergeCell ref="A132:B132"/>
    <mergeCell ref="C132:X132"/>
    <mergeCell ref="Y132:AC132"/>
    <mergeCell ref="AD132:AJ132"/>
    <mergeCell ref="A133:B133"/>
    <mergeCell ref="C133:X133"/>
    <mergeCell ref="Y133:AC133"/>
    <mergeCell ref="AD133:AJ133"/>
    <mergeCell ref="A129:B129"/>
    <mergeCell ref="C129:X129"/>
    <mergeCell ref="Y129:AC129"/>
    <mergeCell ref="AD129:AJ129"/>
    <mergeCell ref="Y130:AC130"/>
    <mergeCell ref="A131:B131"/>
    <mergeCell ref="C131:X131"/>
    <mergeCell ref="Y131:AC131"/>
    <mergeCell ref="A127:B127"/>
    <mergeCell ref="C127:X127"/>
    <mergeCell ref="Y127:AC127"/>
    <mergeCell ref="AD127:AJ127"/>
    <mergeCell ref="A128:B128"/>
    <mergeCell ref="C128:X128"/>
    <mergeCell ref="Y128:AC128"/>
    <mergeCell ref="AD128:AJ128"/>
    <mergeCell ref="A124:AC124"/>
    <mergeCell ref="AD124:AJ124"/>
    <mergeCell ref="A126:AJ126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10:B110"/>
    <mergeCell ref="C110:AC110"/>
    <mergeCell ref="AD110:AJ110"/>
    <mergeCell ref="A111:AC111"/>
    <mergeCell ref="AD111:AJ111"/>
    <mergeCell ref="A112:AJ112"/>
    <mergeCell ref="A107:AJ107"/>
    <mergeCell ref="A108:AJ108"/>
    <mergeCell ref="A109:B109"/>
    <mergeCell ref="C109:X109"/>
    <mergeCell ref="Y109:AC109"/>
    <mergeCell ref="AD109:AJ109"/>
    <mergeCell ref="A92:AJ92"/>
    <mergeCell ref="A80:B80"/>
    <mergeCell ref="C80:AC80"/>
    <mergeCell ref="AD80:AJ80"/>
    <mergeCell ref="A81:AC81"/>
    <mergeCell ref="AD81:AJ81"/>
    <mergeCell ref="A82:AJ82"/>
    <mergeCell ref="A83:AJ83"/>
    <mergeCell ref="A84:B84"/>
    <mergeCell ref="C84:X84"/>
    <mergeCell ref="A78:B78"/>
    <mergeCell ref="C78:AC78"/>
    <mergeCell ref="AD78:AJ78"/>
    <mergeCell ref="A79:B79"/>
    <mergeCell ref="C79:AC79"/>
    <mergeCell ref="AD79:AJ79"/>
    <mergeCell ref="A74:AC74"/>
    <mergeCell ref="AD74:AJ74"/>
    <mergeCell ref="A75:AJ75"/>
    <mergeCell ref="A76:AJ76"/>
    <mergeCell ref="A77:B77"/>
    <mergeCell ref="C77:AC77"/>
    <mergeCell ref="AD77:AJ7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AQ160"/>
  <sheetViews>
    <sheetView showGridLines="0" topLeftCell="A61" zoomScale="115" zoomScaleNormal="115" zoomScaleSheetLayoutView="120" workbookViewId="0">
      <selection activeCell="Y41" sqref="Y41:AC41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6" width="3.85546875" style="34" customWidth="1"/>
    <col min="37" max="37" width="2.42578125" style="34" customWidth="1"/>
    <col min="38" max="38" width="13" style="34" customWidth="1"/>
    <col min="39" max="42" width="2.42578125" style="34"/>
    <col min="43" max="43" width="3.5703125" style="34" customWidth="1"/>
    <col min="44" max="16384" width="2.42578125" style="34"/>
  </cols>
  <sheetData>
    <row r="1" spans="1:36" ht="15" customHeight="1">
      <c r="A1" s="898"/>
      <c r="B1" s="898"/>
      <c r="C1" s="898"/>
      <c r="D1" s="898"/>
      <c r="E1" s="898"/>
      <c r="F1" s="898"/>
      <c r="G1" s="898"/>
      <c r="H1" s="898"/>
      <c r="I1" s="898"/>
      <c r="J1" s="898"/>
      <c r="K1" s="898"/>
      <c r="L1" s="898"/>
      <c r="M1" s="898"/>
      <c r="N1" s="898"/>
      <c r="O1" s="898"/>
      <c r="P1" s="898"/>
      <c r="Q1" s="898"/>
      <c r="R1" s="898"/>
      <c r="S1" s="898"/>
      <c r="T1" s="898"/>
      <c r="U1" s="898"/>
      <c r="V1" s="898"/>
      <c r="W1" s="898"/>
      <c r="X1" s="898"/>
      <c r="Y1" s="898"/>
      <c r="Z1" s="898"/>
      <c r="AA1" s="898"/>
      <c r="AB1" s="898"/>
      <c r="AC1" s="898"/>
      <c r="AD1" s="898"/>
      <c r="AE1" s="898"/>
      <c r="AF1" s="898"/>
      <c r="AG1" s="898"/>
      <c r="AH1" s="898"/>
      <c r="AI1" s="898"/>
      <c r="AJ1" s="898"/>
    </row>
    <row r="2" spans="1:36" ht="15" customHeight="1">
      <c r="A2" s="899" t="s">
        <v>26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  <c r="L2" s="899"/>
      <c r="M2" s="899"/>
      <c r="N2" s="899"/>
      <c r="O2" s="899"/>
      <c r="P2" s="899"/>
      <c r="Q2" s="899"/>
      <c r="R2" s="899"/>
      <c r="S2" s="899"/>
      <c r="T2" s="899"/>
      <c r="U2" s="899"/>
      <c r="V2" s="899"/>
      <c r="W2" s="899"/>
      <c r="X2" s="899"/>
      <c r="Y2" s="899"/>
      <c r="Z2" s="899"/>
      <c r="AA2" s="899"/>
      <c r="AB2" s="899"/>
      <c r="AC2" s="899"/>
      <c r="AD2" s="899"/>
      <c r="AE2" s="899"/>
      <c r="AF2" s="899"/>
      <c r="AG2" s="899"/>
      <c r="AH2" s="899"/>
      <c r="AI2" s="899"/>
      <c r="AJ2" s="899"/>
    </row>
    <row r="3" spans="1:36" ht="15" customHeight="1">
      <c r="A3" s="899" t="s">
        <v>27</v>
      </c>
      <c r="B3" s="899"/>
      <c r="C3" s="899"/>
      <c r="D3" s="899"/>
      <c r="E3" s="899"/>
      <c r="F3" s="899"/>
      <c r="G3" s="899"/>
      <c r="H3" s="899"/>
      <c r="I3" s="899"/>
      <c r="J3" s="899"/>
      <c r="K3" s="899"/>
      <c r="L3" s="899"/>
      <c r="M3" s="899"/>
      <c r="N3" s="899"/>
      <c r="O3" s="899"/>
      <c r="P3" s="899"/>
      <c r="Q3" s="899"/>
      <c r="R3" s="899"/>
      <c r="S3" s="899"/>
      <c r="T3" s="899"/>
      <c r="U3" s="899"/>
      <c r="V3" s="899"/>
      <c r="W3" s="899"/>
      <c r="X3" s="899"/>
      <c r="Y3" s="899"/>
      <c r="Z3" s="899"/>
      <c r="AA3" s="899"/>
      <c r="AB3" s="899"/>
      <c r="AC3" s="899"/>
      <c r="AD3" s="899"/>
      <c r="AE3" s="899"/>
      <c r="AF3" s="899"/>
      <c r="AG3" s="899"/>
      <c r="AH3" s="899"/>
      <c r="AI3" s="899"/>
      <c r="AJ3" s="899"/>
    </row>
    <row r="4" spans="1:36" ht="15" customHeight="1">
      <c r="A4" s="899" t="s">
        <v>329</v>
      </c>
      <c r="B4" s="899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  <c r="AF4" s="899"/>
      <c r="AG4" s="899"/>
      <c r="AH4" s="899"/>
      <c r="AI4" s="899"/>
      <c r="AJ4" s="899"/>
    </row>
    <row r="5" spans="1:36" ht="15" customHeight="1">
      <c r="A5" s="898"/>
      <c r="B5" s="898"/>
      <c r="C5" s="898"/>
      <c r="D5" s="898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898"/>
      <c r="AB5" s="898"/>
      <c r="AC5" s="898"/>
      <c r="AD5" s="898"/>
      <c r="AE5" s="898"/>
      <c r="AF5" s="898"/>
      <c r="AG5" s="898"/>
      <c r="AH5" s="898"/>
      <c r="AI5" s="898"/>
      <c r="AJ5" s="898"/>
    </row>
    <row r="6" spans="1:36" ht="15" customHeight="1">
      <c r="A6" s="898"/>
      <c r="B6" s="898"/>
      <c r="C6" s="898"/>
      <c r="D6" s="898"/>
      <c r="E6" s="898"/>
      <c r="F6" s="898"/>
      <c r="G6" s="898"/>
      <c r="H6" s="898"/>
      <c r="I6" s="898"/>
      <c r="J6" s="898"/>
      <c r="K6" s="898"/>
      <c r="L6" s="898"/>
      <c r="M6" s="898"/>
      <c r="N6" s="898"/>
      <c r="O6" s="898"/>
      <c r="P6" s="898"/>
      <c r="Q6" s="898"/>
      <c r="R6" s="898"/>
      <c r="S6" s="898"/>
      <c r="T6" s="898"/>
      <c r="U6" s="898"/>
      <c r="V6" s="898"/>
      <c r="W6" s="898"/>
      <c r="X6" s="898"/>
      <c r="Y6" s="898"/>
      <c r="Z6" s="898"/>
      <c r="AA6" s="898"/>
      <c r="AB6" s="898"/>
      <c r="AC6" s="898"/>
      <c r="AD6" s="898"/>
      <c r="AE6" s="898"/>
      <c r="AF6" s="898"/>
      <c r="AG6" s="898"/>
      <c r="AH6" s="898"/>
      <c r="AI6" s="898"/>
      <c r="AJ6" s="898"/>
    </row>
    <row r="7" spans="1:36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</row>
    <row r="8" spans="1:36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</row>
    <row r="9" spans="1:36" s="35" customFormat="1" ht="14.45" customHeight="1">
      <c r="A9" s="856" t="s">
        <v>357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</row>
    <row r="10" spans="1:36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</row>
    <row r="11" spans="1:36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</row>
    <row r="12" spans="1:36" s="35" customFormat="1" ht="14.45" customHeight="1">
      <c r="A12" s="900" t="s">
        <v>144</v>
      </c>
      <c r="B12" s="901"/>
      <c r="C12" s="901"/>
      <c r="D12" s="901"/>
      <c r="E12" s="901"/>
      <c r="F12" s="901"/>
      <c r="G12" s="901"/>
      <c r="H12" s="901"/>
      <c r="I12" s="901"/>
      <c r="J12" s="901"/>
      <c r="K12" s="901"/>
      <c r="L12" s="901"/>
      <c r="M12" s="901"/>
      <c r="N12" s="901"/>
      <c r="O12" s="901"/>
      <c r="P12" s="901"/>
      <c r="Q12" s="901"/>
      <c r="R12" s="901"/>
      <c r="S12" s="901"/>
      <c r="T12" s="901"/>
      <c r="U12" s="901"/>
      <c r="V12" s="901"/>
      <c r="W12" s="901"/>
      <c r="X12" s="901"/>
      <c r="Y12" s="901"/>
      <c r="Z12" s="901"/>
      <c r="AA12" s="901"/>
      <c r="AB12" s="901"/>
      <c r="AC12" s="901"/>
      <c r="AD12" s="901"/>
      <c r="AE12" s="901"/>
      <c r="AF12" s="901"/>
      <c r="AG12" s="901"/>
      <c r="AH12" s="901"/>
      <c r="AI12" s="901"/>
      <c r="AJ12" s="902"/>
    </row>
    <row r="13" spans="1:36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</row>
    <row r="14" spans="1:36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</row>
    <row r="15" spans="1:36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</row>
    <row r="16" spans="1:36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</row>
    <row r="17" spans="1:36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</row>
    <row r="18" spans="1:36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</row>
    <row r="19" spans="1:36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</row>
    <row r="20" spans="1:36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</row>
    <row r="21" spans="1:36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</row>
    <row r="22" spans="1:36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336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</row>
    <row r="23" spans="1:36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</row>
    <row r="24" spans="1:36" s="35" customFormat="1" ht="14.45" customHeight="1">
      <c r="A24" s="832" t="s">
        <v>364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</row>
    <row r="25" spans="1:36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</row>
    <row r="26" spans="1:36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</row>
    <row r="27" spans="1:36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</row>
    <row r="29" spans="1:36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</row>
    <row r="30" spans="1:36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819" t="s">
        <v>218</v>
      </c>
      <c r="AE30" s="819"/>
      <c r="AF30" s="819"/>
      <c r="AG30" s="819"/>
      <c r="AH30" s="819"/>
      <c r="AI30" s="819"/>
      <c r="AJ30" s="819"/>
    </row>
    <row r="31" spans="1:36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819" t="s">
        <v>225</v>
      </c>
      <c r="AE31" s="819"/>
      <c r="AF31" s="819"/>
      <c r="AG31" s="819"/>
      <c r="AH31" s="819"/>
      <c r="AI31" s="819"/>
      <c r="AJ31" s="819"/>
    </row>
    <row r="32" spans="1:36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f>'ASG CG'!AD32</f>
        <v>1103</v>
      </c>
      <c r="AE32" s="820"/>
      <c r="AF32" s="820"/>
      <c r="AG32" s="820"/>
      <c r="AH32" s="820"/>
      <c r="AI32" s="820"/>
      <c r="AJ32" s="820"/>
    </row>
    <row r="33" spans="1:36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19" t="s">
        <v>221</v>
      </c>
      <c r="AE33" s="819"/>
      <c r="AF33" s="819"/>
      <c r="AG33" s="819"/>
      <c r="AH33" s="819"/>
      <c r="AI33" s="819"/>
      <c r="AJ33" s="819"/>
    </row>
    <row r="34" spans="1:36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</row>
    <row r="35" spans="1:36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6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</row>
    <row r="38" spans="1:36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1103</v>
      </c>
      <c r="AE38" s="775"/>
      <c r="AF38" s="775"/>
      <c r="AG38" s="775"/>
      <c r="AH38" s="775"/>
      <c r="AI38" s="775"/>
      <c r="AJ38" s="776"/>
    </row>
    <row r="39" spans="1:36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6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54">
        <v>0.1</v>
      </c>
      <c r="Z40" s="755"/>
      <c r="AA40" s="755"/>
      <c r="AB40" s="755"/>
      <c r="AC40" s="756"/>
      <c r="AD40" s="744">
        <f>AD38*Y40</f>
        <v>110.30000000000001</v>
      </c>
      <c r="AE40" s="745"/>
      <c r="AF40" s="745"/>
      <c r="AG40" s="745"/>
      <c r="AH40" s="745"/>
      <c r="AI40" s="745"/>
      <c r="AJ40" s="746"/>
    </row>
    <row r="41" spans="1:36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6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6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6" ht="14.45" customHeight="1">
      <c r="A44" s="722" t="s">
        <v>8</v>
      </c>
      <c r="B44" s="723"/>
      <c r="C44" s="724" t="s">
        <v>224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14"/>
      <c r="Z44" s="811"/>
      <c r="AA44" s="811"/>
      <c r="AB44" s="811"/>
      <c r="AC44" s="812"/>
      <c r="AD44" s="744">
        <v>0</v>
      </c>
      <c r="AE44" s="745"/>
      <c r="AF44" s="745"/>
      <c r="AG44" s="745"/>
      <c r="AH44" s="745"/>
      <c r="AI44" s="745"/>
      <c r="AJ44" s="746"/>
    </row>
    <row r="45" spans="1:36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1213.3</v>
      </c>
      <c r="AE45" s="692"/>
      <c r="AF45" s="692"/>
      <c r="AG45" s="692"/>
      <c r="AH45" s="692"/>
      <c r="AI45" s="692"/>
      <c r="AJ45" s="693"/>
    </row>
    <row r="46" spans="1:36" ht="14.45" customHeight="1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7"/>
      <c r="Z46" s="127"/>
      <c r="AA46" s="127"/>
      <c r="AB46" s="127"/>
      <c r="AC46" s="127"/>
      <c r="AD46" s="61"/>
      <c r="AE46" s="61"/>
      <c r="AF46" s="61"/>
      <c r="AG46" s="61"/>
      <c r="AH46" s="61"/>
      <c r="AI46" s="61"/>
      <c r="AJ46" s="61"/>
    </row>
    <row r="47" spans="1:36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6" ht="14.45" customHeight="1">
      <c r="A48" s="748" t="s">
        <v>279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101.10833333333332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33.702777777777776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134.8111111111111</v>
      </c>
      <c r="AE52" s="692"/>
      <c r="AF52" s="692"/>
      <c r="AG52" s="692"/>
      <c r="AH52" s="692"/>
      <c r="AI52" s="692"/>
      <c r="AJ52" s="693"/>
    </row>
    <row r="53" spans="1:36" ht="14.45" customHeight="1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7"/>
      <c r="Z53" s="127"/>
      <c r="AA53" s="127"/>
      <c r="AB53" s="127"/>
      <c r="AC53" s="127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269.62222222222221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33.702777777777776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40.443333333333328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20.221666666666664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13.481111111111112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8.0886666666666667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2.6962222222222221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107.84888888888889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496.10488888888887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109.82000000000001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454.82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134.8111111111111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496.10488888888887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454.82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1085.7359999999999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5.055416666666666</v>
      </c>
      <c r="AE85" s="775"/>
      <c r="AF85" s="775"/>
      <c r="AG85" s="775"/>
      <c r="AH85" s="775"/>
      <c r="AI85" s="775"/>
      <c r="AJ85" s="776"/>
      <c r="AL85" s="116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0.40443333333333331</v>
      </c>
      <c r="AE86" s="775"/>
      <c r="AF86" s="775"/>
      <c r="AG86" s="775"/>
      <c r="AH86" s="775"/>
      <c r="AI86" s="775"/>
      <c r="AJ86" s="776"/>
      <c r="AL86" s="116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44.056271111111116</v>
      </c>
      <c r="AE87" s="775"/>
      <c r="AF87" s="775"/>
      <c r="AG87" s="775"/>
      <c r="AH87" s="775"/>
      <c r="AI87" s="775"/>
      <c r="AJ87" s="776"/>
      <c r="AL87" s="116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44.703477777777778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8.6818355555555566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0.7549422222222224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103.65637666666667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101.10833333333332</v>
      </c>
      <c r="AE96" s="775"/>
      <c r="AF96" s="775"/>
      <c r="AG96" s="775"/>
      <c r="AH96" s="775"/>
      <c r="AI96" s="775"/>
      <c r="AJ96" s="776"/>
      <c r="AK96" s="130"/>
      <c r="AL96" s="117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16.86487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0.24266000000000001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3.39724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1.5772899999999999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0.84931000000000001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23.812135925925926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45.646610826666667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193.4984500859259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7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7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7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193.4984500859259</v>
      </c>
      <c r="AE115" s="775"/>
      <c r="AF115" s="775"/>
      <c r="AG115" s="775"/>
      <c r="AH115" s="775"/>
      <c r="AI115" s="775"/>
      <c r="AJ115" s="776"/>
    </row>
    <row r="116" spans="1:37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7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193.4984500859259</v>
      </c>
      <c r="AE117" s="692"/>
      <c r="AF117" s="692"/>
      <c r="AG117" s="692"/>
      <c r="AH117" s="692"/>
      <c r="AI117" s="692"/>
      <c r="AJ117" s="693"/>
    </row>
    <row r="118" spans="1:37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7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7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7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'Fardamentos e EPI´s - ASG'!H20</f>
        <v>135.04333333333332</v>
      </c>
      <c r="AE121" s="772"/>
      <c r="AF121" s="772"/>
      <c r="AG121" s="772"/>
      <c r="AH121" s="772"/>
      <c r="AI121" s="772"/>
      <c r="AJ121" s="773"/>
    </row>
    <row r="122" spans="1:37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7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>
        <f>'Equip. e Ferramentas - Preço'!O165</f>
        <v>155.14487882758621</v>
      </c>
      <c r="AE123" s="772"/>
      <c r="AF123" s="772"/>
      <c r="AG123" s="772"/>
      <c r="AH123" s="772"/>
      <c r="AI123" s="772"/>
      <c r="AJ123" s="773"/>
    </row>
    <row r="124" spans="1:37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290.18821216091953</v>
      </c>
      <c r="AE124" s="692"/>
      <c r="AF124" s="692"/>
      <c r="AG124" s="692"/>
      <c r="AH124" s="692"/>
      <c r="AI124" s="692"/>
      <c r="AJ124" s="693"/>
    </row>
    <row r="125" spans="1:37" ht="14.45" customHeight="1"/>
    <row r="126" spans="1:37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7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7" ht="14.45" customHeight="1">
      <c r="A128" s="736" t="s">
        <v>0</v>
      </c>
      <c r="B128" s="737"/>
      <c r="C128" s="757" t="s">
        <v>328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86.591371167405356</v>
      </c>
      <c r="AE128" s="745"/>
      <c r="AF128" s="745"/>
      <c r="AG128" s="745"/>
      <c r="AH128" s="745"/>
      <c r="AI128" s="745"/>
      <c r="AJ128" s="746"/>
      <c r="AK128" s="130"/>
    </row>
    <row r="129" spans="1:37" ht="14.45" customHeight="1">
      <c r="A129" s="736" t="s">
        <v>1</v>
      </c>
      <c r="B129" s="737"/>
      <c r="C129" s="757" t="s">
        <v>327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195.98513674222747</v>
      </c>
      <c r="AE129" s="745"/>
      <c r="AF129" s="745"/>
      <c r="AG129" s="745"/>
      <c r="AH129" s="745"/>
      <c r="AI129" s="745"/>
      <c r="AJ129" s="746"/>
      <c r="AK129" s="130"/>
    </row>
    <row r="130" spans="1:37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</row>
    <row r="131" spans="1:37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7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104.07078971504582</v>
      </c>
      <c r="AE132" s="745"/>
      <c r="AF132" s="745"/>
      <c r="AG132" s="745"/>
      <c r="AH132" s="745"/>
      <c r="AI132" s="745"/>
      <c r="AJ132" s="746"/>
      <c r="AK132" s="130"/>
    </row>
    <row r="133" spans="1:37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22.548671104926594</v>
      </c>
      <c r="AE133" s="745"/>
      <c r="AF133" s="745"/>
      <c r="AG133" s="745"/>
      <c r="AH133" s="745"/>
      <c r="AI133" s="745"/>
      <c r="AJ133" s="746"/>
      <c r="AK133" s="134"/>
    </row>
    <row r="134" spans="1:37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173.45131619174305</v>
      </c>
      <c r="AE134" s="745"/>
      <c r="AF134" s="745"/>
      <c r="AG134" s="745"/>
      <c r="AH134" s="745"/>
      <c r="AI134" s="745"/>
      <c r="AJ134" s="746"/>
      <c r="AK134" s="130"/>
    </row>
    <row r="135" spans="1:37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582.64728492134827</v>
      </c>
      <c r="AE135" s="747"/>
      <c r="AF135" s="747"/>
      <c r="AG135" s="747"/>
      <c r="AH135" s="747"/>
      <c r="AI135" s="747"/>
      <c r="AJ135" s="747"/>
      <c r="AK135" s="130"/>
    </row>
    <row r="136" spans="1:37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7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7" ht="14.4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0"/>
    </row>
    <row r="139" spans="1:37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7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1213.3</v>
      </c>
      <c r="AE140" s="720"/>
      <c r="AF140" s="720"/>
      <c r="AG140" s="720"/>
      <c r="AH140" s="720"/>
      <c r="AI140" s="720"/>
      <c r="AJ140" s="721"/>
      <c r="AK140" s="130"/>
    </row>
    <row r="141" spans="1:37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1085.7359999999999</v>
      </c>
      <c r="AE141" s="720"/>
      <c r="AF141" s="720"/>
      <c r="AG141" s="720"/>
      <c r="AH141" s="720"/>
      <c r="AI141" s="720"/>
      <c r="AJ141" s="721"/>
      <c r="AK141" s="130"/>
    </row>
    <row r="142" spans="1:37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103.65637666666667</v>
      </c>
      <c r="AE142" s="720"/>
      <c r="AF142" s="720"/>
      <c r="AG142" s="720"/>
      <c r="AH142" s="720"/>
      <c r="AI142" s="720"/>
      <c r="AJ142" s="721"/>
      <c r="AK142" s="130"/>
    </row>
    <row r="143" spans="1:37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193.4984500859259</v>
      </c>
      <c r="AE143" s="720"/>
      <c r="AF143" s="720"/>
      <c r="AG143" s="720"/>
      <c r="AH143" s="720"/>
      <c r="AI143" s="720"/>
      <c r="AJ143" s="721"/>
      <c r="AK143" s="130"/>
    </row>
    <row r="144" spans="1:37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290.18821216091953</v>
      </c>
      <c r="AE144" s="720"/>
      <c r="AF144" s="720"/>
      <c r="AG144" s="720"/>
      <c r="AH144" s="720"/>
      <c r="AI144" s="720"/>
      <c r="AJ144" s="721"/>
      <c r="AK144" s="130"/>
    </row>
    <row r="145" spans="1:38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2886.3790389135124</v>
      </c>
      <c r="AE145" s="720"/>
      <c r="AF145" s="720"/>
      <c r="AG145" s="720"/>
      <c r="AH145" s="720"/>
      <c r="AI145" s="720"/>
      <c r="AJ145" s="721"/>
      <c r="AK145" s="130"/>
    </row>
    <row r="146" spans="1:38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582.64728492134827</v>
      </c>
      <c r="AE146" s="720"/>
      <c r="AF146" s="720"/>
      <c r="AG146" s="720"/>
      <c r="AH146" s="720"/>
      <c r="AI146" s="720"/>
      <c r="AJ146" s="721"/>
      <c r="AK146" s="130"/>
    </row>
    <row r="147" spans="1:38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3469.0263238348607</v>
      </c>
      <c r="AE147" s="692"/>
      <c r="AF147" s="692"/>
      <c r="AG147" s="692"/>
      <c r="AH147" s="692"/>
      <c r="AI147" s="692"/>
      <c r="AJ147" s="693"/>
      <c r="AK147" s="130"/>
      <c r="AL147" s="117"/>
    </row>
    <row r="148" spans="1:38" ht="14.45" customHeight="1"/>
    <row r="149" spans="1:38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8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8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8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8" ht="34.15" customHeight="1">
      <c r="A153" s="701" t="str">
        <f>A24</f>
        <v>SERVIÇOS DE LIMPEZA  COM INSALUBRIDADE (MONTEIRO)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3469.0263238348607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3469.0263238348607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3469.0263238348607</v>
      </c>
      <c r="AF153" s="714"/>
      <c r="AG153" s="714"/>
      <c r="AH153" s="714"/>
      <c r="AI153" s="714"/>
      <c r="AJ153" s="715"/>
    </row>
    <row r="154" spans="1:38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3469.03</v>
      </c>
      <c r="AF154" s="686"/>
      <c r="AG154" s="686"/>
      <c r="AH154" s="686"/>
      <c r="AI154" s="686"/>
      <c r="AJ154" s="686"/>
    </row>
    <row r="155" spans="1:38" ht="14.45" customHeight="1"/>
    <row r="156" spans="1:38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8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8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8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3469.03</v>
      </c>
      <c r="AE159" s="700"/>
      <c r="AF159" s="700"/>
      <c r="AG159" s="700"/>
      <c r="AH159" s="700"/>
      <c r="AI159" s="700"/>
      <c r="AJ159" s="700"/>
    </row>
    <row r="160" spans="1:38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124885.08</v>
      </c>
      <c r="AE160" s="684"/>
      <c r="AF160" s="684"/>
      <c r="AG160" s="684"/>
      <c r="AH160" s="684"/>
      <c r="AI160" s="684"/>
      <c r="AJ160" s="684"/>
    </row>
  </sheetData>
  <mergeCells count="392">
    <mergeCell ref="A106:X106"/>
    <mergeCell ref="Y106:AC106"/>
    <mergeCell ref="AD106:AJ106"/>
    <mergeCell ref="A104:AC104"/>
    <mergeCell ref="AD104:AJ104"/>
    <mergeCell ref="A105:B105"/>
    <mergeCell ref="C105:X105"/>
    <mergeCell ref="Y105:AC105"/>
    <mergeCell ref="AD105:AJ105"/>
    <mergeCell ref="A102:X102"/>
    <mergeCell ref="Y102:AC102"/>
    <mergeCell ref="AD102:AJ102"/>
    <mergeCell ref="A103:B103"/>
    <mergeCell ref="C103:X103"/>
    <mergeCell ref="Y103:AC103"/>
    <mergeCell ref="AD103:AJ103"/>
    <mergeCell ref="A100:B100"/>
    <mergeCell ref="C100:X100"/>
    <mergeCell ref="Y100:AC100"/>
    <mergeCell ref="AD100:AJ100"/>
    <mergeCell ref="A101:B101"/>
    <mergeCell ref="C101:X101"/>
    <mergeCell ref="Y101:AC101"/>
    <mergeCell ref="AD101:AJ101"/>
    <mergeCell ref="A98:B98"/>
    <mergeCell ref="C98:X98"/>
    <mergeCell ref="Y98:AC98"/>
    <mergeCell ref="AD98:AJ98"/>
    <mergeCell ref="A99:B99"/>
    <mergeCell ref="C99:X99"/>
    <mergeCell ref="Y99:AC99"/>
    <mergeCell ref="AD99:AJ99"/>
    <mergeCell ref="A96:B96"/>
    <mergeCell ref="C96:X96"/>
    <mergeCell ref="Y96:AC96"/>
    <mergeCell ref="AD96:AJ96"/>
    <mergeCell ref="A97:B97"/>
    <mergeCell ref="C97:X97"/>
    <mergeCell ref="Y97:AC97"/>
    <mergeCell ref="AD97:AJ97"/>
    <mergeCell ref="A93:AJ93"/>
    <mergeCell ref="A94:AJ94"/>
    <mergeCell ref="A95:B95"/>
    <mergeCell ref="C95:X95"/>
    <mergeCell ref="Y95:AC95"/>
    <mergeCell ref="AD95:AJ95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Y84:AC84"/>
    <mergeCell ref="AD84:AJ84"/>
    <mergeCell ref="A85:B85"/>
    <mergeCell ref="C85:X85"/>
    <mergeCell ref="Y85:AC85"/>
    <mergeCell ref="AD85:AJ85"/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  <mergeCell ref="AD159:AJ159"/>
    <mergeCell ref="A153:L153"/>
    <mergeCell ref="M153:Q153"/>
    <mergeCell ref="R153:V153"/>
    <mergeCell ref="W153:AA153"/>
    <mergeCell ref="AB153:AD153"/>
    <mergeCell ref="AE153:AJ153"/>
    <mergeCell ref="A152:L152"/>
    <mergeCell ref="M152:Q152"/>
    <mergeCell ref="R152:V152"/>
    <mergeCell ref="W152:AA152"/>
    <mergeCell ref="AB152:AD152"/>
    <mergeCell ref="AE152:AJ15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A145:AC145"/>
    <mergeCell ref="AD145:AJ145"/>
    <mergeCell ref="A146:B146"/>
    <mergeCell ref="C146:AC146"/>
    <mergeCell ref="AD146:AJ146"/>
    <mergeCell ref="A147:AC147"/>
    <mergeCell ref="AD147:AJ147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37:AJ137"/>
    <mergeCell ref="A139:AC139"/>
    <mergeCell ref="AD139:AJ139"/>
    <mergeCell ref="A140:B140"/>
    <mergeCell ref="C140:AC140"/>
    <mergeCell ref="AD140:AJ140"/>
    <mergeCell ref="A134:B134"/>
    <mergeCell ref="C134:X134"/>
    <mergeCell ref="Y134:AC134"/>
    <mergeCell ref="AD134:AJ134"/>
    <mergeCell ref="A135:AC135"/>
    <mergeCell ref="AD135:AJ135"/>
    <mergeCell ref="A132:B132"/>
    <mergeCell ref="C132:X132"/>
    <mergeCell ref="Y132:AC132"/>
    <mergeCell ref="AD132:AJ132"/>
    <mergeCell ref="A133:B133"/>
    <mergeCell ref="C133:X133"/>
    <mergeCell ref="Y133:AC133"/>
    <mergeCell ref="AD133:AJ133"/>
    <mergeCell ref="A129:B129"/>
    <mergeCell ref="C129:X129"/>
    <mergeCell ref="Y129:AC129"/>
    <mergeCell ref="AD129:AJ129"/>
    <mergeCell ref="Y130:AC130"/>
    <mergeCell ref="A131:B131"/>
    <mergeCell ref="C131:X131"/>
    <mergeCell ref="Y131:AC131"/>
    <mergeCell ref="A127:B127"/>
    <mergeCell ref="C127:X127"/>
    <mergeCell ref="Y127:AC127"/>
    <mergeCell ref="AD127:AJ127"/>
    <mergeCell ref="A128:B128"/>
    <mergeCell ref="C128:X128"/>
    <mergeCell ref="Y128:AC128"/>
    <mergeCell ref="AD128:AJ128"/>
    <mergeCell ref="A124:AC124"/>
    <mergeCell ref="AD124:AJ124"/>
    <mergeCell ref="A126:AJ126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10:B110"/>
    <mergeCell ref="C110:AC110"/>
    <mergeCell ref="AD110:AJ110"/>
    <mergeCell ref="A111:AC111"/>
    <mergeCell ref="AD111:AJ111"/>
    <mergeCell ref="A112:AJ112"/>
    <mergeCell ref="A107:AJ107"/>
    <mergeCell ref="A108:AJ108"/>
    <mergeCell ref="A109:B109"/>
    <mergeCell ref="C109:X109"/>
    <mergeCell ref="Y109:AC109"/>
    <mergeCell ref="AD109:AJ109"/>
    <mergeCell ref="A92:AJ92"/>
    <mergeCell ref="A80:B80"/>
    <mergeCell ref="C80:AC80"/>
    <mergeCell ref="AD80:AJ80"/>
    <mergeCell ref="A81:AC81"/>
    <mergeCell ref="AD81:AJ81"/>
    <mergeCell ref="A82:AJ82"/>
    <mergeCell ref="A83:AJ83"/>
    <mergeCell ref="A84:B84"/>
    <mergeCell ref="C84:X84"/>
    <mergeCell ref="A78:B78"/>
    <mergeCell ref="C78:AC78"/>
    <mergeCell ref="AD78:AJ78"/>
    <mergeCell ref="A79:B79"/>
    <mergeCell ref="C79:AC79"/>
    <mergeCell ref="AD79:AJ79"/>
    <mergeCell ref="A74:AC74"/>
    <mergeCell ref="AD74:AJ74"/>
    <mergeCell ref="A75:AJ75"/>
    <mergeCell ref="A76:AJ76"/>
    <mergeCell ref="A77:B77"/>
    <mergeCell ref="C77:AC77"/>
    <mergeCell ref="AD77:AJ7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AQ160"/>
  <sheetViews>
    <sheetView showGridLines="0" topLeftCell="A64" zoomScale="115" zoomScaleNormal="115" zoomScaleSheetLayoutView="120" workbookViewId="0">
      <selection activeCell="AL76" sqref="AL76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6" width="3.85546875" style="34" customWidth="1"/>
    <col min="37" max="37" width="2.42578125" style="34" customWidth="1"/>
    <col min="38" max="38" width="13" style="34" customWidth="1"/>
    <col min="39" max="42" width="2.42578125" style="34"/>
    <col min="43" max="43" width="3.5703125" style="34" customWidth="1"/>
    <col min="44" max="16384" width="2.42578125" style="34"/>
  </cols>
  <sheetData>
    <row r="1" spans="1:36" ht="15" customHeight="1">
      <c r="A1" s="898"/>
      <c r="B1" s="898"/>
      <c r="C1" s="898"/>
      <c r="D1" s="898"/>
      <c r="E1" s="898"/>
      <c r="F1" s="898"/>
      <c r="G1" s="898"/>
      <c r="H1" s="898"/>
      <c r="I1" s="898"/>
      <c r="J1" s="898"/>
      <c r="K1" s="898"/>
      <c r="L1" s="898"/>
      <c r="M1" s="898"/>
      <c r="N1" s="898"/>
      <c r="O1" s="898"/>
      <c r="P1" s="898"/>
      <c r="Q1" s="898"/>
      <c r="R1" s="898"/>
      <c r="S1" s="898"/>
      <c r="T1" s="898"/>
      <c r="U1" s="898"/>
      <c r="V1" s="898"/>
      <c r="W1" s="898"/>
      <c r="X1" s="898"/>
      <c r="Y1" s="898"/>
      <c r="Z1" s="898"/>
      <c r="AA1" s="898"/>
      <c r="AB1" s="898"/>
      <c r="AC1" s="898"/>
      <c r="AD1" s="898"/>
      <c r="AE1" s="898"/>
      <c r="AF1" s="898"/>
      <c r="AG1" s="898"/>
      <c r="AH1" s="898"/>
      <c r="AI1" s="898"/>
      <c r="AJ1" s="898"/>
    </row>
    <row r="2" spans="1:36" ht="15" customHeight="1">
      <c r="A2" s="899" t="s">
        <v>26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  <c r="L2" s="899"/>
      <c r="M2" s="899"/>
      <c r="N2" s="899"/>
      <c r="O2" s="899"/>
      <c r="P2" s="899"/>
      <c r="Q2" s="899"/>
      <c r="R2" s="899"/>
      <c r="S2" s="899"/>
      <c r="T2" s="899"/>
      <c r="U2" s="899"/>
      <c r="V2" s="899"/>
      <c r="W2" s="899"/>
      <c r="X2" s="899"/>
      <c r="Y2" s="899"/>
      <c r="Z2" s="899"/>
      <c r="AA2" s="899"/>
      <c r="AB2" s="899"/>
      <c r="AC2" s="899"/>
      <c r="AD2" s="899"/>
      <c r="AE2" s="899"/>
      <c r="AF2" s="899"/>
      <c r="AG2" s="899"/>
      <c r="AH2" s="899"/>
      <c r="AI2" s="899"/>
      <c r="AJ2" s="899"/>
    </row>
    <row r="3" spans="1:36" ht="15" customHeight="1">
      <c r="A3" s="899" t="s">
        <v>27</v>
      </c>
      <c r="B3" s="899"/>
      <c r="C3" s="899"/>
      <c r="D3" s="899"/>
      <c r="E3" s="899"/>
      <c r="F3" s="899"/>
      <c r="G3" s="899"/>
      <c r="H3" s="899"/>
      <c r="I3" s="899"/>
      <c r="J3" s="899"/>
      <c r="K3" s="899"/>
      <c r="L3" s="899"/>
      <c r="M3" s="899"/>
      <c r="N3" s="899"/>
      <c r="O3" s="899"/>
      <c r="P3" s="899"/>
      <c r="Q3" s="899"/>
      <c r="R3" s="899"/>
      <c r="S3" s="899"/>
      <c r="T3" s="899"/>
      <c r="U3" s="899"/>
      <c r="V3" s="899"/>
      <c r="W3" s="899"/>
      <c r="X3" s="899"/>
      <c r="Y3" s="899"/>
      <c r="Z3" s="899"/>
      <c r="AA3" s="899"/>
      <c r="AB3" s="899"/>
      <c r="AC3" s="899"/>
      <c r="AD3" s="899"/>
      <c r="AE3" s="899"/>
      <c r="AF3" s="899"/>
      <c r="AG3" s="899"/>
      <c r="AH3" s="899"/>
      <c r="AI3" s="899"/>
      <c r="AJ3" s="899"/>
    </row>
    <row r="4" spans="1:36" ht="15" customHeight="1">
      <c r="A4" s="899" t="s">
        <v>329</v>
      </c>
      <c r="B4" s="899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  <c r="AF4" s="899"/>
      <c r="AG4" s="899"/>
      <c r="AH4" s="899"/>
      <c r="AI4" s="899"/>
      <c r="AJ4" s="899"/>
    </row>
    <row r="5" spans="1:36" ht="15" customHeight="1">
      <c r="A5" s="898"/>
      <c r="B5" s="898"/>
      <c r="C5" s="898"/>
      <c r="D5" s="898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898"/>
      <c r="AB5" s="898"/>
      <c r="AC5" s="898"/>
      <c r="AD5" s="898"/>
      <c r="AE5" s="898"/>
      <c r="AF5" s="898"/>
      <c r="AG5" s="898"/>
      <c r="AH5" s="898"/>
      <c r="AI5" s="898"/>
      <c r="AJ5" s="898"/>
    </row>
    <row r="6" spans="1:36" ht="15" customHeight="1">
      <c r="A6" s="898"/>
      <c r="B6" s="898"/>
      <c r="C6" s="898"/>
      <c r="D6" s="898"/>
      <c r="E6" s="898"/>
      <c r="F6" s="898"/>
      <c r="G6" s="898"/>
      <c r="H6" s="898"/>
      <c r="I6" s="898"/>
      <c r="J6" s="898"/>
      <c r="K6" s="898"/>
      <c r="L6" s="898"/>
      <c r="M6" s="898"/>
      <c r="N6" s="898"/>
      <c r="O6" s="898"/>
      <c r="P6" s="898"/>
      <c r="Q6" s="898"/>
      <c r="R6" s="898"/>
      <c r="S6" s="898"/>
      <c r="T6" s="898"/>
      <c r="U6" s="898"/>
      <c r="V6" s="898"/>
      <c r="W6" s="898"/>
      <c r="X6" s="898"/>
      <c r="Y6" s="898"/>
      <c r="Z6" s="898"/>
      <c r="AA6" s="898"/>
      <c r="AB6" s="898"/>
      <c r="AC6" s="898"/>
      <c r="AD6" s="898"/>
      <c r="AE6" s="898"/>
      <c r="AF6" s="898"/>
      <c r="AG6" s="898"/>
      <c r="AH6" s="898"/>
      <c r="AI6" s="898"/>
      <c r="AJ6" s="898"/>
    </row>
    <row r="7" spans="1:36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</row>
    <row r="8" spans="1:36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</row>
    <row r="9" spans="1:36" s="35" customFormat="1" ht="14.45" customHeight="1">
      <c r="A9" s="856" t="s">
        <v>358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</row>
    <row r="10" spans="1:36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</row>
    <row r="11" spans="1:36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</row>
    <row r="12" spans="1:36" s="35" customFormat="1" ht="14.45" customHeight="1">
      <c r="A12" s="900" t="s">
        <v>144</v>
      </c>
      <c r="B12" s="901"/>
      <c r="C12" s="901"/>
      <c r="D12" s="901"/>
      <c r="E12" s="901"/>
      <c r="F12" s="901"/>
      <c r="G12" s="901"/>
      <c r="H12" s="901"/>
      <c r="I12" s="901"/>
      <c r="J12" s="901"/>
      <c r="K12" s="901"/>
      <c r="L12" s="901"/>
      <c r="M12" s="901"/>
      <c r="N12" s="901"/>
      <c r="O12" s="901"/>
      <c r="P12" s="901"/>
      <c r="Q12" s="901"/>
      <c r="R12" s="901"/>
      <c r="S12" s="901"/>
      <c r="T12" s="901"/>
      <c r="U12" s="901"/>
      <c r="V12" s="901"/>
      <c r="W12" s="901"/>
      <c r="X12" s="901"/>
      <c r="Y12" s="901"/>
      <c r="Z12" s="901"/>
      <c r="AA12" s="901"/>
      <c r="AB12" s="901"/>
      <c r="AC12" s="901"/>
      <c r="AD12" s="901"/>
      <c r="AE12" s="901"/>
      <c r="AF12" s="901"/>
      <c r="AG12" s="901"/>
      <c r="AH12" s="901"/>
      <c r="AI12" s="901"/>
      <c r="AJ12" s="902"/>
    </row>
    <row r="13" spans="1:36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</row>
    <row r="14" spans="1:36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</row>
    <row r="15" spans="1:36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</row>
    <row r="16" spans="1:36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</row>
    <row r="17" spans="1:36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</row>
    <row r="18" spans="1:36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</row>
    <row r="19" spans="1:36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</row>
    <row r="20" spans="1:36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</row>
    <row r="21" spans="1:36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</row>
    <row r="22" spans="1:36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337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</row>
    <row r="23" spans="1:36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</row>
    <row r="24" spans="1:36" s="35" customFormat="1" ht="14.45" customHeight="1">
      <c r="A24" s="832" t="s">
        <v>359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</row>
    <row r="25" spans="1:36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</row>
    <row r="26" spans="1:36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</row>
    <row r="27" spans="1:36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</row>
    <row r="29" spans="1:36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</row>
    <row r="30" spans="1:36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819" t="s">
        <v>218</v>
      </c>
      <c r="AE30" s="819"/>
      <c r="AF30" s="819"/>
      <c r="AG30" s="819"/>
      <c r="AH30" s="819"/>
      <c r="AI30" s="819"/>
      <c r="AJ30" s="819"/>
    </row>
    <row r="31" spans="1:36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819" t="s">
        <v>225</v>
      </c>
      <c r="AE31" s="819"/>
      <c r="AF31" s="819"/>
      <c r="AG31" s="819"/>
      <c r="AH31" s="819"/>
      <c r="AI31" s="819"/>
      <c r="AJ31" s="819"/>
    </row>
    <row r="32" spans="1:36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f>'ASG CG'!AD32</f>
        <v>1103</v>
      </c>
      <c r="AE32" s="820"/>
      <c r="AF32" s="820"/>
      <c r="AG32" s="820"/>
      <c r="AH32" s="820"/>
      <c r="AI32" s="820"/>
      <c r="AJ32" s="820"/>
    </row>
    <row r="33" spans="1:36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19" t="s">
        <v>221</v>
      </c>
      <c r="AE33" s="819"/>
      <c r="AF33" s="819"/>
      <c r="AG33" s="819"/>
      <c r="AH33" s="819"/>
      <c r="AI33" s="819"/>
      <c r="AJ33" s="819"/>
    </row>
    <row r="34" spans="1:36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</row>
    <row r="35" spans="1:36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6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</row>
    <row r="38" spans="1:36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1103</v>
      </c>
      <c r="AE38" s="775"/>
      <c r="AF38" s="775"/>
      <c r="AG38" s="775"/>
      <c r="AH38" s="775"/>
      <c r="AI38" s="775"/>
      <c r="AJ38" s="776"/>
    </row>
    <row r="39" spans="1:36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6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54">
        <v>0.1</v>
      </c>
      <c r="Z40" s="755"/>
      <c r="AA40" s="755"/>
      <c r="AB40" s="755"/>
      <c r="AC40" s="756"/>
      <c r="AD40" s="744">
        <f>AD38*Y40</f>
        <v>110.30000000000001</v>
      </c>
      <c r="AE40" s="745"/>
      <c r="AF40" s="745"/>
      <c r="AG40" s="745"/>
      <c r="AH40" s="745"/>
      <c r="AI40" s="745"/>
      <c r="AJ40" s="746"/>
    </row>
    <row r="41" spans="1:36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6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6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6" ht="14.45" customHeight="1">
      <c r="A44" s="722" t="s">
        <v>8</v>
      </c>
      <c r="B44" s="723"/>
      <c r="C44" s="724" t="s">
        <v>224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14"/>
      <c r="Z44" s="811"/>
      <c r="AA44" s="811"/>
      <c r="AB44" s="811"/>
      <c r="AC44" s="812"/>
      <c r="AD44" s="744">
        <v>0</v>
      </c>
      <c r="AE44" s="745"/>
      <c r="AF44" s="745"/>
      <c r="AG44" s="745"/>
      <c r="AH44" s="745"/>
      <c r="AI44" s="745"/>
      <c r="AJ44" s="746"/>
    </row>
    <row r="45" spans="1:36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1213.3</v>
      </c>
      <c r="AE45" s="692"/>
      <c r="AF45" s="692"/>
      <c r="AG45" s="692"/>
      <c r="AH45" s="692"/>
      <c r="AI45" s="692"/>
      <c r="AJ45" s="693"/>
    </row>
    <row r="46" spans="1:36" ht="14.45" customHeight="1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7"/>
      <c r="Z46" s="127"/>
      <c r="AA46" s="127"/>
      <c r="AB46" s="127"/>
      <c r="AC46" s="127"/>
      <c r="AD46" s="61"/>
      <c r="AE46" s="61"/>
      <c r="AF46" s="61"/>
      <c r="AG46" s="61"/>
      <c r="AH46" s="61"/>
      <c r="AI46" s="61"/>
      <c r="AJ46" s="61"/>
    </row>
    <row r="47" spans="1:36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6" ht="14.45" customHeight="1">
      <c r="A48" s="813" t="s">
        <v>280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101.10833333333332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33.702777777777776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134.8111111111111</v>
      </c>
      <c r="AE52" s="692"/>
      <c r="AF52" s="692"/>
      <c r="AG52" s="692"/>
      <c r="AH52" s="692"/>
      <c r="AI52" s="692"/>
      <c r="AJ52" s="693"/>
    </row>
    <row r="53" spans="1:36" ht="14.45" customHeight="1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7"/>
      <c r="Z53" s="127"/>
      <c r="AA53" s="127"/>
      <c r="AB53" s="127"/>
      <c r="AC53" s="127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269.62222222222221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33.702777777777776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40.443333333333328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20.221666666666664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13.481111111111112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8.0886666666666667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2.6962222222222221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107.84888888888889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496.10488888888887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109.82000000000001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454.82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134.8111111111111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496.10488888888887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454.82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1085.7359999999999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5.055416666666666</v>
      </c>
      <c r="AE85" s="775"/>
      <c r="AF85" s="775"/>
      <c r="AG85" s="775"/>
      <c r="AH85" s="775"/>
      <c r="AI85" s="775"/>
      <c r="AJ85" s="776"/>
      <c r="AL85" s="116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0.40443333333333331</v>
      </c>
      <c r="AE86" s="775"/>
      <c r="AF86" s="775"/>
      <c r="AG86" s="775"/>
      <c r="AH86" s="775"/>
      <c r="AI86" s="775"/>
      <c r="AJ86" s="776"/>
      <c r="AL86" s="116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44.056271111111116</v>
      </c>
      <c r="AE87" s="775"/>
      <c r="AF87" s="775"/>
      <c r="AG87" s="775"/>
      <c r="AH87" s="775"/>
      <c r="AI87" s="775"/>
      <c r="AJ87" s="776"/>
      <c r="AL87" s="116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44.703477777777778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8.6818355555555566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0.7549422222222224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103.65637666666667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101.10833333333332</v>
      </c>
      <c r="AE96" s="775"/>
      <c r="AF96" s="775"/>
      <c r="AG96" s="775"/>
      <c r="AH96" s="775"/>
      <c r="AI96" s="775"/>
      <c r="AJ96" s="776"/>
      <c r="AK96" s="130"/>
      <c r="AL96" s="117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16.86487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0.24266000000000001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3.39724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1.5772899999999999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0.84931000000000001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23.812135925925926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45.646610826666667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193.4984500859259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7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7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7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193.4984500859259</v>
      </c>
      <c r="AE115" s="775"/>
      <c r="AF115" s="775"/>
      <c r="AG115" s="775"/>
      <c r="AH115" s="775"/>
      <c r="AI115" s="775"/>
      <c r="AJ115" s="776"/>
    </row>
    <row r="116" spans="1:37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7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193.4984500859259</v>
      </c>
      <c r="AE117" s="692"/>
      <c r="AF117" s="692"/>
      <c r="AG117" s="692"/>
      <c r="AH117" s="692"/>
      <c r="AI117" s="692"/>
      <c r="AJ117" s="693"/>
    </row>
    <row r="118" spans="1:37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7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7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7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'Fardamentos e EPI´s - ASG'!H20</f>
        <v>135.04333333333332</v>
      </c>
      <c r="AE121" s="772"/>
      <c r="AF121" s="772"/>
      <c r="AG121" s="772"/>
      <c r="AH121" s="772"/>
      <c r="AI121" s="772"/>
      <c r="AJ121" s="773"/>
    </row>
    <row r="122" spans="1:37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7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>
        <f>'Equip. e Ferramentas - Preço'!O165</f>
        <v>155.14487882758621</v>
      </c>
      <c r="AE123" s="772"/>
      <c r="AF123" s="772"/>
      <c r="AG123" s="772"/>
      <c r="AH123" s="772"/>
      <c r="AI123" s="772"/>
      <c r="AJ123" s="773"/>
    </row>
    <row r="124" spans="1:37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290.18821216091953</v>
      </c>
      <c r="AE124" s="692"/>
      <c r="AF124" s="692"/>
      <c r="AG124" s="692"/>
      <c r="AH124" s="692"/>
      <c r="AI124" s="692"/>
      <c r="AJ124" s="693"/>
    </row>
    <row r="125" spans="1:37" ht="14.45" customHeight="1"/>
    <row r="126" spans="1:37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7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7" ht="14.45" customHeight="1">
      <c r="A128" s="736" t="s">
        <v>0</v>
      </c>
      <c r="B128" s="737"/>
      <c r="C128" s="757" t="s">
        <v>328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86.591371167405356</v>
      </c>
      <c r="AE128" s="745"/>
      <c r="AF128" s="745"/>
      <c r="AG128" s="745"/>
      <c r="AH128" s="745"/>
      <c r="AI128" s="745"/>
      <c r="AJ128" s="746"/>
      <c r="AK128" s="130"/>
    </row>
    <row r="129" spans="1:38" ht="14.45" customHeight="1">
      <c r="A129" s="736" t="s">
        <v>1</v>
      </c>
      <c r="B129" s="737"/>
      <c r="C129" s="757" t="s">
        <v>327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195.98513674222747</v>
      </c>
      <c r="AE129" s="745"/>
      <c r="AF129" s="745"/>
      <c r="AG129" s="745"/>
      <c r="AH129" s="745"/>
      <c r="AI129" s="745"/>
      <c r="AJ129" s="746"/>
      <c r="AK129" s="130"/>
    </row>
    <row r="130" spans="1:38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</row>
    <row r="131" spans="1:38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8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104.07078971504582</v>
      </c>
      <c r="AE132" s="745"/>
      <c r="AF132" s="745"/>
      <c r="AG132" s="745"/>
      <c r="AH132" s="745"/>
      <c r="AI132" s="745"/>
      <c r="AJ132" s="746"/>
      <c r="AK132" s="130"/>
    </row>
    <row r="133" spans="1:38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22.548671104926594</v>
      </c>
      <c r="AE133" s="745"/>
      <c r="AF133" s="745"/>
      <c r="AG133" s="745"/>
      <c r="AH133" s="745"/>
      <c r="AI133" s="745"/>
      <c r="AJ133" s="746"/>
      <c r="AK133" s="134"/>
    </row>
    <row r="134" spans="1:38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173.45131619174305</v>
      </c>
      <c r="AE134" s="745"/>
      <c r="AF134" s="745"/>
      <c r="AG134" s="745"/>
      <c r="AH134" s="745"/>
      <c r="AI134" s="745"/>
      <c r="AJ134" s="746"/>
      <c r="AK134" s="130"/>
    </row>
    <row r="135" spans="1:38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582.64728492134827</v>
      </c>
      <c r="AE135" s="747"/>
      <c r="AF135" s="747"/>
      <c r="AG135" s="747"/>
      <c r="AH135" s="747"/>
      <c r="AI135" s="747"/>
      <c r="AJ135" s="747"/>
      <c r="AK135" s="130"/>
    </row>
    <row r="136" spans="1:38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8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8" ht="14.4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0"/>
    </row>
    <row r="139" spans="1:38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8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1213.3</v>
      </c>
      <c r="AE140" s="720"/>
      <c r="AF140" s="720"/>
      <c r="AG140" s="720"/>
      <c r="AH140" s="720"/>
      <c r="AI140" s="720"/>
      <c r="AJ140" s="721"/>
      <c r="AK140" s="130"/>
      <c r="AL140" s="117"/>
    </row>
    <row r="141" spans="1:38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1085.7359999999999</v>
      </c>
      <c r="AE141" s="720"/>
      <c r="AF141" s="720"/>
      <c r="AG141" s="720"/>
      <c r="AH141" s="720"/>
      <c r="AI141" s="720"/>
      <c r="AJ141" s="721"/>
      <c r="AK141" s="130"/>
      <c r="AL141" s="117"/>
    </row>
    <row r="142" spans="1:38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103.65637666666667</v>
      </c>
      <c r="AE142" s="720"/>
      <c r="AF142" s="720"/>
      <c r="AG142" s="720"/>
      <c r="AH142" s="720"/>
      <c r="AI142" s="720"/>
      <c r="AJ142" s="721"/>
      <c r="AK142" s="130"/>
    </row>
    <row r="143" spans="1:38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193.4984500859259</v>
      </c>
      <c r="AE143" s="720"/>
      <c r="AF143" s="720"/>
      <c r="AG143" s="720"/>
      <c r="AH143" s="720"/>
      <c r="AI143" s="720"/>
      <c r="AJ143" s="721"/>
      <c r="AK143" s="130"/>
    </row>
    <row r="144" spans="1:38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290.18821216091953</v>
      </c>
      <c r="AE144" s="720"/>
      <c r="AF144" s="720"/>
      <c r="AG144" s="720"/>
      <c r="AH144" s="720"/>
      <c r="AI144" s="720"/>
      <c r="AJ144" s="721"/>
      <c r="AK144" s="130"/>
    </row>
    <row r="145" spans="1:37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2886.3790389135124</v>
      </c>
      <c r="AE145" s="720"/>
      <c r="AF145" s="720"/>
      <c r="AG145" s="720"/>
      <c r="AH145" s="720"/>
      <c r="AI145" s="720"/>
      <c r="AJ145" s="721"/>
      <c r="AK145" s="130"/>
    </row>
    <row r="146" spans="1:37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582.64728492134827</v>
      </c>
      <c r="AE146" s="720"/>
      <c r="AF146" s="720"/>
      <c r="AG146" s="720"/>
      <c r="AH146" s="720"/>
      <c r="AI146" s="720"/>
      <c r="AJ146" s="721"/>
      <c r="AK146" s="130"/>
    </row>
    <row r="147" spans="1:37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3469.0263238348607</v>
      </c>
      <c r="AE147" s="692"/>
      <c r="AF147" s="692"/>
      <c r="AG147" s="692"/>
      <c r="AH147" s="692"/>
      <c r="AI147" s="692"/>
      <c r="AJ147" s="693"/>
      <c r="AK147" s="130"/>
    </row>
    <row r="148" spans="1:37" ht="14.45" customHeight="1"/>
    <row r="149" spans="1:37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7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7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7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7" ht="34.15" customHeight="1">
      <c r="A153" s="701" t="str">
        <f>A24</f>
        <v>SERVIÇOS DE LIMPEZA COM INSALUBRIDADE (PATOS)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3469.0263238348607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3469.0263238348607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3469.0263238348607</v>
      </c>
      <c r="AF153" s="714"/>
      <c r="AG153" s="714"/>
      <c r="AH153" s="714"/>
      <c r="AI153" s="714"/>
      <c r="AJ153" s="715"/>
    </row>
    <row r="154" spans="1:37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3469.03</v>
      </c>
      <c r="AF154" s="686"/>
      <c r="AG154" s="686"/>
      <c r="AH154" s="686"/>
      <c r="AI154" s="686"/>
      <c r="AJ154" s="686"/>
    </row>
    <row r="155" spans="1:37" ht="14.45" customHeight="1"/>
    <row r="156" spans="1:37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7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7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7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3469.03</v>
      </c>
      <c r="AE159" s="700"/>
      <c r="AF159" s="700"/>
      <c r="AG159" s="700"/>
      <c r="AH159" s="700"/>
      <c r="AI159" s="700"/>
      <c r="AJ159" s="700"/>
    </row>
    <row r="160" spans="1:37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124885.08</v>
      </c>
      <c r="AE160" s="684"/>
      <c r="AF160" s="684"/>
      <c r="AG160" s="684"/>
      <c r="AH160" s="684"/>
      <c r="AI160" s="684"/>
      <c r="AJ160" s="684"/>
    </row>
  </sheetData>
  <mergeCells count="392">
    <mergeCell ref="A106:X106"/>
    <mergeCell ref="Y106:AC106"/>
    <mergeCell ref="AD106:AJ106"/>
    <mergeCell ref="A104:AC104"/>
    <mergeCell ref="AD104:AJ104"/>
    <mergeCell ref="A105:B105"/>
    <mergeCell ref="C105:X105"/>
    <mergeCell ref="Y105:AC105"/>
    <mergeCell ref="AD105:AJ105"/>
    <mergeCell ref="A102:X102"/>
    <mergeCell ref="Y102:AC102"/>
    <mergeCell ref="AD102:AJ102"/>
    <mergeCell ref="A103:B103"/>
    <mergeCell ref="C103:X103"/>
    <mergeCell ref="Y103:AC103"/>
    <mergeCell ref="AD103:AJ103"/>
    <mergeCell ref="A100:B100"/>
    <mergeCell ref="C100:X100"/>
    <mergeCell ref="Y100:AC100"/>
    <mergeCell ref="AD100:AJ100"/>
    <mergeCell ref="A101:B101"/>
    <mergeCell ref="C101:X101"/>
    <mergeCell ref="Y101:AC101"/>
    <mergeCell ref="AD101:AJ101"/>
    <mergeCell ref="A98:B98"/>
    <mergeCell ref="C98:X98"/>
    <mergeCell ref="Y98:AC98"/>
    <mergeCell ref="AD98:AJ98"/>
    <mergeCell ref="A99:B99"/>
    <mergeCell ref="C99:X99"/>
    <mergeCell ref="Y99:AC99"/>
    <mergeCell ref="AD99:AJ99"/>
    <mergeCell ref="A96:B96"/>
    <mergeCell ref="C96:X96"/>
    <mergeCell ref="Y96:AC96"/>
    <mergeCell ref="AD96:AJ96"/>
    <mergeCell ref="A97:B97"/>
    <mergeCell ref="C97:X97"/>
    <mergeCell ref="Y97:AC97"/>
    <mergeCell ref="AD97:AJ97"/>
    <mergeCell ref="A93:AJ93"/>
    <mergeCell ref="A94:AJ94"/>
    <mergeCell ref="A95:B95"/>
    <mergeCell ref="C95:X95"/>
    <mergeCell ref="Y95:AC95"/>
    <mergeCell ref="AD95:AJ95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Y84:AC84"/>
    <mergeCell ref="AD84:AJ84"/>
    <mergeCell ref="A85:B85"/>
    <mergeCell ref="C85:X85"/>
    <mergeCell ref="Y85:AC85"/>
    <mergeCell ref="AD85:AJ85"/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  <mergeCell ref="AD159:AJ159"/>
    <mergeCell ref="A153:L153"/>
    <mergeCell ref="M153:Q153"/>
    <mergeCell ref="R153:V153"/>
    <mergeCell ref="W153:AA153"/>
    <mergeCell ref="AB153:AD153"/>
    <mergeCell ref="AE153:AJ153"/>
    <mergeCell ref="A152:L152"/>
    <mergeCell ref="M152:Q152"/>
    <mergeCell ref="R152:V152"/>
    <mergeCell ref="W152:AA152"/>
    <mergeCell ref="AB152:AD152"/>
    <mergeCell ref="AE152:AJ15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A145:AC145"/>
    <mergeCell ref="AD145:AJ145"/>
    <mergeCell ref="A146:B146"/>
    <mergeCell ref="C146:AC146"/>
    <mergeCell ref="AD146:AJ146"/>
    <mergeCell ref="A147:AC147"/>
    <mergeCell ref="AD147:AJ147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37:AJ137"/>
    <mergeCell ref="A139:AC139"/>
    <mergeCell ref="AD139:AJ139"/>
    <mergeCell ref="A140:B140"/>
    <mergeCell ref="C140:AC140"/>
    <mergeCell ref="AD140:AJ140"/>
    <mergeCell ref="A134:B134"/>
    <mergeCell ref="C134:X134"/>
    <mergeCell ref="Y134:AC134"/>
    <mergeCell ref="AD134:AJ134"/>
    <mergeCell ref="A135:AC135"/>
    <mergeCell ref="AD135:AJ135"/>
    <mergeCell ref="A132:B132"/>
    <mergeCell ref="C132:X132"/>
    <mergeCell ref="Y132:AC132"/>
    <mergeCell ref="AD132:AJ132"/>
    <mergeCell ref="A133:B133"/>
    <mergeCell ref="C133:X133"/>
    <mergeCell ref="Y133:AC133"/>
    <mergeCell ref="AD133:AJ133"/>
    <mergeCell ref="A129:B129"/>
    <mergeCell ref="C129:X129"/>
    <mergeCell ref="Y129:AC129"/>
    <mergeCell ref="AD129:AJ129"/>
    <mergeCell ref="Y130:AC130"/>
    <mergeCell ref="A131:B131"/>
    <mergeCell ref="C131:X131"/>
    <mergeCell ref="Y131:AC131"/>
    <mergeCell ref="A127:B127"/>
    <mergeCell ref="C127:X127"/>
    <mergeCell ref="Y127:AC127"/>
    <mergeCell ref="AD127:AJ127"/>
    <mergeCell ref="A128:B128"/>
    <mergeCell ref="C128:X128"/>
    <mergeCell ref="Y128:AC128"/>
    <mergeCell ref="AD128:AJ128"/>
    <mergeCell ref="A124:AC124"/>
    <mergeCell ref="AD124:AJ124"/>
    <mergeCell ref="A126:AJ126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10:B110"/>
    <mergeCell ref="C110:AC110"/>
    <mergeCell ref="AD110:AJ110"/>
    <mergeCell ref="A111:AC111"/>
    <mergeCell ref="AD111:AJ111"/>
    <mergeCell ref="A112:AJ112"/>
    <mergeCell ref="A107:AJ107"/>
    <mergeCell ref="A108:AJ108"/>
    <mergeCell ref="A109:B109"/>
    <mergeCell ref="C109:X109"/>
    <mergeCell ref="Y109:AC109"/>
    <mergeCell ref="AD109:AJ109"/>
    <mergeCell ref="A92:AJ92"/>
    <mergeCell ref="A80:B80"/>
    <mergeCell ref="C80:AC80"/>
    <mergeCell ref="AD80:AJ80"/>
    <mergeCell ref="A81:AC81"/>
    <mergeCell ref="AD81:AJ81"/>
    <mergeCell ref="A82:AJ82"/>
    <mergeCell ref="A83:AJ83"/>
    <mergeCell ref="A84:B84"/>
    <mergeCell ref="C84:X84"/>
    <mergeCell ref="A78:B78"/>
    <mergeCell ref="C78:AC78"/>
    <mergeCell ref="AD78:AJ78"/>
    <mergeCell ref="A79:B79"/>
    <mergeCell ref="C79:AC79"/>
    <mergeCell ref="AD79:AJ79"/>
    <mergeCell ref="A74:AC74"/>
    <mergeCell ref="AD74:AJ74"/>
    <mergeCell ref="A75:AJ75"/>
    <mergeCell ref="A76:AJ76"/>
    <mergeCell ref="A77:B77"/>
    <mergeCell ref="C77:AC77"/>
    <mergeCell ref="AD77:AJ7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AQ160"/>
  <sheetViews>
    <sheetView showGridLines="0" topLeftCell="A61" zoomScale="115" zoomScaleNormal="115" zoomScaleSheetLayoutView="120" workbookViewId="0">
      <selection activeCell="Y40" sqref="Y40:AC40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5" width="3.42578125" style="34" customWidth="1"/>
    <col min="26" max="28" width="2.42578125" style="34" customWidth="1"/>
    <col min="29" max="35" width="3.85546875" style="34" customWidth="1"/>
    <col min="36" max="36" width="3.28515625" style="34" customWidth="1"/>
    <col min="37" max="37" width="2.42578125" style="34" customWidth="1"/>
    <col min="38" max="38" width="13" style="34" customWidth="1"/>
    <col min="39" max="42" width="2.42578125" style="34"/>
    <col min="43" max="43" width="3.5703125" style="34" customWidth="1"/>
    <col min="44" max="16384" width="2.42578125" style="34"/>
  </cols>
  <sheetData>
    <row r="1" spans="1:36" ht="15" customHeight="1">
      <c r="A1" s="898"/>
      <c r="B1" s="898"/>
      <c r="C1" s="898"/>
      <c r="D1" s="898"/>
      <c r="E1" s="898"/>
      <c r="F1" s="898"/>
      <c r="G1" s="898"/>
      <c r="H1" s="898"/>
      <c r="I1" s="898"/>
      <c r="J1" s="898"/>
      <c r="K1" s="898"/>
      <c r="L1" s="898"/>
      <c r="M1" s="898"/>
      <c r="N1" s="898"/>
      <c r="O1" s="898"/>
      <c r="P1" s="898"/>
      <c r="Q1" s="898"/>
      <c r="R1" s="898"/>
      <c r="S1" s="898"/>
      <c r="T1" s="898"/>
      <c r="U1" s="898"/>
      <c r="V1" s="898"/>
      <c r="W1" s="898"/>
      <c r="X1" s="898"/>
      <c r="Y1" s="898"/>
      <c r="Z1" s="898"/>
      <c r="AA1" s="898"/>
      <c r="AB1" s="898"/>
      <c r="AC1" s="898"/>
      <c r="AD1" s="898"/>
      <c r="AE1" s="898"/>
      <c r="AF1" s="898"/>
      <c r="AG1" s="898"/>
      <c r="AH1" s="898"/>
      <c r="AI1" s="898"/>
      <c r="AJ1" s="898"/>
    </row>
    <row r="2" spans="1:36" ht="15" customHeight="1">
      <c r="A2" s="899" t="s">
        <v>26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  <c r="L2" s="899"/>
      <c r="M2" s="899"/>
      <c r="N2" s="899"/>
      <c r="O2" s="899"/>
      <c r="P2" s="899"/>
      <c r="Q2" s="899"/>
      <c r="R2" s="899"/>
      <c r="S2" s="899"/>
      <c r="T2" s="899"/>
      <c r="U2" s="899"/>
      <c r="V2" s="899"/>
      <c r="W2" s="899"/>
      <c r="X2" s="899"/>
      <c r="Y2" s="899"/>
      <c r="Z2" s="899"/>
      <c r="AA2" s="899"/>
      <c r="AB2" s="899"/>
      <c r="AC2" s="899"/>
      <c r="AD2" s="899"/>
      <c r="AE2" s="899"/>
      <c r="AF2" s="899"/>
      <c r="AG2" s="899"/>
      <c r="AH2" s="899"/>
      <c r="AI2" s="899"/>
      <c r="AJ2" s="899"/>
    </row>
    <row r="3" spans="1:36" ht="15" customHeight="1">
      <c r="A3" s="899" t="s">
        <v>27</v>
      </c>
      <c r="B3" s="899"/>
      <c r="C3" s="899"/>
      <c r="D3" s="899"/>
      <c r="E3" s="899"/>
      <c r="F3" s="899"/>
      <c r="G3" s="899"/>
      <c r="H3" s="899"/>
      <c r="I3" s="899"/>
      <c r="J3" s="899"/>
      <c r="K3" s="899"/>
      <c r="L3" s="899"/>
      <c r="M3" s="899"/>
      <c r="N3" s="899"/>
      <c r="O3" s="899"/>
      <c r="P3" s="899"/>
      <c r="Q3" s="899"/>
      <c r="R3" s="899"/>
      <c r="S3" s="899"/>
      <c r="T3" s="899"/>
      <c r="U3" s="899"/>
      <c r="V3" s="899"/>
      <c r="W3" s="899"/>
      <c r="X3" s="899"/>
      <c r="Y3" s="899"/>
      <c r="Z3" s="899"/>
      <c r="AA3" s="899"/>
      <c r="AB3" s="899"/>
      <c r="AC3" s="899"/>
      <c r="AD3" s="899"/>
      <c r="AE3" s="899"/>
      <c r="AF3" s="899"/>
      <c r="AG3" s="899"/>
      <c r="AH3" s="899"/>
      <c r="AI3" s="899"/>
      <c r="AJ3" s="899"/>
    </row>
    <row r="4" spans="1:36" ht="15" customHeight="1">
      <c r="A4" s="899" t="s">
        <v>329</v>
      </c>
      <c r="B4" s="899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  <c r="AF4" s="899"/>
      <c r="AG4" s="899"/>
      <c r="AH4" s="899"/>
      <c r="AI4" s="899"/>
      <c r="AJ4" s="899"/>
    </row>
    <row r="5" spans="1:36" ht="15" customHeight="1">
      <c r="A5" s="898"/>
      <c r="B5" s="898"/>
      <c r="C5" s="898"/>
      <c r="D5" s="898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898"/>
      <c r="AB5" s="898"/>
      <c r="AC5" s="898"/>
      <c r="AD5" s="898"/>
      <c r="AE5" s="898"/>
      <c r="AF5" s="898"/>
      <c r="AG5" s="898"/>
      <c r="AH5" s="898"/>
      <c r="AI5" s="898"/>
      <c r="AJ5" s="898"/>
    </row>
    <row r="6" spans="1:36" ht="15" customHeight="1">
      <c r="A6" s="898"/>
      <c r="B6" s="898"/>
      <c r="C6" s="898"/>
      <c r="D6" s="898"/>
      <c r="E6" s="898"/>
      <c r="F6" s="898"/>
      <c r="G6" s="898"/>
      <c r="H6" s="898"/>
      <c r="I6" s="898"/>
      <c r="J6" s="898"/>
      <c r="K6" s="898"/>
      <c r="L6" s="898"/>
      <c r="M6" s="898"/>
      <c r="N6" s="898"/>
      <c r="O6" s="898"/>
      <c r="P6" s="898"/>
      <c r="Q6" s="898"/>
      <c r="R6" s="898"/>
      <c r="S6" s="898"/>
      <c r="T6" s="898"/>
      <c r="U6" s="898"/>
      <c r="V6" s="898"/>
      <c r="W6" s="898"/>
      <c r="X6" s="898"/>
      <c r="Y6" s="898"/>
      <c r="Z6" s="898"/>
      <c r="AA6" s="898"/>
      <c r="AB6" s="898"/>
      <c r="AC6" s="898"/>
      <c r="AD6" s="898"/>
      <c r="AE6" s="898"/>
      <c r="AF6" s="898"/>
      <c r="AG6" s="898"/>
      <c r="AH6" s="898"/>
      <c r="AI6" s="898"/>
      <c r="AJ6" s="898"/>
    </row>
    <row r="7" spans="1:36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</row>
    <row r="8" spans="1:36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</row>
    <row r="9" spans="1:36" s="35" customFormat="1" ht="14.45" customHeight="1">
      <c r="A9" s="856" t="s">
        <v>362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</row>
    <row r="10" spans="1:36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</row>
    <row r="11" spans="1:36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</row>
    <row r="12" spans="1:36" s="35" customFormat="1" ht="14.45" customHeight="1">
      <c r="A12" s="900" t="s">
        <v>144</v>
      </c>
      <c r="B12" s="901"/>
      <c r="C12" s="901"/>
      <c r="D12" s="901"/>
      <c r="E12" s="901"/>
      <c r="F12" s="901"/>
      <c r="G12" s="901"/>
      <c r="H12" s="901"/>
      <c r="I12" s="901"/>
      <c r="J12" s="901"/>
      <c r="K12" s="901"/>
      <c r="L12" s="901"/>
      <c r="M12" s="901"/>
      <c r="N12" s="901"/>
      <c r="O12" s="901"/>
      <c r="P12" s="901"/>
      <c r="Q12" s="901"/>
      <c r="R12" s="901"/>
      <c r="S12" s="901"/>
      <c r="T12" s="901"/>
      <c r="U12" s="901"/>
      <c r="V12" s="901"/>
      <c r="W12" s="901"/>
      <c r="X12" s="901"/>
      <c r="Y12" s="901"/>
      <c r="Z12" s="901"/>
      <c r="AA12" s="901"/>
      <c r="AB12" s="901"/>
      <c r="AC12" s="901"/>
      <c r="AD12" s="901"/>
      <c r="AE12" s="901"/>
      <c r="AF12" s="901"/>
      <c r="AG12" s="901"/>
      <c r="AH12" s="901"/>
      <c r="AI12" s="901"/>
      <c r="AJ12" s="902"/>
    </row>
    <row r="13" spans="1:36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</row>
    <row r="14" spans="1:36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</row>
    <row r="15" spans="1:36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</row>
    <row r="16" spans="1:36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</row>
    <row r="17" spans="1:36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</row>
    <row r="18" spans="1:36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</row>
    <row r="19" spans="1:36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</row>
    <row r="20" spans="1:36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</row>
    <row r="21" spans="1:36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</row>
    <row r="22" spans="1:36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338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</row>
    <row r="23" spans="1:36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</row>
    <row r="24" spans="1:36" s="35" customFormat="1" ht="14.45" customHeight="1">
      <c r="A24" s="832" t="s">
        <v>365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</row>
    <row r="25" spans="1:36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</row>
    <row r="26" spans="1:36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</row>
    <row r="27" spans="1:36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</row>
    <row r="29" spans="1:36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</row>
    <row r="30" spans="1:36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819" t="s">
        <v>218</v>
      </c>
      <c r="AE30" s="819"/>
      <c r="AF30" s="819"/>
      <c r="AG30" s="819"/>
      <c r="AH30" s="819"/>
      <c r="AI30" s="819"/>
      <c r="AJ30" s="819"/>
    </row>
    <row r="31" spans="1:36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819" t="s">
        <v>225</v>
      </c>
      <c r="AE31" s="819"/>
      <c r="AF31" s="819"/>
      <c r="AG31" s="819"/>
      <c r="AH31" s="819"/>
      <c r="AI31" s="819"/>
      <c r="AJ31" s="819"/>
    </row>
    <row r="32" spans="1:36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f>'ASG CG'!AD32</f>
        <v>1103</v>
      </c>
      <c r="AE32" s="820"/>
      <c r="AF32" s="820"/>
      <c r="AG32" s="820"/>
      <c r="AH32" s="820"/>
      <c r="AI32" s="820"/>
      <c r="AJ32" s="820"/>
    </row>
    <row r="33" spans="1:36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19" t="s">
        <v>221</v>
      </c>
      <c r="AE33" s="819"/>
      <c r="AF33" s="819"/>
      <c r="AG33" s="819"/>
      <c r="AH33" s="819"/>
      <c r="AI33" s="819"/>
      <c r="AJ33" s="819"/>
    </row>
    <row r="34" spans="1:36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</row>
    <row r="35" spans="1:36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6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</row>
    <row r="38" spans="1:36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1103</v>
      </c>
      <c r="AE38" s="775"/>
      <c r="AF38" s="775"/>
      <c r="AG38" s="775"/>
      <c r="AH38" s="775"/>
      <c r="AI38" s="775"/>
      <c r="AJ38" s="776"/>
    </row>
    <row r="39" spans="1:36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6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54">
        <v>0.1</v>
      </c>
      <c r="Z40" s="755"/>
      <c r="AA40" s="755"/>
      <c r="AB40" s="755"/>
      <c r="AC40" s="756"/>
      <c r="AD40" s="744">
        <f>AD38*Y40</f>
        <v>110.30000000000001</v>
      </c>
      <c r="AE40" s="745"/>
      <c r="AF40" s="745"/>
      <c r="AG40" s="745"/>
      <c r="AH40" s="745"/>
      <c r="AI40" s="745"/>
      <c r="AJ40" s="746"/>
    </row>
    <row r="41" spans="1:36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6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6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6" ht="14.45" customHeight="1">
      <c r="A44" s="722" t="s">
        <v>8</v>
      </c>
      <c r="B44" s="723"/>
      <c r="C44" s="724" t="s">
        <v>224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14"/>
      <c r="Z44" s="811"/>
      <c r="AA44" s="811"/>
      <c r="AB44" s="811"/>
      <c r="AC44" s="812"/>
      <c r="AD44" s="744">
        <v>0</v>
      </c>
      <c r="AE44" s="745"/>
      <c r="AF44" s="745"/>
      <c r="AG44" s="745"/>
      <c r="AH44" s="745"/>
      <c r="AI44" s="745"/>
      <c r="AJ44" s="746"/>
    </row>
    <row r="45" spans="1:36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1213.3</v>
      </c>
      <c r="AE45" s="692"/>
      <c r="AF45" s="692"/>
      <c r="AG45" s="692"/>
      <c r="AH45" s="692"/>
      <c r="AI45" s="692"/>
      <c r="AJ45" s="693"/>
    </row>
    <row r="46" spans="1:36" ht="14.45" customHeight="1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60"/>
      <c r="Z46" s="60"/>
      <c r="AA46" s="60"/>
      <c r="AB46" s="60"/>
      <c r="AC46" s="60"/>
      <c r="AD46" s="61"/>
      <c r="AE46" s="61"/>
      <c r="AF46" s="61"/>
      <c r="AG46" s="61"/>
      <c r="AH46" s="61"/>
      <c r="AI46" s="61"/>
      <c r="AJ46" s="61"/>
    </row>
    <row r="47" spans="1:36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6" ht="14.45" customHeight="1">
      <c r="A48" s="813" t="s">
        <v>280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101.10833333333332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33.702777777777776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134.8111111111111</v>
      </c>
      <c r="AE52" s="692"/>
      <c r="AF52" s="692"/>
      <c r="AG52" s="692"/>
      <c r="AH52" s="692"/>
      <c r="AI52" s="692"/>
      <c r="AJ52" s="693"/>
    </row>
    <row r="53" spans="1:36" ht="14.45" customHeight="1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60"/>
      <c r="Z53" s="60"/>
      <c r="AA53" s="60"/>
      <c r="AB53" s="60"/>
      <c r="AC53" s="60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269.62222222222221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33.702777777777776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40.443333333333328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20.221666666666664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13.481111111111112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8.0886666666666667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2.6962222222222221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107.84888888888889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496.10488888888887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109.82000000000001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454.82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134.8111111111111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496.10488888888887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454.82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1085.7359999999999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5.055416666666666</v>
      </c>
      <c r="AE85" s="775"/>
      <c r="AF85" s="775"/>
      <c r="AG85" s="775"/>
      <c r="AH85" s="775"/>
      <c r="AI85" s="775"/>
      <c r="AJ85" s="776"/>
      <c r="AL85" s="116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0.40443333333333331</v>
      </c>
      <c r="AE86" s="775"/>
      <c r="AF86" s="775"/>
      <c r="AG86" s="775"/>
      <c r="AH86" s="775"/>
      <c r="AI86" s="775"/>
      <c r="AJ86" s="776"/>
      <c r="AL86" s="116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44.056271111111116</v>
      </c>
      <c r="AE87" s="775"/>
      <c r="AF87" s="775"/>
      <c r="AG87" s="775"/>
      <c r="AH87" s="775"/>
      <c r="AI87" s="775"/>
      <c r="AJ87" s="776"/>
      <c r="AL87" s="116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44.703477777777778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8.6818355555555566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0.7549422222222224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103.65637666666667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101.10833333333332</v>
      </c>
      <c r="AE96" s="775"/>
      <c r="AF96" s="775"/>
      <c r="AG96" s="775"/>
      <c r="AH96" s="775"/>
      <c r="AI96" s="775"/>
      <c r="AJ96" s="776"/>
      <c r="AK96" s="130"/>
      <c r="AL96" s="117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16.86487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0.24266000000000001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3.39724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1.5772899999999999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0.84931000000000001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23.812135925925926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45.646610826666667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193.4984500859259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7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7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7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193.4984500859259</v>
      </c>
      <c r="AE115" s="775"/>
      <c r="AF115" s="775"/>
      <c r="AG115" s="775"/>
      <c r="AH115" s="775"/>
      <c r="AI115" s="775"/>
      <c r="AJ115" s="776"/>
    </row>
    <row r="116" spans="1:37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7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193.4984500859259</v>
      </c>
      <c r="AE117" s="692"/>
      <c r="AF117" s="692"/>
      <c r="AG117" s="692"/>
      <c r="AH117" s="692"/>
      <c r="AI117" s="692"/>
      <c r="AJ117" s="693"/>
    </row>
    <row r="118" spans="1:37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7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7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7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'Fardamentos e EPI´s - ASG'!H20</f>
        <v>135.04333333333332</v>
      </c>
      <c r="AE121" s="772"/>
      <c r="AF121" s="772"/>
      <c r="AG121" s="772"/>
      <c r="AH121" s="772"/>
      <c r="AI121" s="772"/>
      <c r="AJ121" s="773"/>
    </row>
    <row r="122" spans="1:37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7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>
        <f>'Equip. e Ferramentas - Preço'!O165</f>
        <v>155.14487882758621</v>
      </c>
      <c r="AE123" s="772"/>
      <c r="AF123" s="772"/>
      <c r="AG123" s="772"/>
      <c r="AH123" s="772"/>
      <c r="AI123" s="772"/>
      <c r="AJ123" s="773"/>
    </row>
    <row r="124" spans="1:37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290.18821216091953</v>
      </c>
      <c r="AE124" s="692"/>
      <c r="AF124" s="692"/>
      <c r="AG124" s="692"/>
      <c r="AH124" s="692"/>
      <c r="AI124" s="692"/>
      <c r="AJ124" s="693"/>
    </row>
    <row r="125" spans="1:37" ht="14.45" customHeight="1"/>
    <row r="126" spans="1:37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7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7" ht="14.45" customHeight="1">
      <c r="A128" s="736" t="s">
        <v>0</v>
      </c>
      <c r="B128" s="737"/>
      <c r="C128" s="757" t="s">
        <v>328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86.591371167405356</v>
      </c>
      <c r="AE128" s="745"/>
      <c r="AF128" s="745"/>
      <c r="AG128" s="745"/>
      <c r="AH128" s="745"/>
      <c r="AI128" s="745"/>
      <c r="AJ128" s="746"/>
      <c r="AK128" s="130"/>
    </row>
    <row r="129" spans="1:37" ht="14.45" customHeight="1">
      <c r="A129" s="736" t="s">
        <v>1</v>
      </c>
      <c r="B129" s="737"/>
      <c r="C129" s="757" t="s">
        <v>327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195.98513674222747</v>
      </c>
      <c r="AE129" s="745"/>
      <c r="AF129" s="745"/>
      <c r="AG129" s="745"/>
      <c r="AH129" s="745"/>
      <c r="AI129" s="745"/>
      <c r="AJ129" s="746"/>
      <c r="AK129" s="130"/>
    </row>
    <row r="130" spans="1:37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</row>
    <row r="131" spans="1:37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7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104.07078971504582</v>
      </c>
      <c r="AE132" s="745"/>
      <c r="AF132" s="745"/>
      <c r="AG132" s="745"/>
      <c r="AH132" s="745"/>
      <c r="AI132" s="745"/>
      <c r="AJ132" s="746"/>
      <c r="AK132" s="130"/>
    </row>
    <row r="133" spans="1:37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22.548671104926594</v>
      </c>
      <c r="AE133" s="745"/>
      <c r="AF133" s="745"/>
      <c r="AG133" s="745"/>
      <c r="AH133" s="745"/>
      <c r="AI133" s="745"/>
      <c r="AJ133" s="746"/>
      <c r="AK133" s="134"/>
    </row>
    <row r="134" spans="1:37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173.45131619174305</v>
      </c>
      <c r="AE134" s="745"/>
      <c r="AF134" s="745"/>
      <c r="AG134" s="745"/>
      <c r="AH134" s="745"/>
      <c r="AI134" s="745"/>
      <c r="AJ134" s="746"/>
      <c r="AK134" s="130"/>
    </row>
    <row r="135" spans="1:37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582.64728492134827</v>
      </c>
      <c r="AE135" s="747"/>
      <c r="AF135" s="747"/>
      <c r="AG135" s="747"/>
      <c r="AH135" s="747"/>
      <c r="AI135" s="747"/>
      <c r="AJ135" s="747"/>
      <c r="AK135" s="130"/>
    </row>
    <row r="136" spans="1:37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7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7" ht="14.4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0"/>
    </row>
    <row r="139" spans="1:37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7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1213.3</v>
      </c>
      <c r="AE140" s="720"/>
      <c r="AF140" s="720"/>
      <c r="AG140" s="720"/>
      <c r="AH140" s="720"/>
      <c r="AI140" s="720"/>
      <c r="AJ140" s="721"/>
      <c r="AK140" s="130"/>
    </row>
    <row r="141" spans="1:37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1085.7359999999999</v>
      </c>
      <c r="AE141" s="720"/>
      <c r="AF141" s="720"/>
      <c r="AG141" s="720"/>
      <c r="AH141" s="720"/>
      <c r="AI141" s="720"/>
      <c r="AJ141" s="721"/>
      <c r="AK141" s="130"/>
    </row>
    <row r="142" spans="1:37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103.65637666666667</v>
      </c>
      <c r="AE142" s="720"/>
      <c r="AF142" s="720"/>
      <c r="AG142" s="720"/>
      <c r="AH142" s="720"/>
      <c r="AI142" s="720"/>
      <c r="AJ142" s="721"/>
      <c r="AK142" s="130"/>
    </row>
    <row r="143" spans="1:37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193.4984500859259</v>
      </c>
      <c r="AE143" s="720"/>
      <c r="AF143" s="720"/>
      <c r="AG143" s="720"/>
      <c r="AH143" s="720"/>
      <c r="AI143" s="720"/>
      <c r="AJ143" s="721"/>
      <c r="AK143" s="130"/>
    </row>
    <row r="144" spans="1:37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290.18821216091953</v>
      </c>
      <c r="AE144" s="720"/>
      <c r="AF144" s="720"/>
      <c r="AG144" s="720"/>
      <c r="AH144" s="720"/>
      <c r="AI144" s="720"/>
      <c r="AJ144" s="721"/>
      <c r="AK144" s="130"/>
    </row>
    <row r="145" spans="1:38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2886.3790389135124</v>
      </c>
      <c r="AE145" s="720"/>
      <c r="AF145" s="720"/>
      <c r="AG145" s="720"/>
      <c r="AH145" s="720"/>
      <c r="AI145" s="720"/>
      <c r="AJ145" s="721"/>
      <c r="AK145" s="130"/>
    </row>
    <row r="146" spans="1:38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582.64728492134827</v>
      </c>
      <c r="AE146" s="720"/>
      <c r="AF146" s="720"/>
      <c r="AG146" s="720"/>
      <c r="AH146" s="720"/>
      <c r="AI146" s="720"/>
      <c r="AJ146" s="721"/>
      <c r="AK146" s="130"/>
      <c r="AL146" s="117"/>
    </row>
    <row r="147" spans="1:38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3469.0263238348607</v>
      </c>
      <c r="AE147" s="692"/>
      <c r="AF147" s="692"/>
      <c r="AG147" s="692"/>
      <c r="AH147" s="692"/>
      <c r="AI147" s="692"/>
      <c r="AJ147" s="693"/>
      <c r="AK147" s="130"/>
      <c r="AL147" s="117"/>
    </row>
    <row r="148" spans="1:38" ht="14.45" customHeight="1"/>
    <row r="149" spans="1:38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8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8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8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8" ht="33.75" customHeight="1">
      <c r="A153" s="701" t="str">
        <f>A24</f>
        <v>SERVIÇOS DE LIMPEZA COM INSALUBRIDADE (SOUSA)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3469.0263238348607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3469.0263238348607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3469.0263238348607</v>
      </c>
      <c r="AF153" s="714"/>
      <c r="AG153" s="714"/>
      <c r="AH153" s="714"/>
      <c r="AI153" s="714"/>
      <c r="AJ153" s="715"/>
    </row>
    <row r="154" spans="1:38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3469.03</v>
      </c>
      <c r="AF154" s="686"/>
      <c r="AG154" s="686"/>
      <c r="AH154" s="686"/>
      <c r="AI154" s="686"/>
      <c r="AJ154" s="686"/>
    </row>
    <row r="155" spans="1:38" ht="14.45" customHeight="1"/>
    <row r="156" spans="1:38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8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8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8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3469.03</v>
      </c>
      <c r="AE159" s="700"/>
      <c r="AF159" s="700"/>
      <c r="AG159" s="700"/>
      <c r="AH159" s="700"/>
      <c r="AI159" s="700"/>
      <c r="AJ159" s="700"/>
    </row>
    <row r="160" spans="1:38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124885.08</v>
      </c>
      <c r="AE160" s="684"/>
      <c r="AF160" s="684"/>
      <c r="AG160" s="684"/>
      <c r="AH160" s="684"/>
      <c r="AI160" s="684"/>
      <c r="AJ160" s="684"/>
    </row>
  </sheetData>
  <mergeCells count="392">
    <mergeCell ref="A103:B103"/>
    <mergeCell ref="C103:X103"/>
    <mergeCell ref="Y103:AC103"/>
    <mergeCell ref="AD103:AJ103"/>
    <mergeCell ref="A106:X106"/>
    <mergeCell ref="Y106:AC106"/>
    <mergeCell ref="AD106:AJ106"/>
    <mergeCell ref="A104:AC104"/>
    <mergeCell ref="AD104:AJ104"/>
    <mergeCell ref="A105:B105"/>
    <mergeCell ref="C105:X105"/>
    <mergeCell ref="Y105:AC105"/>
    <mergeCell ref="AD105:AJ105"/>
    <mergeCell ref="A101:B101"/>
    <mergeCell ref="C101:X101"/>
    <mergeCell ref="Y101:AC101"/>
    <mergeCell ref="AD101:AJ101"/>
    <mergeCell ref="A102:X102"/>
    <mergeCell ref="Y102:AC102"/>
    <mergeCell ref="AD102:AJ102"/>
    <mergeCell ref="A99:B99"/>
    <mergeCell ref="C99:X99"/>
    <mergeCell ref="Y99:AC99"/>
    <mergeCell ref="AD99:AJ99"/>
    <mergeCell ref="A100:B100"/>
    <mergeCell ref="C100:X100"/>
    <mergeCell ref="Y100:AC100"/>
    <mergeCell ref="AD100:AJ100"/>
    <mergeCell ref="A97:B97"/>
    <mergeCell ref="C97:X97"/>
    <mergeCell ref="Y97:AC97"/>
    <mergeCell ref="AD97:AJ97"/>
    <mergeCell ref="A98:B98"/>
    <mergeCell ref="C98:X98"/>
    <mergeCell ref="Y98:AC98"/>
    <mergeCell ref="AD98:AJ98"/>
    <mergeCell ref="Y95:AC95"/>
    <mergeCell ref="AD95:AJ95"/>
    <mergeCell ref="A96:B96"/>
    <mergeCell ref="C96:X96"/>
    <mergeCell ref="Y96:AC96"/>
    <mergeCell ref="AD96:AJ96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A83:AJ83"/>
    <mergeCell ref="A84:B84"/>
    <mergeCell ref="C84:X84"/>
    <mergeCell ref="Y84:AC84"/>
    <mergeCell ref="AD84:AJ84"/>
    <mergeCell ref="A85:B85"/>
    <mergeCell ref="C85:X85"/>
    <mergeCell ref="Y85:AC85"/>
    <mergeCell ref="AD85:AJ85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74:AC74"/>
    <mergeCell ref="AD74:AJ74"/>
    <mergeCell ref="A75:AJ75"/>
    <mergeCell ref="A76:AJ76"/>
    <mergeCell ref="A77:B77"/>
    <mergeCell ref="C77:AC77"/>
    <mergeCell ref="AD77:AJ77"/>
    <mergeCell ref="A80:B80"/>
    <mergeCell ref="C80:AC80"/>
    <mergeCell ref="AD80:AJ80"/>
    <mergeCell ref="A81:AC81"/>
    <mergeCell ref="AD81:AJ81"/>
    <mergeCell ref="A82:AJ82"/>
    <mergeCell ref="A78:B78"/>
    <mergeCell ref="C78:AC78"/>
    <mergeCell ref="AD78:AJ78"/>
    <mergeCell ref="A79:B79"/>
    <mergeCell ref="C79:AC79"/>
    <mergeCell ref="AD79:AJ79"/>
    <mergeCell ref="A92:AJ92"/>
    <mergeCell ref="A110:B110"/>
    <mergeCell ref="C110:AC110"/>
    <mergeCell ref="AD110:AJ110"/>
    <mergeCell ref="A111:AC111"/>
    <mergeCell ref="AD111:AJ111"/>
    <mergeCell ref="A93:AJ93"/>
    <mergeCell ref="A94:AJ94"/>
    <mergeCell ref="A95:B95"/>
    <mergeCell ref="C95:X95"/>
    <mergeCell ref="A112:AJ112"/>
    <mergeCell ref="A107:AJ107"/>
    <mergeCell ref="A108:AJ108"/>
    <mergeCell ref="A109:B109"/>
    <mergeCell ref="C109:X109"/>
    <mergeCell ref="Y109:AC109"/>
    <mergeCell ref="AD109:AJ109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C127:X127"/>
    <mergeCell ref="Y127:AC127"/>
    <mergeCell ref="AD127:AJ127"/>
    <mergeCell ref="A128:B128"/>
    <mergeCell ref="C128:X128"/>
    <mergeCell ref="Y128:AC128"/>
    <mergeCell ref="AD128:AJ128"/>
    <mergeCell ref="A124:AC124"/>
    <mergeCell ref="AD124:AJ124"/>
    <mergeCell ref="A126:AJ126"/>
    <mergeCell ref="A132:B132"/>
    <mergeCell ref="C132:X132"/>
    <mergeCell ref="Y132:AC132"/>
    <mergeCell ref="AD132:AJ132"/>
    <mergeCell ref="C131:X131"/>
    <mergeCell ref="Y131:AC131"/>
    <mergeCell ref="A127:B127"/>
    <mergeCell ref="A133:B133"/>
    <mergeCell ref="C133:X133"/>
    <mergeCell ref="Y133:AC133"/>
    <mergeCell ref="AD133:AJ133"/>
    <mergeCell ref="A129:B129"/>
    <mergeCell ref="C129:X129"/>
    <mergeCell ref="Y129:AC129"/>
    <mergeCell ref="AD129:AJ129"/>
    <mergeCell ref="Y130:AC130"/>
    <mergeCell ref="A131:B131"/>
    <mergeCell ref="A137:AJ137"/>
    <mergeCell ref="A139:AC139"/>
    <mergeCell ref="AD139:AJ139"/>
    <mergeCell ref="A140:B140"/>
    <mergeCell ref="C140:AC140"/>
    <mergeCell ref="AD140:AJ140"/>
    <mergeCell ref="A134:B134"/>
    <mergeCell ref="C134:X134"/>
    <mergeCell ref="Y134:AC134"/>
    <mergeCell ref="AD134:AJ134"/>
    <mergeCell ref="A135:AC135"/>
    <mergeCell ref="AD135:AJ135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W153:AA153"/>
    <mergeCell ref="AB153:AD153"/>
    <mergeCell ref="AE153:AJ153"/>
    <mergeCell ref="A145:AC145"/>
    <mergeCell ref="AD145:AJ145"/>
    <mergeCell ref="A146:B146"/>
    <mergeCell ref="C146:AC146"/>
    <mergeCell ref="AD146:AJ146"/>
    <mergeCell ref="A147:AC147"/>
    <mergeCell ref="AD147:AJ147"/>
    <mergeCell ref="A152:L152"/>
    <mergeCell ref="M152:Q152"/>
    <mergeCell ref="R152:V152"/>
    <mergeCell ref="W152:AA152"/>
    <mergeCell ref="AB152:AD152"/>
    <mergeCell ref="AD159:AJ159"/>
    <mergeCell ref="AE152:AJ152"/>
    <mergeCell ref="A153:L153"/>
    <mergeCell ref="M153:Q153"/>
    <mergeCell ref="R153:V153"/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92D050"/>
  </sheetPr>
  <dimension ref="A1:AQ160"/>
  <sheetViews>
    <sheetView showGridLines="0" topLeftCell="A67" zoomScale="115" zoomScaleNormal="115" zoomScaleSheetLayoutView="120" workbookViewId="0">
      <selection activeCell="AD123" sqref="AD123:AJ123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6" width="3.85546875" style="34" customWidth="1"/>
    <col min="37" max="37" width="2.42578125" style="34" customWidth="1"/>
    <col min="38" max="38" width="13" style="34" customWidth="1"/>
    <col min="39" max="42" width="2.42578125" style="34"/>
    <col min="43" max="43" width="3.5703125" style="34" customWidth="1"/>
    <col min="44" max="16384" width="2.42578125" style="34"/>
  </cols>
  <sheetData>
    <row r="1" spans="1:36" ht="15" customHeight="1">
      <c r="A1" s="854"/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  <c r="AI1" s="854"/>
      <c r="AJ1" s="854"/>
    </row>
    <row r="2" spans="1:36" ht="15" customHeight="1">
      <c r="A2" s="855" t="s">
        <v>26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  <c r="S2" s="855"/>
      <c r="T2" s="855"/>
      <c r="U2" s="855"/>
      <c r="V2" s="855"/>
      <c r="W2" s="855"/>
      <c r="X2" s="855"/>
      <c r="Y2" s="855"/>
      <c r="Z2" s="855"/>
      <c r="AA2" s="855"/>
      <c r="AB2" s="855"/>
      <c r="AC2" s="855"/>
      <c r="AD2" s="855"/>
      <c r="AE2" s="855"/>
      <c r="AF2" s="855"/>
      <c r="AG2" s="855"/>
      <c r="AH2" s="855"/>
      <c r="AI2" s="855"/>
      <c r="AJ2" s="855"/>
    </row>
    <row r="3" spans="1:36" ht="15" customHeight="1">
      <c r="A3" s="855" t="s">
        <v>27</v>
      </c>
      <c r="B3" s="855"/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  <c r="AB3" s="855"/>
      <c r="AC3" s="855"/>
      <c r="AD3" s="855"/>
      <c r="AE3" s="855"/>
      <c r="AF3" s="855"/>
      <c r="AG3" s="855"/>
      <c r="AH3" s="855"/>
      <c r="AI3" s="855"/>
      <c r="AJ3" s="855"/>
    </row>
    <row r="4" spans="1:36" ht="15" customHeight="1">
      <c r="A4" s="855" t="s">
        <v>329</v>
      </c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B4" s="855"/>
      <c r="AC4" s="855"/>
      <c r="AD4" s="855"/>
      <c r="AE4" s="855"/>
      <c r="AF4" s="855"/>
      <c r="AG4" s="855"/>
      <c r="AH4" s="855"/>
      <c r="AI4" s="855"/>
      <c r="AJ4" s="855"/>
    </row>
    <row r="5" spans="1:36" ht="15" customHeight="1">
      <c r="A5" s="854"/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854"/>
      <c r="W5" s="854"/>
      <c r="X5" s="854"/>
      <c r="Y5" s="854"/>
      <c r="Z5" s="854"/>
      <c r="AA5" s="854"/>
      <c r="AB5" s="854"/>
      <c r="AC5" s="854"/>
      <c r="AD5" s="854"/>
      <c r="AE5" s="854"/>
      <c r="AF5" s="854"/>
      <c r="AG5" s="854"/>
      <c r="AH5" s="854"/>
      <c r="AI5" s="854"/>
      <c r="AJ5" s="854"/>
    </row>
    <row r="6" spans="1:36" ht="15" customHeight="1">
      <c r="A6" s="854"/>
      <c r="B6" s="854"/>
      <c r="C6" s="854"/>
      <c r="D6" s="854"/>
      <c r="E6" s="854"/>
      <c r="F6" s="854"/>
      <c r="G6" s="854"/>
      <c r="H6" s="854"/>
      <c r="I6" s="854"/>
      <c r="J6" s="854"/>
      <c r="K6" s="854"/>
      <c r="L6" s="854"/>
      <c r="M6" s="854"/>
      <c r="N6" s="854"/>
      <c r="O6" s="854"/>
      <c r="P6" s="854"/>
      <c r="Q6" s="854"/>
      <c r="R6" s="854"/>
      <c r="S6" s="854"/>
      <c r="T6" s="854"/>
      <c r="U6" s="854"/>
      <c r="V6" s="854"/>
      <c r="W6" s="854"/>
      <c r="X6" s="854"/>
      <c r="Y6" s="854"/>
      <c r="Z6" s="854"/>
      <c r="AA6" s="854"/>
      <c r="AB6" s="854"/>
      <c r="AC6" s="854"/>
      <c r="AD6" s="854"/>
      <c r="AE6" s="854"/>
      <c r="AF6" s="854"/>
      <c r="AG6" s="854"/>
      <c r="AH6" s="854"/>
      <c r="AI6" s="854"/>
      <c r="AJ6" s="854"/>
    </row>
    <row r="7" spans="1:36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</row>
    <row r="8" spans="1:36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</row>
    <row r="9" spans="1:36" s="35" customFormat="1" ht="14.45" customHeight="1">
      <c r="A9" s="856" t="s">
        <v>385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</row>
    <row r="10" spans="1:36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</row>
    <row r="11" spans="1:36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</row>
    <row r="12" spans="1:36" s="35" customFormat="1" ht="14.45" customHeight="1">
      <c r="A12" s="860" t="s">
        <v>144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  <c r="R12" s="861"/>
      <c r="S12" s="861"/>
      <c r="T12" s="861"/>
      <c r="U12" s="861"/>
      <c r="V12" s="861"/>
      <c r="W12" s="861"/>
      <c r="X12" s="861"/>
      <c r="Y12" s="861"/>
      <c r="Z12" s="861"/>
      <c r="AA12" s="861"/>
      <c r="AB12" s="861"/>
      <c r="AC12" s="861"/>
      <c r="AD12" s="861"/>
      <c r="AE12" s="861"/>
      <c r="AF12" s="861"/>
      <c r="AG12" s="861"/>
      <c r="AH12" s="861"/>
      <c r="AI12" s="861"/>
      <c r="AJ12" s="862"/>
    </row>
    <row r="13" spans="1:36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</row>
    <row r="14" spans="1:36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</row>
    <row r="15" spans="1:36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</row>
    <row r="16" spans="1:36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</row>
    <row r="17" spans="1:36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</row>
    <row r="18" spans="1:36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</row>
    <row r="19" spans="1:36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</row>
    <row r="20" spans="1:36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</row>
    <row r="21" spans="1:36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</row>
    <row r="22" spans="1:36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333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</row>
    <row r="23" spans="1:36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</row>
    <row r="24" spans="1:36" s="35" customFormat="1" ht="14.45" customHeight="1">
      <c r="A24" s="832" t="s">
        <v>386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</row>
    <row r="25" spans="1:36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</row>
    <row r="26" spans="1:36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</row>
    <row r="27" spans="1:36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</row>
    <row r="29" spans="1:36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</row>
    <row r="30" spans="1:36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903" t="s">
        <v>383</v>
      </c>
      <c r="AE30" s="903"/>
      <c r="AF30" s="903"/>
      <c r="AG30" s="903"/>
      <c r="AH30" s="903"/>
      <c r="AI30" s="903"/>
      <c r="AJ30" s="903"/>
    </row>
    <row r="31" spans="1:36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904" t="s">
        <v>382</v>
      </c>
      <c r="AE31" s="819"/>
      <c r="AF31" s="819"/>
      <c r="AG31" s="819"/>
      <c r="AH31" s="819"/>
      <c r="AI31" s="819"/>
      <c r="AJ31" s="819"/>
    </row>
    <row r="32" spans="1:36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v>1124</v>
      </c>
      <c r="AE32" s="820"/>
      <c r="AF32" s="820"/>
      <c r="AG32" s="820"/>
      <c r="AH32" s="820"/>
      <c r="AI32" s="820"/>
      <c r="AJ32" s="820"/>
    </row>
    <row r="33" spans="1:36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19" t="s">
        <v>384</v>
      </c>
      <c r="AE33" s="819"/>
      <c r="AF33" s="819"/>
      <c r="AG33" s="819"/>
      <c r="AH33" s="819"/>
      <c r="AI33" s="819"/>
      <c r="AJ33" s="819"/>
    </row>
    <row r="34" spans="1:36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</row>
    <row r="35" spans="1:36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6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</row>
    <row r="38" spans="1:36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1124</v>
      </c>
      <c r="AE38" s="775"/>
      <c r="AF38" s="775"/>
      <c r="AG38" s="775"/>
      <c r="AH38" s="775"/>
      <c r="AI38" s="775"/>
      <c r="AJ38" s="776"/>
    </row>
    <row r="39" spans="1:36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6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41"/>
      <c r="Z40" s="742"/>
      <c r="AA40" s="742"/>
      <c r="AB40" s="742"/>
      <c r="AC40" s="743"/>
      <c r="AD40" s="744"/>
      <c r="AE40" s="745"/>
      <c r="AF40" s="745"/>
      <c r="AG40" s="745"/>
      <c r="AH40" s="745"/>
      <c r="AI40" s="745"/>
      <c r="AJ40" s="746"/>
    </row>
    <row r="41" spans="1:36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6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6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6" ht="14.45" customHeight="1">
      <c r="A44" s="722" t="s">
        <v>8</v>
      </c>
      <c r="B44" s="723"/>
      <c r="C44" s="724" t="s">
        <v>11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14"/>
      <c r="Z44" s="811"/>
      <c r="AA44" s="811"/>
      <c r="AB44" s="811"/>
      <c r="AC44" s="812"/>
      <c r="AD44" s="744"/>
      <c r="AE44" s="745"/>
      <c r="AF44" s="745"/>
      <c r="AG44" s="745"/>
      <c r="AH44" s="745"/>
      <c r="AI44" s="745"/>
      <c r="AJ44" s="746"/>
    </row>
    <row r="45" spans="1:36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1124</v>
      </c>
      <c r="AE45" s="692"/>
      <c r="AF45" s="692"/>
      <c r="AG45" s="692"/>
      <c r="AH45" s="692"/>
      <c r="AI45" s="692"/>
      <c r="AJ45" s="693"/>
    </row>
    <row r="46" spans="1:36" ht="14.45" customHeight="1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60"/>
      <c r="Z46" s="60"/>
      <c r="AA46" s="60"/>
      <c r="AB46" s="60"/>
      <c r="AC46" s="60"/>
      <c r="AD46" s="61"/>
      <c r="AE46" s="61"/>
      <c r="AF46" s="61"/>
      <c r="AG46" s="61"/>
      <c r="AH46" s="61"/>
      <c r="AI46" s="61"/>
      <c r="AJ46" s="61"/>
    </row>
    <row r="47" spans="1:36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6" ht="14.45" customHeight="1">
      <c r="A48" s="813" t="s">
        <v>280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93.666666666666657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31.222222222222221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124.88888888888889</v>
      </c>
      <c r="AE52" s="692"/>
      <c r="AF52" s="692"/>
      <c r="AG52" s="692"/>
      <c r="AH52" s="692"/>
      <c r="AI52" s="692"/>
      <c r="AJ52" s="693"/>
    </row>
    <row r="53" spans="1:36" ht="14.45" customHeight="1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60"/>
      <c r="Z53" s="60"/>
      <c r="AA53" s="60"/>
      <c r="AB53" s="60"/>
      <c r="AC53" s="60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249.7777777777778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31.222222222222225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37.466666666666669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18.733333333333334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12.488888888888889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7.4933333333333341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2.4977777777777779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99.911111111111111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459.59111111111116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108.56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453.56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124.88888888888889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459.59111111111116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453.56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1038.04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4.6833333333333336</v>
      </c>
      <c r="AE85" s="775"/>
      <c r="AF85" s="775"/>
      <c r="AG85" s="775"/>
      <c r="AH85" s="775"/>
      <c r="AI85" s="775"/>
      <c r="AJ85" s="776"/>
      <c r="AL85" s="116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0.37466666666666665</v>
      </c>
      <c r="AE86" s="775"/>
      <c r="AF86" s="775"/>
      <c r="AG86" s="775"/>
      <c r="AH86" s="775"/>
      <c r="AI86" s="775"/>
      <c r="AJ86" s="776"/>
      <c r="AL86" s="116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40.81368888888889</v>
      </c>
      <c r="AE87" s="775"/>
      <c r="AF87" s="775"/>
      <c r="AG87" s="775"/>
      <c r="AH87" s="775"/>
      <c r="AI87" s="775"/>
      <c r="AJ87" s="776"/>
      <c r="AL87" s="116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42.039666666666669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8.0428444444444462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0.69937777777777799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96.653577777777784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93.666666666666657</v>
      </c>
      <c r="AE96" s="775"/>
      <c r="AF96" s="775"/>
      <c r="AG96" s="775"/>
      <c r="AH96" s="775"/>
      <c r="AI96" s="775"/>
      <c r="AJ96" s="776"/>
      <c r="AK96" s="130"/>
      <c r="AL96" s="117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15.6236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0.2248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3.1471999999999998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1.4611999999999998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0.78679999999999994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22.05954074074074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42.286978133333335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179.25678554074074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7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7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7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179.25678554074074</v>
      </c>
      <c r="AE115" s="775"/>
      <c r="AF115" s="775"/>
      <c r="AG115" s="775"/>
      <c r="AH115" s="775"/>
      <c r="AI115" s="775"/>
      <c r="AJ115" s="776"/>
    </row>
    <row r="116" spans="1:37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7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179.25678554074074</v>
      </c>
      <c r="AE117" s="692"/>
      <c r="AF117" s="692"/>
      <c r="AG117" s="692"/>
      <c r="AH117" s="692"/>
      <c r="AI117" s="692"/>
      <c r="AJ117" s="693"/>
    </row>
    <row r="118" spans="1:37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7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7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7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'Fardamentos e EPI´s - Jardinei'!H23</f>
        <v>173.29111111111112</v>
      </c>
      <c r="AE121" s="772"/>
      <c r="AF121" s="772"/>
      <c r="AG121" s="772"/>
      <c r="AH121" s="772"/>
      <c r="AI121" s="772"/>
      <c r="AJ121" s="773"/>
    </row>
    <row r="122" spans="1:37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7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/>
      <c r="AE123" s="772"/>
      <c r="AF123" s="772"/>
      <c r="AG123" s="772"/>
      <c r="AH123" s="772"/>
      <c r="AI123" s="772"/>
      <c r="AJ123" s="773"/>
    </row>
    <row r="124" spans="1:37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173.29111111111112</v>
      </c>
      <c r="AE124" s="692"/>
      <c r="AF124" s="692"/>
      <c r="AG124" s="692"/>
      <c r="AH124" s="692"/>
      <c r="AI124" s="692"/>
      <c r="AJ124" s="693"/>
    </row>
    <row r="125" spans="1:37" ht="14.45" customHeight="1"/>
    <row r="126" spans="1:37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7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7" ht="14.45" customHeight="1">
      <c r="A128" s="736" t="s">
        <v>0</v>
      </c>
      <c r="B128" s="737"/>
      <c r="C128" s="757" t="s">
        <v>328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78.337244232888892</v>
      </c>
      <c r="AE128" s="745"/>
      <c r="AF128" s="745"/>
      <c r="AG128" s="745"/>
      <c r="AH128" s="745"/>
      <c r="AI128" s="745"/>
      <c r="AJ128" s="746"/>
      <c r="AK128" s="130"/>
    </row>
    <row r="129" spans="1:38" ht="14.45" customHeight="1">
      <c r="A129" s="736" t="s">
        <v>1</v>
      </c>
      <c r="B129" s="737"/>
      <c r="C129" s="757" t="s">
        <v>327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177.30329611377186</v>
      </c>
      <c r="AE129" s="745"/>
      <c r="AF129" s="745"/>
      <c r="AG129" s="745"/>
      <c r="AH129" s="745"/>
      <c r="AI129" s="745"/>
      <c r="AJ129" s="746"/>
      <c r="AK129" s="130"/>
    </row>
    <row r="130" spans="1:38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</row>
    <row r="131" spans="1:38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8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94.150476675740222</v>
      </c>
      <c r="AE132" s="745"/>
      <c r="AF132" s="745"/>
      <c r="AG132" s="745"/>
      <c r="AH132" s="745"/>
      <c r="AI132" s="745"/>
      <c r="AJ132" s="746"/>
      <c r="AK132" s="130"/>
    </row>
    <row r="133" spans="1:38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20.399269946410381</v>
      </c>
      <c r="AE133" s="745"/>
      <c r="AF133" s="745"/>
      <c r="AG133" s="745"/>
      <c r="AH133" s="745"/>
      <c r="AI133" s="745"/>
      <c r="AJ133" s="746"/>
      <c r="AK133" s="134"/>
    </row>
    <row r="134" spans="1:38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156.91746112623372</v>
      </c>
      <c r="AE134" s="745"/>
      <c r="AF134" s="745"/>
      <c r="AG134" s="745"/>
      <c r="AH134" s="745"/>
      <c r="AI134" s="745"/>
      <c r="AJ134" s="746"/>
      <c r="AK134" s="130"/>
    </row>
    <row r="135" spans="1:38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527.10774809504505</v>
      </c>
      <c r="AE135" s="747"/>
      <c r="AF135" s="747"/>
      <c r="AG135" s="747"/>
      <c r="AH135" s="747"/>
      <c r="AI135" s="747"/>
      <c r="AJ135" s="747"/>
      <c r="AK135" s="130"/>
    </row>
    <row r="136" spans="1:38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8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8" ht="14.4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0"/>
    </row>
    <row r="139" spans="1:38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8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1124</v>
      </c>
      <c r="AE140" s="720"/>
      <c r="AF140" s="720"/>
      <c r="AG140" s="720"/>
      <c r="AH140" s="720"/>
      <c r="AI140" s="720"/>
      <c r="AJ140" s="721"/>
      <c r="AK140" s="130"/>
    </row>
    <row r="141" spans="1:38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1038.04</v>
      </c>
      <c r="AE141" s="720"/>
      <c r="AF141" s="720"/>
      <c r="AG141" s="720"/>
      <c r="AH141" s="720"/>
      <c r="AI141" s="720"/>
      <c r="AJ141" s="721"/>
      <c r="AK141" s="130"/>
    </row>
    <row r="142" spans="1:38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96.653577777777784</v>
      </c>
      <c r="AE142" s="720"/>
      <c r="AF142" s="720"/>
      <c r="AG142" s="720"/>
      <c r="AH142" s="720"/>
      <c r="AI142" s="720"/>
      <c r="AJ142" s="721"/>
      <c r="AK142" s="130"/>
    </row>
    <row r="143" spans="1:38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179.25678554074074</v>
      </c>
      <c r="AE143" s="720"/>
      <c r="AF143" s="720"/>
      <c r="AG143" s="720"/>
      <c r="AH143" s="720"/>
      <c r="AI143" s="720"/>
      <c r="AJ143" s="721"/>
      <c r="AK143" s="130"/>
    </row>
    <row r="144" spans="1:38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173.29111111111112</v>
      </c>
      <c r="AE144" s="720"/>
      <c r="AF144" s="720"/>
      <c r="AG144" s="720"/>
      <c r="AH144" s="720"/>
      <c r="AI144" s="720"/>
      <c r="AJ144" s="721"/>
      <c r="AK144" s="130"/>
      <c r="AL144" s="117"/>
    </row>
    <row r="145" spans="1:38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2611.2414744296293</v>
      </c>
      <c r="AE145" s="720"/>
      <c r="AF145" s="720"/>
      <c r="AG145" s="720"/>
      <c r="AH145" s="720"/>
      <c r="AI145" s="720"/>
      <c r="AJ145" s="721"/>
      <c r="AK145" s="130"/>
      <c r="AL145" s="117"/>
    </row>
    <row r="146" spans="1:38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527.10774809504505</v>
      </c>
      <c r="AE146" s="720"/>
      <c r="AF146" s="720"/>
      <c r="AG146" s="720"/>
      <c r="AH146" s="720"/>
      <c r="AI146" s="720"/>
      <c r="AJ146" s="721"/>
      <c r="AK146" s="130"/>
    </row>
    <row r="147" spans="1:38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3138.3492225246741</v>
      </c>
      <c r="AE147" s="692"/>
      <c r="AF147" s="692"/>
      <c r="AG147" s="692"/>
      <c r="AH147" s="692"/>
      <c r="AI147" s="692"/>
      <c r="AJ147" s="693"/>
      <c r="AK147" s="130"/>
    </row>
    <row r="148" spans="1:38" ht="14.45" customHeight="1"/>
    <row r="149" spans="1:38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8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8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8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8" ht="34.15" customHeight="1">
      <c r="A153" s="701" t="str">
        <f>A24</f>
        <v>SERVIÇOS DE JARDINAGEM (JOÃO PESSOA)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3138.3492225246741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3138.3492225246741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3138.3492225246741</v>
      </c>
      <c r="AF153" s="714"/>
      <c r="AG153" s="714"/>
      <c r="AH153" s="714"/>
      <c r="AI153" s="714"/>
      <c r="AJ153" s="715"/>
    </row>
    <row r="154" spans="1:38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3138.35</v>
      </c>
      <c r="AF154" s="686"/>
      <c r="AG154" s="686"/>
      <c r="AH154" s="686"/>
      <c r="AI154" s="686"/>
      <c r="AJ154" s="686"/>
    </row>
    <row r="155" spans="1:38" ht="14.45" customHeight="1"/>
    <row r="156" spans="1:38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8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8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8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3138.35</v>
      </c>
      <c r="AE159" s="700"/>
      <c r="AF159" s="700"/>
      <c r="AG159" s="700"/>
      <c r="AH159" s="700"/>
      <c r="AI159" s="700"/>
      <c r="AJ159" s="700"/>
    </row>
    <row r="160" spans="1:38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112980.59999999999</v>
      </c>
      <c r="AE160" s="684"/>
      <c r="AF160" s="684"/>
      <c r="AG160" s="684"/>
      <c r="AH160" s="684"/>
      <c r="AI160" s="684"/>
      <c r="AJ160" s="684"/>
    </row>
  </sheetData>
  <mergeCells count="392">
    <mergeCell ref="A103:B103"/>
    <mergeCell ref="C103:X103"/>
    <mergeCell ref="Y103:AC103"/>
    <mergeCell ref="AD103:AJ103"/>
    <mergeCell ref="A106:X106"/>
    <mergeCell ref="Y106:AC106"/>
    <mergeCell ref="AD106:AJ106"/>
    <mergeCell ref="A104:AC104"/>
    <mergeCell ref="AD104:AJ104"/>
    <mergeCell ref="A105:B105"/>
    <mergeCell ref="C105:X105"/>
    <mergeCell ref="Y105:AC105"/>
    <mergeCell ref="AD105:AJ105"/>
    <mergeCell ref="A101:B101"/>
    <mergeCell ref="C101:X101"/>
    <mergeCell ref="Y101:AC101"/>
    <mergeCell ref="AD101:AJ101"/>
    <mergeCell ref="A102:X102"/>
    <mergeCell ref="Y102:AC102"/>
    <mergeCell ref="AD102:AJ102"/>
    <mergeCell ref="A99:B99"/>
    <mergeCell ref="C99:X99"/>
    <mergeCell ref="Y99:AC99"/>
    <mergeCell ref="AD99:AJ99"/>
    <mergeCell ref="A100:B100"/>
    <mergeCell ref="C100:X100"/>
    <mergeCell ref="Y100:AC100"/>
    <mergeCell ref="AD100:AJ100"/>
    <mergeCell ref="A97:B97"/>
    <mergeCell ref="C97:X97"/>
    <mergeCell ref="Y97:AC97"/>
    <mergeCell ref="AD97:AJ97"/>
    <mergeCell ref="A98:B98"/>
    <mergeCell ref="C98:X98"/>
    <mergeCell ref="Y98:AC98"/>
    <mergeCell ref="AD98:AJ98"/>
    <mergeCell ref="Y95:AC95"/>
    <mergeCell ref="AD95:AJ95"/>
    <mergeCell ref="A96:B96"/>
    <mergeCell ref="C96:X96"/>
    <mergeCell ref="Y96:AC96"/>
    <mergeCell ref="AD96:AJ96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A83:AJ83"/>
    <mergeCell ref="A84:B84"/>
    <mergeCell ref="C84:X84"/>
    <mergeCell ref="Y84:AC84"/>
    <mergeCell ref="AD84:AJ84"/>
    <mergeCell ref="A85:B85"/>
    <mergeCell ref="C85:X85"/>
    <mergeCell ref="Y85:AC85"/>
    <mergeCell ref="AD85:AJ85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74:AC74"/>
    <mergeCell ref="AD74:AJ74"/>
    <mergeCell ref="A75:AJ75"/>
    <mergeCell ref="A76:AJ76"/>
    <mergeCell ref="A77:B77"/>
    <mergeCell ref="C77:AC77"/>
    <mergeCell ref="AD77:AJ77"/>
    <mergeCell ref="A80:B80"/>
    <mergeCell ref="C80:AC80"/>
    <mergeCell ref="AD80:AJ80"/>
    <mergeCell ref="A81:AC81"/>
    <mergeCell ref="AD81:AJ81"/>
    <mergeCell ref="A82:AJ82"/>
    <mergeCell ref="A78:B78"/>
    <mergeCell ref="C78:AC78"/>
    <mergeCell ref="AD78:AJ78"/>
    <mergeCell ref="A79:B79"/>
    <mergeCell ref="C79:AC79"/>
    <mergeCell ref="AD79:AJ79"/>
    <mergeCell ref="A92:AJ92"/>
    <mergeCell ref="A110:B110"/>
    <mergeCell ref="C110:AC110"/>
    <mergeCell ref="AD110:AJ110"/>
    <mergeCell ref="A111:AC111"/>
    <mergeCell ref="AD111:AJ111"/>
    <mergeCell ref="A93:AJ93"/>
    <mergeCell ref="A94:AJ94"/>
    <mergeCell ref="A95:B95"/>
    <mergeCell ref="C95:X95"/>
    <mergeCell ref="A112:AJ112"/>
    <mergeCell ref="A107:AJ107"/>
    <mergeCell ref="A108:AJ108"/>
    <mergeCell ref="A109:B109"/>
    <mergeCell ref="C109:X109"/>
    <mergeCell ref="Y109:AC109"/>
    <mergeCell ref="AD109:AJ109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C127:X127"/>
    <mergeCell ref="Y127:AC127"/>
    <mergeCell ref="AD127:AJ127"/>
    <mergeCell ref="A128:B128"/>
    <mergeCell ref="C128:X128"/>
    <mergeCell ref="Y128:AC128"/>
    <mergeCell ref="AD128:AJ128"/>
    <mergeCell ref="A124:AC124"/>
    <mergeCell ref="AD124:AJ124"/>
    <mergeCell ref="A126:AJ126"/>
    <mergeCell ref="A132:B132"/>
    <mergeCell ref="C132:X132"/>
    <mergeCell ref="Y132:AC132"/>
    <mergeCell ref="AD132:AJ132"/>
    <mergeCell ref="C131:X131"/>
    <mergeCell ref="Y131:AC131"/>
    <mergeCell ref="A127:B127"/>
    <mergeCell ref="A133:B133"/>
    <mergeCell ref="C133:X133"/>
    <mergeCell ref="Y133:AC133"/>
    <mergeCell ref="AD133:AJ133"/>
    <mergeCell ref="A129:B129"/>
    <mergeCell ref="C129:X129"/>
    <mergeCell ref="Y129:AC129"/>
    <mergeCell ref="AD129:AJ129"/>
    <mergeCell ref="Y130:AC130"/>
    <mergeCell ref="A131:B131"/>
    <mergeCell ref="A137:AJ137"/>
    <mergeCell ref="A139:AC139"/>
    <mergeCell ref="AD139:AJ139"/>
    <mergeCell ref="A140:B140"/>
    <mergeCell ref="C140:AC140"/>
    <mergeCell ref="AD140:AJ140"/>
    <mergeCell ref="A134:B134"/>
    <mergeCell ref="C134:X134"/>
    <mergeCell ref="Y134:AC134"/>
    <mergeCell ref="AD134:AJ134"/>
    <mergeCell ref="A135:AC135"/>
    <mergeCell ref="AD135:AJ135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W153:AA153"/>
    <mergeCell ref="AB153:AD153"/>
    <mergeCell ref="AE153:AJ153"/>
    <mergeCell ref="A145:AC145"/>
    <mergeCell ref="AD145:AJ145"/>
    <mergeCell ref="A146:B146"/>
    <mergeCell ref="C146:AC146"/>
    <mergeCell ref="AD146:AJ146"/>
    <mergeCell ref="A147:AC147"/>
    <mergeCell ref="AD147:AJ147"/>
    <mergeCell ref="A152:L152"/>
    <mergeCell ref="M152:Q152"/>
    <mergeCell ref="R152:V152"/>
    <mergeCell ref="W152:AA152"/>
    <mergeCell ref="AB152:AD152"/>
    <mergeCell ref="AD159:AJ159"/>
    <mergeCell ref="AE152:AJ152"/>
    <mergeCell ref="A153:L153"/>
    <mergeCell ref="M153:Q153"/>
    <mergeCell ref="R153:V153"/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92D050"/>
  </sheetPr>
  <dimension ref="A1:AQ160"/>
  <sheetViews>
    <sheetView showGridLines="0" topLeftCell="A64" zoomScale="115" zoomScaleNormal="115" zoomScaleSheetLayoutView="120" workbookViewId="0">
      <selection activeCell="AL131" sqref="AL131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6" width="3.85546875" style="34" customWidth="1"/>
    <col min="37" max="37" width="2.42578125" style="34" customWidth="1"/>
    <col min="38" max="38" width="13" style="34" customWidth="1"/>
    <col min="39" max="42" width="2.42578125" style="34"/>
    <col min="43" max="43" width="3.5703125" style="34" customWidth="1"/>
    <col min="44" max="16384" width="2.42578125" style="34"/>
  </cols>
  <sheetData>
    <row r="1" spans="1:36" ht="15" customHeight="1">
      <c r="A1" s="854"/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  <c r="AI1" s="854"/>
      <c r="AJ1" s="854"/>
    </row>
    <row r="2" spans="1:36" ht="15" customHeight="1">
      <c r="A2" s="855" t="s">
        <v>26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  <c r="S2" s="855"/>
      <c r="T2" s="855"/>
      <c r="U2" s="855"/>
      <c r="V2" s="855"/>
      <c r="W2" s="855"/>
      <c r="X2" s="855"/>
      <c r="Y2" s="855"/>
      <c r="Z2" s="855"/>
      <c r="AA2" s="855"/>
      <c r="AB2" s="855"/>
      <c r="AC2" s="855"/>
      <c r="AD2" s="855"/>
      <c r="AE2" s="855"/>
      <c r="AF2" s="855"/>
      <c r="AG2" s="855"/>
      <c r="AH2" s="855"/>
      <c r="AI2" s="855"/>
      <c r="AJ2" s="855"/>
    </row>
    <row r="3" spans="1:36" ht="15" customHeight="1">
      <c r="A3" s="855" t="s">
        <v>27</v>
      </c>
      <c r="B3" s="855"/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  <c r="AB3" s="855"/>
      <c r="AC3" s="855"/>
      <c r="AD3" s="855"/>
      <c r="AE3" s="855"/>
      <c r="AF3" s="855"/>
      <c r="AG3" s="855"/>
      <c r="AH3" s="855"/>
      <c r="AI3" s="855"/>
      <c r="AJ3" s="855"/>
    </row>
    <row r="4" spans="1:36" ht="15" customHeight="1">
      <c r="A4" s="855" t="s">
        <v>329</v>
      </c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B4" s="855"/>
      <c r="AC4" s="855"/>
      <c r="AD4" s="855"/>
      <c r="AE4" s="855"/>
      <c r="AF4" s="855"/>
      <c r="AG4" s="855"/>
      <c r="AH4" s="855"/>
      <c r="AI4" s="855"/>
      <c r="AJ4" s="855"/>
    </row>
    <row r="5" spans="1:36" ht="15" customHeight="1">
      <c r="A5" s="854"/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854"/>
      <c r="W5" s="854"/>
      <c r="X5" s="854"/>
      <c r="Y5" s="854"/>
      <c r="Z5" s="854"/>
      <c r="AA5" s="854"/>
      <c r="AB5" s="854"/>
      <c r="AC5" s="854"/>
      <c r="AD5" s="854"/>
      <c r="AE5" s="854"/>
      <c r="AF5" s="854"/>
      <c r="AG5" s="854"/>
      <c r="AH5" s="854"/>
      <c r="AI5" s="854"/>
      <c r="AJ5" s="854"/>
    </row>
    <row r="6" spans="1:36" ht="15" customHeight="1">
      <c r="A6" s="854"/>
      <c r="B6" s="854"/>
      <c r="C6" s="854"/>
      <c r="D6" s="854"/>
      <c r="E6" s="854"/>
      <c r="F6" s="854"/>
      <c r="G6" s="854"/>
      <c r="H6" s="854"/>
      <c r="I6" s="854"/>
      <c r="J6" s="854"/>
      <c r="K6" s="854"/>
      <c r="L6" s="854"/>
      <c r="M6" s="854"/>
      <c r="N6" s="854"/>
      <c r="O6" s="854"/>
      <c r="P6" s="854"/>
      <c r="Q6" s="854"/>
      <c r="R6" s="854"/>
      <c r="S6" s="854"/>
      <c r="T6" s="854"/>
      <c r="U6" s="854"/>
      <c r="V6" s="854"/>
      <c r="W6" s="854"/>
      <c r="X6" s="854"/>
      <c r="Y6" s="854"/>
      <c r="Z6" s="854"/>
      <c r="AA6" s="854"/>
      <c r="AB6" s="854"/>
      <c r="AC6" s="854"/>
      <c r="AD6" s="854"/>
      <c r="AE6" s="854"/>
      <c r="AF6" s="854"/>
      <c r="AG6" s="854"/>
      <c r="AH6" s="854"/>
      <c r="AI6" s="854"/>
      <c r="AJ6" s="854"/>
    </row>
    <row r="7" spans="1:36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</row>
    <row r="8" spans="1:36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</row>
    <row r="9" spans="1:36" s="35" customFormat="1" ht="14.45" customHeight="1">
      <c r="A9" s="856" t="s">
        <v>387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</row>
    <row r="10" spans="1:36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</row>
    <row r="11" spans="1:36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</row>
    <row r="12" spans="1:36" s="35" customFormat="1" ht="14.45" customHeight="1">
      <c r="A12" s="860" t="s">
        <v>144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  <c r="R12" s="861"/>
      <c r="S12" s="861"/>
      <c r="T12" s="861"/>
      <c r="U12" s="861"/>
      <c r="V12" s="861"/>
      <c r="W12" s="861"/>
      <c r="X12" s="861"/>
      <c r="Y12" s="861"/>
      <c r="Z12" s="861"/>
      <c r="AA12" s="861"/>
      <c r="AB12" s="861"/>
      <c r="AC12" s="861"/>
      <c r="AD12" s="861"/>
      <c r="AE12" s="861"/>
      <c r="AF12" s="861"/>
      <c r="AG12" s="861"/>
      <c r="AH12" s="861"/>
      <c r="AI12" s="861"/>
      <c r="AJ12" s="862"/>
    </row>
    <row r="13" spans="1:36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</row>
    <row r="14" spans="1:36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</row>
    <row r="15" spans="1:36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</row>
    <row r="16" spans="1:36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</row>
    <row r="17" spans="1:36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</row>
    <row r="18" spans="1:36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</row>
    <row r="19" spans="1:36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</row>
    <row r="20" spans="1:36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</row>
    <row r="21" spans="1:36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</row>
    <row r="22" spans="1:36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335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</row>
    <row r="23" spans="1:36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</row>
    <row r="24" spans="1:36" s="35" customFormat="1" ht="14.45" customHeight="1">
      <c r="A24" s="832" t="s">
        <v>388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</row>
    <row r="25" spans="1:36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</row>
    <row r="26" spans="1:36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</row>
    <row r="27" spans="1:36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</row>
    <row r="29" spans="1:36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</row>
    <row r="30" spans="1:36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903" t="s">
        <v>383</v>
      </c>
      <c r="AE30" s="903"/>
      <c r="AF30" s="903"/>
      <c r="AG30" s="903"/>
      <c r="AH30" s="903"/>
      <c r="AI30" s="903"/>
      <c r="AJ30" s="903"/>
    </row>
    <row r="31" spans="1:36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904" t="s">
        <v>382</v>
      </c>
      <c r="AE31" s="819"/>
      <c r="AF31" s="819"/>
      <c r="AG31" s="819"/>
      <c r="AH31" s="819"/>
      <c r="AI31" s="819"/>
      <c r="AJ31" s="819"/>
    </row>
    <row r="32" spans="1:36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f>'Jardineiro JPA'!AD32:AJ32</f>
        <v>1124</v>
      </c>
      <c r="AE32" s="820"/>
      <c r="AF32" s="820"/>
      <c r="AG32" s="820"/>
      <c r="AH32" s="820"/>
      <c r="AI32" s="820"/>
      <c r="AJ32" s="820"/>
    </row>
    <row r="33" spans="1:36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19" t="s">
        <v>384</v>
      </c>
      <c r="AE33" s="819"/>
      <c r="AF33" s="819"/>
      <c r="AG33" s="819"/>
      <c r="AH33" s="819"/>
      <c r="AI33" s="819"/>
      <c r="AJ33" s="819"/>
    </row>
    <row r="34" spans="1:36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</row>
    <row r="35" spans="1:36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6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</row>
    <row r="38" spans="1:36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1124</v>
      </c>
      <c r="AE38" s="775"/>
      <c r="AF38" s="775"/>
      <c r="AG38" s="775"/>
      <c r="AH38" s="775"/>
      <c r="AI38" s="775"/>
      <c r="AJ38" s="776"/>
    </row>
    <row r="39" spans="1:36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6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41"/>
      <c r="Z40" s="742"/>
      <c r="AA40" s="742"/>
      <c r="AB40" s="742"/>
      <c r="AC40" s="743"/>
      <c r="AD40" s="744"/>
      <c r="AE40" s="745"/>
      <c r="AF40" s="745"/>
      <c r="AG40" s="745"/>
      <c r="AH40" s="745"/>
      <c r="AI40" s="745"/>
      <c r="AJ40" s="746"/>
    </row>
    <row r="41" spans="1:36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6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6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6" ht="14.45" customHeight="1">
      <c r="A44" s="722" t="s">
        <v>8</v>
      </c>
      <c r="B44" s="723"/>
      <c r="C44" s="724" t="s">
        <v>11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14"/>
      <c r="Z44" s="811"/>
      <c r="AA44" s="811"/>
      <c r="AB44" s="811"/>
      <c r="AC44" s="812"/>
      <c r="AD44" s="744"/>
      <c r="AE44" s="745"/>
      <c r="AF44" s="745"/>
      <c r="AG44" s="745"/>
      <c r="AH44" s="745"/>
      <c r="AI44" s="745"/>
      <c r="AJ44" s="746"/>
    </row>
    <row r="45" spans="1:36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1124</v>
      </c>
      <c r="AE45" s="692"/>
      <c r="AF45" s="692"/>
      <c r="AG45" s="692"/>
      <c r="AH45" s="692"/>
      <c r="AI45" s="692"/>
      <c r="AJ45" s="693"/>
    </row>
    <row r="46" spans="1:36" ht="14.45" customHeight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7"/>
      <c r="Z46" s="157"/>
      <c r="AA46" s="157"/>
      <c r="AB46" s="157"/>
      <c r="AC46" s="157"/>
      <c r="AD46" s="61"/>
      <c r="AE46" s="61"/>
      <c r="AF46" s="61"/>
      <c r="AG46" s="61"/>
      <c r="AH46" s="61"/>
      <c r="AI46" s="61"/>
      <c r="AJ46" s="61"/>
    </row>
    <row r="47" spans="1:36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6" ht="14.45" customHeight="1">
      <c r="A48" s="813" t="s">
        <v>280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93.666666666666657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31.222222222222221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124.88888888888889</v>
      </c>
      <c r="AE52" s="692"/>
      <c r="AF52" s="692"/>
      <c r="AG52" s="692"/>
      <c r="AH52" s="692"/>
      <c r="AI52" s="692"/>
      <c r="AJ52" s="693"/>
    </row>
    <row r="53" spans="1:36" ht="14.45" customHeight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7"/>
      <c r="Z53" s="157"/>
      <c r="AA53" s="157"/>
      <c r="AB53" s="157"/>
      <c r="AC53" s="157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249.7777777777778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31.222222222222225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37.466666666666669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18.733333333333334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12.488888888888889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7.4933333333333341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2.4977777777777779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99.911111111111111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459.59111111111116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108.56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453.56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124.88888888888889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459.59111111111116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453.56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1038.04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4.6833333333333336</v>
      </c>
      <c r="AE85" s="775"/>
      <c r="AF85" s="775"/>
      <c r="AG85" s="775"/>
      <c r="AH85" s="775"/>
      <c r="AI85" s="775"/>
      <c r="AJ85" s="776"/>
      <c r="AL85" s="116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0.37466666666666665</v>
      </c>
      <c r="AE86" s="775"/>
      <c r="AF86" s="775"/>
      <c r="AG86" s="775"/>
      <c r="AH86" s="775"/>
      <c r="AI86" s="775"/>
      <c r="AJ86" s="776"/>
      <c r="AL86" s="116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40.81368888888889</v>
      </c>
      <c r="AE87" s="775"/>
      <c r="AF87" s="775"/>
      <c r="AG87" s="775"/>
      <c r="AH87" s="775"/>
      <c r="AI87" s="775"/>
      <c r="AJ87" s="776"/>
      <c r="AL87" s="116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42.039666666666669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8.0428444444444462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0.69937777777777799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96.653577777777784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93.666666666666657</v>
      </c>
      <c r="AE96" s="775"/>
      <c r="AF96" s="775"/>
      <c r="AG96" s="775"/>
      <c r="AH96" s="775"/>
      <c r="AI96" s="775"/>
      <c r="AJ96" s="776"/>
      <c r="AK96" s="130"/>
      <c r="AL96" s="117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15.6236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0.2248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3.1471999999999998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1.4611999999999998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0.78679999999999994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22.05954074074074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42.286978133333335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179.25678554074074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7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7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7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179.25678554074074</v>
      </c>
      <c r="AE115" s="775"/>
      <c r="AF115" s="775"/>
      <c r="AG115" s="775"/>
      <c r="AH115" s="775"/>
      <c r="AI115" s="775"/>
      <c r="AJ115" s="776"/>
    </row>
    <row r="116" spans="1:37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7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179.25678554074074</v>
      </c>
      <c r="AE117" s="692"/>
      <c r="AF117" s="692"/>
      <c r="AG117" s="692"/>
      <c r="AH117" s="692"/>
      <c r="AI117" s="692"/>
      <c r="AJ117" s="693"/>
    </row>
    <row r="118" spans="1:37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7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7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7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'Jardineiro JPA'!AD121:AJ121</f>
        <v>173.29111111111112</v>
      </c>
      <c r="AE121" s="772"/>
      <c r="AF121" s="772"/>
      <c r="AG121" s="772"/>
      <c r="AH121" s="772"/>
      <c r="AI121" s="772"/>
      <c r="AJ121" s="773"/>
    </row>
    <row r="122" spans="1:37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7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/>
      <c r="AE123" s="772"/>
      <c r="AF123" s="772"/>
      <c r="AG123" s="772"/>
      <c r="AH123" s="772"/>
      <c r="AI123" s="772"/>
      <c r="AJ123" s="773"/>
    </row>
    <row r="124" spans="1:37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173.29111111111112</v>
      </c>
      <c r="AE124" s="692"/>
      <c r="AF124" s="692"/>
      <c r="AG124" s="692"/>
      <c r="AH124" s="692"/>
      <c r="AI124" s="692"/>
      <c r="AJ124" s="693"/>
    </row>
    <row r="125" spans="1:37" ht="14.45" customHeight="1"/>
    <row r="126" spans="1:37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7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7" ht="14.45" customHeight="1">
      <c r="A128" s="736" t="s">
        <v>0</v>
      </c>
      <c r="B128" s="737"/>
      <c r="C128" s="757" t="s">
        <v>328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78.337244232888892</v>
      </c>
      <c r="AE128" s="745"/>
      <c r="AF128" s="745"/>
      <c r="AG128" s="745"/>
      <c r="AH128" s="745"/>
      <c r="AI128" s="745"/>
      <c r="AJ128" s="746"/>
      <c r="AK128" s="130"/>
    </row>
    <row r="129" spans="1:38" ht="14.45" customHeight="1">
      <c r="A129" s="736" t="s">
        <v>1</v>
      </c>
      <c r="B129" s="737"/>
      <c r="C129" s="757" t="s">
        <v>327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177.30329611377186</v>
      </c>
      <c r="AE129" s="745"/>
      <c r="AF129" s="745"/>
      <c r="AG129" s="745"/>
      <c r="AH129" s="745"/>
      <c r="AI129" s="745"/>
      <c r="AJ129" s="746"/>
      <c r="AK129" s="130"/>
    </row>
    <row r="130" spans="1:38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</row>
    <row r="131" spans="1:38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8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94.150476675740222</v>
      </c>
      <c r="AE132" s="745"/>
      <c r="AF132" s="745"/>
      <c r="AG132" s="745"/>
      <c r="AH132" s="745"/>
      <c r="AI132" s="745"/>
      <c r="AJ132" s="746"/>
      <c r="AK132" s="130"/>
    </row>
    <row r="133" spans="1:38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20.399269946410381</v>
      </c>
      <c r="AE133" s="745"/>
      <c r="AF133" s="745"/>
      <c r="AG133" s="745"/>
      <c r="AH133" s="745"/>
      <c r="AI133" s="745"/>
      <c r="AJ133" s="746"/>
      <c r="AK133" s="134"/>
    </row>
    <row r="134" spans="1:38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156.91746112623372</v>
      </c>
      <c r="AE134" s="745"/>
      <c r="AF134" s="745"/>
      <c r="AG134" s="745"/>
      <c r="AH134" s="745"/>
      <c r="AI134" s="745"/>
      <c r="AJ134" s="746"/>
      <c r="AK134" s="130"/>
    </row>
    <row r="135" spans="1:38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527.10774809504505</v>
      </c>
      <c r="AE135" s="747"/>
      <c r="AF135" s="747"/>
      <c r="AG135" s="747"/>
      <c r="AH135" s="747"/>
      <c r="AI135" s="747"/>
      <c r="AJ135" s="747"/>
      <c r="AK135" s="130"/>
    </row>
    <row r="136" spans="1:38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8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8" ht="14.45" customHeight="1">
      <c r="A138" s="155"/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30"/>
    </row>
    <row r="139" spans="1:38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8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1124</v>
      </c>
      <c r="AE140" s="720"/>
      <c r="AF140" s="720"/>
      <c r="AG140" s="720"/>
      <c r="AH140" s="720"/>
      <c r="AI140" s="720"/>
      <c r="AJ140" s="721"/>
      <c r="AK140" s="130"/>
    </row>
    <row r="141" spans="1:38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1038.04</v>
      </c>
      <c r="AE141" s="720"/>
      <c r="AF141" s="720"/>
      <c r="AG141" s="720"/>
      <c r="AH141" s="720"/>
      <c r="AI141" s="720"/>
      <c r="AJ141" s="721"/>
      <c r="AK141" s="130"/>
    </row>
    <row r="142" spans="1:38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96.653577777777784</v>
      </c>
      <c r="AE142" s="720"/>
      <c r="AF142" s="720"/>
      <c r="AG142" s="720"/>
      <c r="AH142" s="720"/>
      <c r="AI142" s="720"/>
      <c r="AJ142" s="721"/>
      <c r="AK142" s="130"/>
    </row>
    <row r="143" spans="1:38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179.25678554074074</v>
      </c>
      <c r="AE143" s="720"/>
      <c r="AF143" s="720"/>
      <c r="AG143" s="720"/>
      <c r="AH143" s="720"/>
      <c r="AI143" s="720"/>
      <c r="AJ143" s="721"/>
      <c r="AK143" s="130"/>
    </row>
    <row r="144" spans="1:38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173.29111111111112</v>
      </c>
      <c r="AE144" s="720"/>
      <c r="AF144" s="720"/>
      <c r="AG144" s="720"/>
      <c r="AH144" s="720"/>
      <c r="AI144" s="720"/>
      <c r="AJ144" s="721"/>
      <c r="AK144" s="130"/>
      <c r="AL144" s="117"/>
    </row>
    <row r="145" spans="1:38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2611.2414744296293</v>
      </c>
      <c r="AE145" s="720"/>
      <c r="AF145" s="720"/>
      <c r="AG145" s="720"/>
      <c r="AH145" s="720"/>
      <c r="AI145" s="720"/>
      <c r="AJ145" s="721"/>
      <c r="AK145" s="130"/>
      <c r="AL145" s="117"/>
    </row>
    <row r="146" spans="1:38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527.10774809504505</v>
      </c>
      <c r="AE146" s="720"/>
      <c r="AF146" s="720"/>
      <c r="AG146" s="720"/>
      <c r="AH146" s="720"/>
      <c r="AI146" s="720"/>
      <c r="AJ146" s="721"/>
      <c r="AK146" s="130"/>
    </row>
    <row r="147" spans="1:38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3138.3492225246741</v>
      </c>
      <c r="AE147" s="692"/>
      <c r="AF147" s="692"/>
      <c r="AG147" s="692"/>
      <c r="AH147" s="692"/>
      <c r="AI147" s="692"/>
      <c r="AJ147" s="693"/>
      <c r="AK147" s="130"/>
    </row>
    <row r="148" spans="1:38" ht="14.45" customHeight="1"/>
    <row r="149" spans="1:38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8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8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8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8" ht="34.15" customHeight="1">
      <c r="A153" s="701" t="str">
        <f>A24</f>
        <v>SERVIÇOS DE JARDINAGEM (CAMPINA GRANDE)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3138.3492225246741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3138.3492225246741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3138.3492225246741</v>
      </c>
      <c r="AF153" s="714"/>
      <c r="AG153" s="714"/>
      <c r="AH153" s="714"/>
      <c r="AI153" s="714"/>
      <c r="AJ153" s="715"/>
    </row>
    <row r="154" spans="1:38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3138.35</v>
      </c>
      <c r="AF154" s="686"/>
      <c r="AG154" s="686"/>
      <c r="AH154" s="686"/>
      <c r="AI154" s="686"/>
      <c r="AJ154" s="686"/>
    </row>
    <row r="155" spans="1:38" ht="14.45" customHeight="1"/>
    <row r="156" spans="1:38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8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8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8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3138.35</v>
      </c>
      <c r="AE159" s="700"/>
      <c r="AF159" s="700"/>
      <c r="AG159" s="700"/>
      <c r="AH159" s="700"/>
      <c r="AI159" s="700"/>
      <c r="AJ159" s="700"/>
    </row>
    <row r="160" spans="1:38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112980.59999999999</v>
      </c>
      <c r="AE160" s="684"/>
      <c r="AF160" s="684"/>
      <c r="AG160" s="684"/>
      <c r="AH160" s="684"/>
      <c r="AI160" s="684"/>
      <c r="AJ160" s="684"/>
    </row>
  </sheetData>
  <mergeCells count="392"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  <mergeCell ref="AD159:AJ159"/>
    <mergeCell ref="A153:L153"/>
    <mergeCell ref="M153:Q153"/>
    <mergeCell ref="R153:V153"/>
    <mergeCell ref="W153:AA153"/>
    <mergeCell ref="AB153:AD153"/>
    <mergeCell ref="AE153:AJ153"/>
    <mergeCell ref="A152:L152"/>
    <mergeCell ref="M152:Q152"/>
    <mergeCell ref="R152:V152"/>
    <mergeCell ref="W152:AA152"/>
    <mergeCell ref="AB152:AD152"/>
    <mergeCell ref="AE152:AJ15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A145:AC145"/>
    <mergeCell ref="AD145:AJ145"/>
    <mergeCell ref="A146:B146"/>
    <mergeCell ref="C146:AC146"/>
    <mergeCell ref="AD146:AJ146"/>
    <mergeCell ref="A147:AC147"/>
    <mergeCell ref="AD147:AJ147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35:AC135"/>
    <mergeCell ref="AD135:AJ135"/>
    <mergeCell ref="A137:AJ137"/>
    <mergeCell ref="A139:AC139"/>
    <mergeCell ref="AD139:AJ139"/>
    <mergeCell ref="A140:B140"/>
    <mergeCell ref="C140:AC140"/>
    <mergeCell ref="AD140:AJ140"/>
    <mergeCell ref="AD132:AJ132"/>
    <mergeCell ref="A133:B133"/>
    <mergeCell ref="C133:X133"/>
    <mergeCell ref="Y133:AC133"/>
    <mergeCell ref="AD133:AJ133"/>
    <mergeCell ref="A134:B134"/>
    <mergeCell ref="C134:X134"/>
    <mergeCell ref="Y134:AC134"/>
    <mergeCell ref="AD134:AJ134"/>
    <mergeCell ref="Y130:AC130"/>
    <mergeCell ref="A131:B131"/>
    <mergeCell ref="C131:X131"/>
    <mergeCell ref="Y131:AC131"/>
    <mergeCell ref="A132:B132"/>
    <mergeCell ref="C132:X132"/>
    <mergeCell ref="Y132:AC132"/>
    <mergeCell ref="A128:B128"/>
    <mergeCell ref="C128:X128"/>
    <mergeCell ref="Y128:AC128"/>
    <mergeCell ref="AD128:AJ128"/>
    <mergeCell ref="A129:B129"/>
    <mergeCell ref="C129:X129"/>
    <mergeCell ref="Y129:AC129"/>
    <mergeCell ref="AD129:AJ129"/>
    <mergeCell ref="A124:AC124"/>
    <mergeCell ref="AD124:AJ124"/>
    <mergeCell ref="A126:AJ126"/>
    <mergeCell ref="A127:B127"/>
    <mergeCell ref="C127:X127"/>
    <mergeCell ref="Y127:AC127"/>
    <mergeCell ref="AD127:AJ127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10:B110"/>
    <mergeCell ref="C110:AC110"/>
    <mergeCell ref="AD110:AJ110"/>
    <mergeCell ref="A111:AC111"/>
    <mergeCell ref="AD111:AJ111"/>
    <mergeCell ref="A112:AJ112"/>
    <mergeCell ref="A106:X106"/>
    <mergeCell ref="Y106:AC106"/>
    <mergeCell ref="AD106:AJ106"/>
    <mergeCell ref="A107:AJ107"/>
    <mergeCell ref="A108:AJ108"/>
    <mergeCell ref="A109:B109"/>
    <mergeCell ref="C109:X109"/>
    <mergeCell ref="Y109:AC109"/>
    <mergeCell ref="AD109:AJ109"/>
    <mergeCell ref="A104:AC104"/>
    <mergeCell ref="AD104:AJ104"/>
    <mergeCell ref="A105:B105"/>
    <mergeCell ref="C105:X105"/>
    <mergeCell ref="Y105:AC105"/>
    <mergeCell ref="AD105:AJ105"/>
    <mergeCell ref="A102:X102"/>
    <mergeCell ref="Y102:AC102"/>
    <mergeCell ref="AD102:AJ102"/>
    <mergeCell ref="A103:B103"/>
    <mergeCell ref="C103:X103"/>
    <mergeCell ref="Y103:AC103"/>
    <mergeCell ref="AD103:AJ103"/>
    <mergeCell ref="A100:B100"/>
    <mergeCell ref="C100:X100"/>
    <mergeCell ref="Y100:AC100"/>
    <mergeCell ref="AD100:AJ100"/>
    <mergeCell ref="A101:B101"/>
    <mergeCell ref="C101:X101"/>
    <mergeCell ref="Y101:AC101"/>
    <mergeCell ref="AD101:AJ101"/>
    <mergeCell ref="A98:B98"/>
    <mergeCell ref="C98:X98"/>
    <mergeCell ref="Y98:AC98"/>
    <mergeCell ref="AD98:AJ98"/>
    <mergeCell ref="A99:B99"/>
    <mergeCell ref="C99:X99"/>
    <mergeCell ref="Y99:AC99"/>
    <mergeCell ref="AD99:AJ99"/>
    <mergeCell ref="A96:B96"/>
    <mergeCell ref="C96:X96"/>
    <mergeCell ref="Y96:AC96"/>
    <mergeCell ref="AD96:AJ96"/>
    <mergeCell ref="A97:B97"/>
    <mergeCell ref="C97:X97"/>
    <mergeCell ref="Y97:AC97"/>
    <mergeCell ref="AD97:AJ97"/>
    <mergeCell ref="A92:AJ92"/>
    <mergeCell ref="A93:AJ93"/>
    <mergeCell ref="A94:AJ94"/>
    <mergeCell ref="A95:B95"/>
    <mergeCell ref="C95:X95"/>
    <mergeCell ref="Y95:AC95"/>
    <mergeCell ref="AD95:AJ95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A83:AJ83"/>
    <mergeCell ref="A84:B84"/>
    <mergeCell ref="C84:X84"/>
    <mergeCell ref="Y84:AC84"/>
    <mergeCell ref="AD84:AJ84"/>
    <mergeCell ref="A85:B85"/>
    <mergeCell ref="C85:X85"/>
    <mergeCell ref="Y85:AC85"/>
    <mergeCell ref="AD85:AJ85"/>
    <mergeCell ref="A80:B80"/>
    <mergeCell ref="C80:AC80"/>
    <mergeCell ref="AD80:AJ80"/>
    <mergeCell ref="A81:AC81"/>
    <mergeCell ref="AD81:AJ81"/>
    <mergeCell ref="A82:AJ82"/>
    <mergeCell ref="A78:B78"/>
    <mergeCell ref="C78:AC78"/>
    <mergeCell ref="AD78:AJ78"/>
    <mergeCell ref="A79:B79"/>
    <mergeCell ref="C79:AC79"/>
    <mergeCell ref="AD79:AJ79"/>
    <mergeCell ref="A74:AC74"/>
    <mergeCell ref="AD74:AJ74"/>
    <mergeCell ref="A75:AJ75"/>
    <mergeCell ref="A76:AJ76"/>
    <mergeCell ref="A77:B77"/>
    <mergeCell ref="C77:AC77"/>
    <mergeCell ref="AD77:AJ7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/>
  </sheetPr>
  <dimension ref="A1:O74"/>
  <sheetViews>
    <sheetView showGridLines="0" topLeftCell="A64" zoomScale="80" zoomScaleNormal="80" workbookViewId="0">
      <selection activeCell="A72" sqref="A72"/>
    </sheetView>
  </sheetViews>
  <sheetFormatPr defaultRowHeight="12.75"/>
  <cols>
    <col min="1" max="1" width="9.140625" style="5"/>
    <col min="2" max="2" width="9.140625" style="461"/>
    <col min="3" max="3" width="16.7109375" style="461" customWidth="1"/>
    <col min="4" max="4" width="74.5703125" style="5" customWidth="1"/>
    <col min="5" max="5" width="9.140625" style="5"/>
    <col min="6" max="6" width="46.140625" style="7" customWidth="1"/>
    <col min="7" max="7" width="26.42578125" style="7" bestFit="1" customWidth="1"/>
    <col min="8" max="8" width="29.28515625" style="5" bestFit="1" customWidth="1"/>
    <col min="9" max="9" width="31.28515625" style="5" bestFit="1" customWidth="1"/>
    <col min="10" max="11" width="14.140625" style="5" customWidth="1"/>
    <col min="12" max="16384" width="9.140625" style="5"/>
  </cols>
  <sheetData>
    <row r="1" spans="1:15">
      <c r="F1" s="571"/>
      <c r="G1" s="571"/>
      <c r="H1" s="571"/>
      <c r="I1" s="571"/>
      <c r="J1" s="1"/>
      <c r="K1" s="1"/>
    </row>
    <row r="2" spans="1:15" ht="15" customHeight="1">
      <c r="A2" s="646" t="s">
        <v>26</v>
      </c>
      <c r="B2" s="646"/>
      <c r="C2" s="646"/>
      <c r="D2" s="646"/>
      <c r="E2" s="646"/>
      <c r="F2" s="646"/>
      <c r="G2" s="646"/>
      <c r="H2" s="646"/>
      <c r="I2" s="646"/>
      <c r="J2" s="3"/>
      <c r="K2" s="3"/>
    </row>
    <row r="3" spans="1:15" ht="15" customHeight="1">
      <c r="A3" s="646" t="s">
        <v>27</v>
      </c>
      <c r="B3" s="646"/>
      <c r="C3" s="646"/>
      <c r="D3" s="646"/>
      <c r="E3" s="646"/>
      <c r="F3" s="646"/>
      <c r="G3" s="646"/>
      <c r="H3" s="646"/>
      <c r="I3" s="646"/>
      <c r="J3" s="3"/>
      <c r="K3" s="3"/>
    </row>
    <row r="4" spans="1:15" ht="15" customHeight="1">
      <c r="A4" s="646" t="s">
        <v>329</v>
      </c>
      <c r="B4" s="646"/>
      <c r="C4" s="646"/>
      <c r="D4" s="646"/>
      <c r="E4" s="646"/>
      <c r="F4" s="646"/>
      <c r="G4" s="646"/>
      <c r="H4" s="646"/>
      <c r="I4" s="646"/>
      <c r="J4" s="3"/>
      <c r="K4" s="3"/>
    </row>
    <row r="5" spans="1:15" ht="15" customHeight="1">
      <c r="J5" s="2"/>
      <c r="K5" s="2"/>
    </row>
    <row r="6" spans="1:15">
      <c r="F6" s="8"/>
      <c r="G6" s="8"/>
      <c r="H6" s="2"/>
      <c r="I6" s="2"/>
      <c r="J6" s="2"/>
      <c r="K6" s="2"/>
    </row>
    <row r="7" spans="1:15" ht="23.25" customHeight="1">
      <c r="A7" s="647" t="s">
        <v>282</v>
      </c>
      <c r="B7" s="647"/>
      <c r="C7" s="647"/>
      <c r="D7" s="647"/>
      <c r="E7" s="647"/>
      <c r="F7" s="647"/>
      <c r="G7" s="647"/>
      <c r="H7" s="647"/>
      <c r="I7" s="647"/>
      <c r="J7" s="2"/>
      <c r="K7" s="2"/>
    </row>
    <row r="8" spans="1:15" ht="19.5" customHeight="1"/>
    <row r="9" spans="1:15" ht="15" customHeight="1">
      <c r="A9" s="648" t="s">
        <v>29</v>
      </c>
      <c r="B9" s="649"/>
      <c r="C9" s="649"/>
      <c r="D9" s="649"/>
      <c r="E9" s="649"/>
      <c r="F9" s="650"/>
      <c r="G9" s="654" t="str">
        <f>'Capa Planilha de Custos'!$B$7</f>
        <v>0001305-55.2020.4.05.7400</v>
      </c>
      <c r="H9" s="655"/>
      <c r="I9" s="656"/>
    </row>
    <row r="10" spans="1:15">
      <c r="A10" s="651"/>
      <c r="B10" s="652"/>
      <c r="C10" s="652"/>
      <c r="D10" s="652"/>
      <c r="E10" s="652"/>
      <c r="F10" s="653"/>
      <c r="G10" s="657"/>
      <c r="H10" s="658"/>
      <c r="I10" s="659"/>
    </row>
    <row r="11" spans="1:15" ht="42" customHeight="1">
      <c r="A11" s="632" t="s">
        <v>332</v>
      </c>
      <c r="B11" s="633"/>
      <c r="C11" s="633"/>
      <c r="D11" s="633"/>
      <c r="E11" s="633"/>
      <c r="F11" s="634"/>
      <c r="G11" s="638" t="str">
        <f>'Capa Planilha de Custos'!B19</f>
        <v>CONVENÇÕES COLETIVAS DE TRABALHO 2021/2021:
PB000047/2021 - SINDICATO DAS EMPRESAS DE ASSEIO E CONSERVAÇÃO DO ESTADO DA PARAÍBA SEAC-PB;
PB000100/2021 - SINDICATO DOS TRABALHADORES NAS EMPEMPRESAS PRESTADORAS DE SERVIÇOS EM CAMPINA GRANDE-PB</v>
      </c>
      <c r="H11" s="639"/>
      <c r="I11" s="640"/>
      <c r="O11"/>
    </row>
    <row r="12" spans="1:15" ht="42" customHeight="1">
      <c r="A12" s="635"/>
      <c r="B12" s="636"/>
      <c r="C12" s="636"/>
      <c r="D12" s="636"/>
      <c r="E12" s="636"/>
      <c r="F12" s="637"/>
      <c r="G12" s="641"/>
      <c r="H12" s="642"/>
      <c r="I12" s="643"/>
    </row>
    <row r="13" spans="1:15" ht="27.6" customHeight="1">
      <c r="A13" s="644" t="s">
        <v>323</v>
      </c>
      <c r="B13" s="644"/>
      <c r="C13" s="644"/>
      <c r="D13" s="644"/>
      <c r="E13" s="644"/>
      <c r="F13" s="644"/>
      <c r="G13" s="645">
        <f>'Capa Planilha de Custos'!B17</f>
        <v>36</v>
      </c>
      <c r="H13" s="645"/>
      <c r="I13" s="645"/>
    </row>
    <row r="14" spans="1:15" ht="18.75" customHeight="1">
      <c r="F14" s="4"/>
    </row>
    <row r="15" spans="1:15" ht="24" customHeight="1">
      <c r="A15" s="591" t="s">
        <v>135</v>
      </c>
      <c r="B15" s="591" t="s">
        <v>41</v>
      </c>
      <c r="C15" s="592" t="s">
        <v>253</v>
      </c>
      <c r="D15" s="591" t="s">
        <v>59</v>
      </c>
      <c r="E15" s="591"/>
      <c r="F15" s="591"/>
      <c r="G15" s="611" t="s">
        <v>60</v>
      </c>
      <c r="H15" s="612"/>
      <c r="I15" s="613"/>
    </row>
    <row r="16" spans="1:15" ht="24" customHeight="1">
      <c r="A16" s="591"/>
      <c r="B16" s="591"/>
      <c r="C16" s="593"/>
      <c r="D16" s="440" t="s">
        <v>657</v>
      </c>
      <c r="E16" s="440" t="s">
        <v>535</v>
      </c>
      <c r="F16" s="440" t="s">
        <v>674</v>
      </c>
      <c r="G16" s="440" t="s">
        <v>36</v>
      </c>
      <c r="H16" s="440" t="s">
        <v>39</v>
      </c>
      <c r="I16" s="440" t="s">
        <v>40</v>
      </c>
    </row>
    <row r="17" spans="1:9" ht="24" customHeight="1">
      <c r="A17" s="588">
        <v>1</v>
      </c>
      <c r="B17" s="584" t="s">
        <v>333</v>
      </c>
      <c r="C17" s="585"/>
      <c r="D17" s="585"/>
      <c r="E17" s="585"/>
      <c r="F17" s="585"/>
      <c r="G17" s="498"/>
      <c r="H17" s="498"/>
      <c r="I17" s="499"/>
    </row>
    <row r="18" spans="1:9" ht="24" customHeight="1">
      <c r="A18" s="589"/>
      <c r="B18" s="599">
        <v>1</v>
      </c>
      <c r="C18" s="599" t="s">
        <v>333</v>
      </c>
      <c r="D18" s="627" t="s">
        <v>656</v>
      </c>
      <c r="E18" s="476">
        <f>'Consolidado Mão de Obra'!B12</f>
        <v>1</v>
      </c>
      <c r="F18" s="159" t="s">
        <v>580</v>
      </c>
      <c r="G18" s="44">
        <f>'Consolidado Mão de Obra'!E12</f>
        <v>4749.9799999999996</v>
      </c>
      <c r="H18" s="44">
        <f>G18*12</f>
        <v>56999.759999999995</v>
      </c>
      <c r="I18" s="44">
        <f>G18*$G$13</f>
        <v>170999.27999999997</v>
      </c>
    </row>
    <row r="19" spans="1:9" ht="24" customHeight="1">
      <c r="A19" s="589"/>
      <c r="B19" s="601"/>
      <c r="C19" s="601"/>
      <c r="D19" s="628"/>
      <c r="E19" s="476">
        <f>'Consolidado Mão de Obra'!B13</f>
        <v>8</v>
      </c>
      <c r="F19" s="159" t="s">
        <v>252</v>
      </c>
      <c r="G19" s="44">
        <f>'Consolidado Mão de Obra'!E13</f>
        <v>25888.240000000002</v>
      </c>
      <c r="H19" s="44">
        <f>G19*12</f>
        <v>310658.88</v>
      </c>
      <c r="I19" s="44">
        <f>G19*$G$13</f>
        <v>931976.64</v>
      </c>
    </row>
    <row r="20" spans="1:9" ht="24" customHeight="1">
      <c r="A20" s="589"/>
      <c r="B20" s="601"/>
      <c r="C20" s="601"/>
      <c r="D20" s="628"/>
      <c r="E20" s="476">
        <f>'Consolidado Mão de Obra'!B14</f>
        <v>2</v>
      </c>
      <c r="F20" s="159" t="s">
        <v>578</v>
      </c>
      <c r="G20" s="44">
        <f>'Consolidado Mão de Obra'!E14</f>
        <v>6938.06</v>
      </c>
      <c r="H20" s="44">
        <f>G20*12</f>
        <v>83256.72</v>
      </c>
      <c r="I20" s="44">
        <f>G20*$G$13</f>
        <v>249770.16</v>
      </c>
    </row>
    <row r="21" spans="1:9" ht="24" customHeight="1">
      <c r="A21" s="589"/>
      <c r="B21" s="601"/>
      <c r="C21" s="601"/>
      <c r="D21" s="628"/>
      <c r="E21" s="476">
        <f>'Consolidado Mão de Obra'!B15</f>
        <v>1</v>
      </c>
      <c r="F21" s="159" t="s">
        <v>606</v>
      </c>
      <c r="G21" s="44">
        <f>'Consolidado Mão de Obra'!E15</f>
        <v>3700.76</v>
      </c>
      <c r="H21" s="44">
        <f>G21*12</f>
        <v>44409.120000000003</v>
      </c>
      <c r="I21" s="44">
        <f>G21*$G$13</f>
        <v>133227.36000000002</v>
      </c>
    </row>
    <row r="22" spans="1:9" ht="24" customHeight="1">
      <c r="A22" s="589"/>
      <c r="B22" s="601"/>
      <c r="C22" s="601"/>
      <c r="D22" s="629"/>
      <c r="E22" s="476">
        <f>'Consolidado Mão de Obra'!B16</f>
        <v>2</v>
      </c>
      <c r="F22" s="159" t="s">
        <v>579</v>
      </c>
      <c r="G22" s="44">
        <f>'Consolidado Mão de Obra'!E16</f>
        <v>8316.6</v>
      </c>
      <c r="H22" s="44">
        <f>G22*12</f>
        <v>99799.200000000012</v>
      </c>
      <c r="I22" s="44">
        <f>G22*$G$13</f>
        <v>299397.60000000003</v>
      </c>
    </row>
    <row r="23" spans="1:9" s="461" customFormat="1" ht="24" customHeight="1">
      <c r="A23" s="589"/>
      <c r="B23" s="600"/>
      <c r="C23" s="600"/>
      <c r="D23" s="478" t="s">
        <v>666</v>
      </c>
      <c r="E23" s="439">
        <f>SUM(E18:E22)</f>
        <v>14</v>
      </c>
      <c r="F23" s="473"/>
      <c r="G23" s="479">
        <f>SUM(G18:G22)</f>
        <v>49593.64</v>
      </c>
      <c r="H23" s="462">
        <f>SUM(H18:H22)</f>
        <v>595123.67999999993</v>
      </c>
      <c r="I23" s="462">
        <f>SUM(I18:I22)</f>
        <v>1785371.04</v>
      </c>
    </row>
    <row r="24" spans="1:9" ht="24" customHeight="1">
      <c r="A24" s="589"/>
      <c r="B24" s="576">
        <v>2</v>
      </c>
      <c r="C24" s="576" t="s">
        <v>333</v>
      </c>
      <c r="D24" s="614" t="s">
        <v>658</v>
      </c>
      <c r="E24" s="477">
        <f>'Consolidado Mão de Obra'!B17</f>
        <v>4</v>
      </c>
      <c r="F24" s="428" t="s">
        <v>165</v>
      </c>
      <c r="G24" s="148">
        <f>'Consolidado Mão de Obra'!E17</f>
        <v>12020.12</v>
      </c>
      <c r="H24" s="148">
        <f>G24*12</f>
        <v>144241.44</v>
      </c>
      <c r="I24" s="148">
        <f>G24*$G$13</f>
        <v>432724.32</v>
      </c>
    </row>
    <row r="25" spans="1:9" ht="24" customHeight="1">
      <c r="A25" s="589"/>
      <c r="B25" s="602"/>
      <c r="C25" s="602"/>
      <c r="D25" s="615"/>
      <c r="E25" s="477">
        <f>'Consolidado Mão de Obra'!B18</f>
        <v>1</v>
      </c>
      <c r="F25" s="428" t="s">
        <v>339</v>
      </c>
      <c r="G25" s="148">
        <f>'Consolidado Mão de Obra'!E18</f>
        <v>3138.35</v>
      </c>
      <c r="H25" s="148">
        <f>G25*12</f>
        <v>37660.199999999997</v>
      </c>
      <c r="I25" s="148">
        <f>G25*$G$13</f>
        <v>112980.59999999999</v>
      </c>
    </row>
    <row r="26" spans="1:9" ht="24" customHeight="1">
      <c r="A26" s="589"/>
      <c r="B26" s="602"/>
      <c r="C26" s="602"/>
      <c r="D26" s="616"/>
      <c r="E26" s="477">
        <f>'Consolidado Mão de Obra'!B19</f>
        <v>4</v>
      </c>
      <c r="F26" s="428" t="s">
        <v>137</v>
      </c>
      <c r="G26" s="148">
        <f>'Consolidado Mão de Obra'!E19</f>
        <v>11795.24</v>
      </c>
      <c r="H26" s="148">
        <f>G26*12</f>
        <v>141542.88</v>
      </c>
      <c r="I26" s="148">
        <f>G26*$G$13</f>
        <v>424628.64</v>
      </c>
    </row>
    <row r="27" spans="1:9" s="461" customFormat="1" ht="24" customHeight="1">
      <c r="A27" s="589"/>
      <c r="B27" s="577"/>
      <c r="C27" s="577"/>
      <c r="D27" s="472" t="s">
        <v>667</v>
      </c>
      <c r="E27" s="464">
        <f>SUM(E24:E26)</f>
        <v>9</v>
      </c>
      <c r="F27" s="472"/>
      <c r="G27" s="480">
        <f>SUM(G24:G26)</f>
        <v>26953.71</v>
      </c>
      <c r="H27" s="466">
        <f>SUM(H24:H26)</f>
        <v>323444.52</v>
      </c>
      <c r="I27" s="466">
        <f>SUM(I24:I26)</f>
        <v>970333.56</v>
      </c>
    </row>
    <row r="28" spans="1:9" s="470" customFormat="1" ht="24" customHeight="1">
      <c r="A28" s="589"/>
      <c r="B28" s="603" t="s">
        <v>664</v>
      </c>
      <c r="C28" s="604"/>
      <c r="D28" s="605"/>
      <c r="E28" s="468">
        <f>SUM(E27,E23)</f>
        <v>23</v>
      </c>
      <c r="F28" s="473"/>
      <c r="G28" s="479">
        <f>SUM(G27,G23)</f>
        <v>76547.350000000006</v>
      </c>
      <c r="H28" s="469">
        <f>SUM(H27,H23)</f>
        <v>918568.2</v>
      </c>
      <c r="I28" s="469">
        <f>SUM(I27,I23)</f>
        <v>2755704.6</v>
      </c>
    </row>
    <row r="29" spans="1:9" s="470" customFormat="1" ht="24" customHeight="1">
      <c r="A29" s="589"/>
      <c r="B29" s="584" t="s">
        <v>334</v>
      </c>
      <c r="C29" s="585"/>
      <c r="D29" s="585"/>
      <c r="E29" s="585"/>
      <c r="F29" s="585"/>
      <c r="G29" s="498"/>
      <c r="H29" s="498"/>
      <c r="I29" s="499"/>
    </row>
    <row r="30" spans="1:9" ht="44.25" customHeight="1">
      <c r="A30" s="589"/>
      <c r="B30" s="581">
        <v>3</v>
      </c>
      <c r="C30" s="578" t="s">
        <v>334</v>
      </c>
      <c r="D30" s="551" t="s">
        <v>659</v>
      </c>
      <c r="E30" s="489">
        <f>'Consolidado Mão de Obra'!B24</f>
        <v>1</v>
      </c>
      <c r="F30" s="159" t="s">
        <v>578</v>
      </c>
      <c r="G30" s="490">
        <f>'Consolidado Mão de Obra'!E24</f>
        <v>3469.03</v>
      </c>
      <c r="H30" s="490">
        <f>G30*12</f>
        <v>41628.36</v>
      </c>
      <c r="I30" s="491">
        <f>G30*$G$13</f>
        <v>124885.08</v>
      </c>
    </row>
    <row r="31" spans="1:9" s="461" customFormat="1" ht="27" customHeight="1">
      <c r="A31" s="589"/>
      <c r="B31" s="583"/>
      <c r="C31" s="580"/>
      <c r="D31" s="473" t="s">
        <v>666</v>
      </c>
      <c r="E31" s="467">
        <f>SUM(E30)</f>
        <v>1</v>
      </c>
      <c r="F31" s="473"/>
      <c r="G31" s="479">
        <f>SUM(G30)</f>
        <v>3469.03</v>
      </c>
      <c r="H31" s="474">
        <f>SUM(H30)</f>
        <v>41628.36</v>
      </c>
      <c r="I31" s="474">
        <f>SUM(I30)</f>
        <v>124885.08</v>
      </c>
    </row>
    <row r="32" spans="1:9" ht="51" customHeight="1">
      <c r="A32" s="589"/>
      <c r="B32" s="576">
        <v>4</v>
      </c>
      <c r="C32" s="609" t="s">
        <v>334</v>
      </c>
      <c r="D32" s="552" t="s">
        <v>660</v>
      </c>
      <c r="E32" s="477">
        <f>'Consolidado Mão de Obra'!B25</f>
        <v>1</v>
      </c>
      <c r="F32" s="428" t="s">
        <v>581</v>
      </c>
      <c r="G32" s="140">
        <f>'Consolidado Mão de Obra'!E25</f>
        <v>3469.76</v>
      </c>
      <c r="H32" s="140">
        <f>G32*12</f>
        <v>41637.120000000003</v>
      </c>
      <c r="I32" s="148">
        <f>G32*$G$13</f>
        <v>124911.36000000002</v>
      </c>
    </row>
    <row r="33" spans="1:9" s="461" customFormat="1" ht="24" customHeight="1">
      <c r="A33" s="589"/>
      <c r="B33" s="577"/>
      <c r="C33" s="610"/>
      <c r="D33" s="472" t="s">
        <v>667</v>
      </c>
      <c r="E33" s="464">
        <f>SUM(E32)</f>
        <v>1</v>
      </c>
      <c r="F33" s="472"/>
      <c r="G33" s="480">
        <f>SUM(G32)</f>
        <v>3469.76</v>
      </c>
      <c r="H33" s="465">
        <f>SUM(H32)</f>
        <v>41637.120000000003</v>
      </c>
      <c r="I33" s="465">
        <f>SUM(I32)</f>
        <v>124911.36000000002</v>
      </c>
    </row>
    <row r="34" spans="1:9" s="470" customFormat="1" ht="24" customHeight="1">
      <c r="A34" s="589"/>
      <c r="B34" s="594" t="s">
        <v>665</v>
      </c>
      <c r="C34" s="595"/>
      <c r="D34" s="596"/>
      <c r="E34" s="484">
        <f>SUM(E33,E31)</f>
        <v>2</v>
      </c>
      <c r="F34" s="473"/>
      <c r="G34" s="479">
        <f>SUM(G33,G31)</f>
        <v>6938.7900000000009</v>
      </c>
      <c r="H34" s="485">
        <f>SUM(H33,H31)</f>
        <v>83265.48000000001</v>
      </c>
      <c r="I34" s="486">
        <f>SUM(I33,I31)</f>
        <v>249796.44</v>
      </c>
    </row>
    <row r="35" spans="1:9" s="470" customFormat="1" ht="24" customHeight="1">
      <c r="A35" s="589"/>
      <c r="B35" s="584" t="s">
        <v>335</v>
      </c>
      <c r="C35" s="585"/>
      <c r="D35" s="585"/>
      <c r="E35" s="585"/>
      <c r="F35" s="585"/>
      <c r="G35" s="498"/>
      <c r="H35" s="498"/>
      <c r="I35" s="499"/>
    </row>
    <row r="36" spans="1:9" ht="24" customHeight="1">
      <c r="A36" s="589"/>
      <c r="B36" s="599">
        <v>5</v>
      </c>
      <c r="C36" s="597" t="s">
        <v>335</v>
      </c>
      <c r="D36" s="627" t="s">
        <v>661</v>
      </c>
      <c r="E36" s="476">
        <f>'Consolidado Mão de Obra'!B30</f>
        <v>2</v>
      </c>
      <c r="F36" s="159" t="s">
        <v>579</v>
      </c>
      <c r="G36" s="18">
        <f>'Consolidado Mão de Obra'!E30</f>
        <v>8316.6</v>
      </c>
      <c r="H36" s="18">
        <f>G36*12</f>
        <v>99799.200000000012</v>
      </c>
      <c r="I36" s="44">
        <f>G36*$G$13</f>
        <v>299397.60000000003</v>
      </c>
    </row>
    <row r="37" spans="1:9" ht="24" customHeight="1">
      <c r="A37" s="589"/>
      <c r="B37" s="601"/>
      <c r="C37" s="630"/>
      <c r="D37" s="629"/>
      <c r="E37" s="476">
        <f>'Consolidado Mão de Obra'!B31</f>
        <v>6</v>
      </c>
      <c r="F37" s="85" t="s">
        <v>252</v>
      </c>
      <c r="G37" s="18">
        <f>'Consolidado Mão de Obra'!E31</f>
        <v>19416.18</v>
      </c>
      <c r="H37" s="18">
        <f>G37*12</f>
        <v>232994.16</v>
      </c>
      <c r="I37" s="44">
        <f>G37*$G$13</f>
        <v>698982.48</v>
      </c>
    </row>
    <row r="38" spans="1:9" s="461" customFormat="1" ht="24" customHeight="1">
      <c r="A38" s="589"/>
      <c r="B38" s="600"/>
      <c r="C38" s="598"/>
      <c r="D38" s="478" t="s">
        <v>668</v>
      </c>
      <c r="E38" s="439">
        <f>SUM(E36:E37)</f>
        <v>8</v>
      </c>
      <c r="F38" s="473"/>
      <c r="G38" s="479">
        <f>SUM(G36:G37)</f>
        <v>27732.78</v>
      </c>
      <c r="H38" s="463">
        <f>SUM(H36:H37)</f>
        <v>332793.36</v>
      </c>
      <c r="I38" s="462">
        <f>SUM(I36:I37)</f>
        <v>998380.08000000007</v>
      </c>
    </row>
    <row r="39" spans="1:9" ht="24" customHeight="1">
      <c r="A39" s="589"/>
      <c r="B39" s="576">
        <v>6</v>
      </c>
      <c r="C39" s="609" t="s">
        <v>335</v>
      </c>
      <c r="D39" s="614" t="s">
        <v>658</v>
      </c>
      <c r="E39" s="477">
        <f>'Consolidado Mão de Obra'!B32</f>
        <v>1</v>
      </c>
      <c r="F39" s="428" t="s">
        <v>339</v>
      </c>
      <c r="G39" s="140">
        <f>'Consolidado Mão de Obra'!E32</f>
        <v>3138.35</v>
      </c>
      <c r="H39" s="140">
        <f>G39*12</f>
        <v>37660.199999999997</v>
      </c>
      <c r="I39" s="148">
        <f>G39*$G$13</f>
        <v>112980.59999999999</v>
      </c>
    </row>
    <row r="40" spans="1:9" ht="24" customHeight="1">
      <c r="A40" s="589"/>
      <c r="B40" s="602"/>
      <c r="C40" s="631"/>
      <c r="D40" s="615"/>
      <c r="E40" s="477">
        <f>'Consolidado Mão de Obra'!B33</f>
        <v>1</v>
      </c>
      <c r="F40" s="428" t="s">
        <v>165</v>
      </c>
      <c r="G40" s="140">
        <f>'Consolidado Mão de Obra'!E33</f>
        <v>3005.03</v>
      </c>
      <c r="H40" s="140">
        <f>G40*12</f>
        <v>36060.36</v>
      </c>
      <c r="I40" s="148">
        <f>G40*$G$13</f>
        <v>108181.08</v>
      </c>
    </row>
    <row r="41" spans="1:9" ht="24" customHeight="1">
      <c r="A41" s="589"/>
      <c r="B41" s="602"/>
      <c r="C41" s="631"/>
      <c r="D41" s="615"/>
      <c r="E41" s="477">
        <f>'Consolidado Mão de Obra'!B34</f>
        <v>1</v>
      </c>
      <c r="F41" s="428" t="s">
        <v>581</v>
      </c>
      <c r="G41" s="140">
        <f>'Consolidado Mão de Obra'!E34</f>
        <v>3469.76</v>
      </c>
      <c r="H41" s="140">
        <f>G41*12</f>
        <v>41637.120000000003</v>
      </c>
      <c r="I41" s="148">
        <f>G41*$G$13</f>
        <v>124911.36000000002</v>
      </c>
    </row>
    <row r="42" spans="1:9" ht="24" customHeight="1">
      <c r="A42" s="589"/>
      <c r="B42" s="602"/>
      <c r="C42" s="631"/>
      <c r="D42" s="616"/>
      <c r="E42" s="477">
        <f>'Consolidado Mão de Obra'!B35</f>
        <v>2</v>
      </c>
      <c r="F42" s="428" t="s">
        <v>137</v>
      </c>
      <c r="G42" s="140">
        <f>'Consolidado Mão de Obra'!E35</f>
        <v>5897.62</v>
      </c>
      <c r="H42" s="140">
        <f>G42*12</f>
        <v>70771.44</v>
      </c>
      <c r="I42" s="148">
        <f>G42*$G$13</f>
        <v>212314.32</v>
      </c>
    </row>
    <row r="43" spans="1:9" s="461" customFormat="1" ht="24" customHeight="1">
      <c r="A43" s="589"/>
      <c r="B43" s="577"/>
      <c r="C43" s="610"/>
      <c r="D43" s="497" t="s">
        <v>667</v>
      </c>
      <c r="E43" s="464">
        <f>SUM(E39:E42)</f>
        <v>5</v>
      </c>
      <c r="F43" s="472"/>
      <c r="G43" s="480">
        <f>SUM(G39:G42)</f>
        <v>15510.759999999998</v>
      </c>
      <c r="H43" s="465">
        <f>SUM(H39:H42)</f>
        <v>186129.12</v>
      </c>
      <c r="I43" s="465">
        <f>SUM(I39:I42)</f>
        <v>558387.3600000001</v>
      </c>
    </row>
    <row r="44" spans="1:9" s="470" customFormat="1" ht="24" customHeight="1">
      <c r="A44" s="589"/>
      <c r="B44" s="603" t="s">
        <v>679</v>
      </c>
      <c r="C44" s="604"/>
      <c r="D44" s="605"/>
      <c r="E44" s="468">
        <f>SUM(E43,E38)</f>
        <v>13</v>
      </c>
      <c r="F44" s="473"/>
      <c r="G44" s="479">
        <f>SUM(G43,G38)</f>
        <v>43243.539999999994</v>
      </c>
      <c r="H44" s="471">
        <f>SUM(H43,H38)</f>
        <v>518922.48</v>
      </c>
      <c r="I44" s="471">
        <f>SUM(I43,I38)</f>
        <v>1556767.4400000002</v>
      </c>
    </row>
    <row r="45" spans="1:9" s="470" customFormat="1" ht="24" customHeight="1">
      <c r="A45" s="589"/>
      <c r="B45" s="591" t="s">
        <v>41</v>
      </c>
      <c r="C45" s="592" t="s">
        <v>253</v>
      </c>
      <c r="D45" s="591" t="s">
        <v>59</v>
      </c>
      <c r="E45" s="591"/>
      <c r="F45" s="591"/>
      <c r="G45" s="611" t="s">
        <v>60</v>
      </c>
      <c r="H45" s="612"/>
      <c r="I45" s="613"/>
    </row>
    <row r="46" spans="1:9" s="470" customFormat="1" ht="24" customHeight="1">
      <c r="A46" s="589"/>
      <c r="B46" s="591"/>
      <c r="C46" s="593"/>
      <c r="D46" s="440" t="s">
        <v>657</v>
      </c>
      <c r="E46" s="440" t="s">
        <v>535</v>
      </c>
      <c r="F46" s="440" t="s">
        <v>674</v>
      </c>
      <c r="G46" s="440" t="s">
        <v>36</v>
      </c>
      <c r="H46" s="440" t="s">
        <v>39</v>
      </c>
      <c r="I46" s="440" t="s">
        <v>40</v>
      </c>
    </row>
    <row r="47" spans="1:9" s="470" customFormat="1" ht="24" customHeight="1">
      <c r="A47" s="589"/>
      <c r="B47" s="584" t="s">
        <v>336</v>
      </c>
      <c r="C47" s="585"/>
      <c r="D47" s="585"/>
      <c r="E47" s="585"/>
      <c r="F47" s="585"/>
      <c r="G47" s="498"/>
      <c r="H47" s="498"/>
      <c r="I47" s="499"/>
    </row>
    <row r="48" spans="1:9" ht="24" customHeight="1">
      <c r="A48" s="589"/>
      <c r="B48" s="581">
        <v>7</v>
      </c>
      <c r="C48" s="578" t="s">
        <v>336</v>
      </c>
      <c r="D48" s="586" t="s">
        <v>659</v>
      </c>
      <c r="E48" s="489">
        <f>'Consolidado Mão de Obra'!B41</f>
        <v>1</v>
      </c>
      <c r="F48" s="159" t="s">
        <v>578</v>
      </c>
      <c r="G48" s="490">
        <f>'Consolidado Mão de Obra'!E41</f>
        <v>3469.03</v>
      </c>
      <c r="H48" s="490">
        <f>G48*12</f>
        <v>41628.36</v>
      </c>
      <c r="I48" s="491">
        <f>G48*$G$13</f>
        <v>124885.08</v>
      </c>
    </row>
    <row r="49" spans="1:9" ht="24" customHeight="1">
      <c r="A49" s="589"/>
      <c r="B49" s="582"/>
      <c r="C49" s="579"/>
      <c r="D49" s="626"/>
      <c r="E49" s="489">
        <f>'Consolidado Mão de Obra'!B42</f>
        <v>1</v>
      </c>
      <c r="F49" s="159" t="s">
        <v>252</v>
      </c>
      <c r="G49" s="490">
        <f>'Consolidado Mão de Obra'!E42</f>
        <v>3236.03</v>
      </c>
      <c r="H49" s="490">
        <f>G49*12</f>
        <v>38832.36</v>
      </c>
      <c r="I49" s="491">
        <f>G49*$G$13</f>
        <v>116497.08</v>
      </c>
    </row>
    <row r="50" spans="1:9" s="461" customFormat="1" ht="24" customHeight="1">
      <c r="A50" s="589"/>
      <c r="B50" s="583"/>
      <c r="C50" s="580"/>
      <c r="D50" s="473" t="s">
        <v>666</v>
      </c>
      <c r="E50" s="467">
        <f>SUM(E48:E49)</f>
        <v>2</v>
      </c>
      <c r="F50" s="473"/>
      <c r="G50" s="479">
        <f>SUM(G48:G49)</f>
        <v>6705.06</v>
      </c>
      <c r="H50" s="474">
        <f>SUM(H48:H49)</f>
        <v>80460.72</v>
      </c>
      <c r="I50" s="474">
        <f>SUM(I48:I49)</f>
        <v>241382.16</v>
      </c>
    </row>
    <row r="51" spans="1:9" ht="42.75" customHeight="1">
      <c r="A51" s="589"/>
      <c r="B51" s="576">
        <v>8</v>
      </c>
      <c r="C51" s="609" t="s">
        <v>336</v>
      </c>
      <c r="D51" s="552" t="s">
        <v>660</v>
      </c>
      <c r="E51" s="477">
        <f>'Consolidado Mão de Obra'!B43</f>
        <v>1</v>
      </c>
      <c r="F51" s="428" t="s">
        <v>581</v>
      </c>
      <c r="G51" s="140">
        <f>'Consolidado Mão de Obra'!E43</f>
        <v>3469.76</v>
      </c>
      <c r="H51" s="140">
        <f>G51*12</f>
        <v>41637.120000000003</v>
      </c>
      <c r="I51" s="148">
        <f>G51*$G$13</f>
        <v>124911.36000000002</v>
      </c>
    </row>
    <row r="52" spans="1:9" s="461" customFormat="1" ht="24.75" customHeight="1">
      <c r="A52" s="589"/>
      <c r="B52" s="577"/>
      <c r="C52" s="610"/>
      <c r="D52" s="472" t="s">
        <v>667</v>
      </c>
      <c r="E52" s="464">
        <f>SUM(E51)</f>
        <v>1</v>
      </c>
      <c r="F52" s="472"/>
      <c r="G52" s="480">
        <f>SUM(G51)</f>
        <v>3469.76</v>
      </c>
      <c r="H52" s="465">
        <f>SUM(H51)</f>
        <v>41637.120000000003</v>
      </c>
      <c r="I52" s="465">
        <f>SUM(I51)</f>
        <v>124911.36000000002</v>
      </c>
    </row>
    <row r="53" spans="1:9" s="470" customFormat="1" ht="24.75" customHeight="1">
      <c r="A53" s="589"/>
      <c r="B53" s="594" t="s">
        <v>669</v>
      </c>
      <c r="C53" s="595"/>
      <c r="D53" s="596"/>
      <c r="E53" s="484">
        <f>SUM(E52,E50)</f>
        <v>3</v>
      </c>
      <c r="F53" s="473"/>
      <c r="G53" s="479">
        <f>SUM(G52,G50)</f>
        <v>10174.82</v>
      </c>
      <c r="H53" s="485">
        <f>SUM(H52,H50)</f>
        <v>122097.84</v>
      </c>
      <c r="I53" s="485">
        <f>SUM(I52,I50)</f>
        <v>366293.52</v>
      </c>
    </row>
    <row r="54" spans="1:9" s="470" customFormat="1" ht="24.75" customHeight="1">
      <c r="A54" s="589"/>
      <c r="B54" s="584" t="s">
        <v>337</v>
      </c>
      <c r="C54" s="585"/>
      <c r="D54" s="585"/>
      <c r="E54" s="585"/>
      <c r="F54" s="585"/>
      <c r="G54" s="498"/>
      <c r="H54" s="498"/>
      <c r="I54" s="499"/>
    </row>
    <row r="55" spans="1:9" ht="42.75" customHeight="1">
      <c r="A55" s="589"/>
      <c r="B55" s="599">
        <v>9</v>
      </c>
      <c r="C55" s="597" t="s">
        <v>337</v>
      </c>
      <c r="D55" s="553" t="s">
        <v>659</v>
      </c>
      <c r="E55" s="476">
        <f>'Consolidado Mão de Obra'!B48</f>
        <v>1</v>
      </c>
      <c r="F55" s="159" t="s">
        <v>578</v>
      </c>
      <c r="G55" s="18">
        <f>'Consolidado Mão de Obra'!E48</f>
        <v>3469.03</v>
      </c>
      <c r="H55" s="18">
        <f>G55*12</f>
        <v>41628.36</v>
      </c>
      <c r="I55" s="44">
        <f>G55*$G$13</f>
        <v>124885.08</v>
      </c>
    </row>
    <row r="56" spans="1:9" s="461" customFormat="1" ht="24.75" customHeight="1">
      <c r="A56" s="589"/>
      <c r="B56" s="600"/>
      <c r="C56" s="598"/>
      <c r="D56" s="478" t="s">
        <v>666</v>
      </c>
      <c r="E56" s="439">
        <f>SUM(E55)</f>
        <v>1</v>
      </c>
      <c r="F56" s="473"/>
      <c r="G56" s="479">
        <f>SUM(G55)</f>
        <v>3469.03</v>
      </c>
      <c r="H56" s="463">
        <f>SUM(H55)</f>
        <v>41628.36</v>
      </c>
      <c r="I56" s="462">
        <f>SUM(I55)</f>
        <v>124885.08</v>
      </c>
    </row>
    <row r="57" spans="1:9" ht="42" customHeight="1">
      <c r="A57" s="589"/>
      <c r="B57" s="576">
        <v>10</v>
      </c>
      <c r="C57" s="609" t="s">
        <v>337</v>
      </c>
      <c r="D57" s="554" t="s">
        <v>660</v>
      </c>
      <c r="E57" s="477">
        <f>'Consolidado Mão de Obra'!B49</f>
        <v>1</v>
      </c>
      <c r="F57" s="428" t="s">
        <v>581</v>
      </c>
      <c r="G57" s="140">
        <f>'Consolidado Mão de Obra'!E49</f>
        <v>3469.76</v>
      </c>
      <c r="H57" s="140">
        <f>G57*12</f>
        <v>41637.120000000003</v>
      </c>
      <c r="I57" s="148">
        <f>G57*$G$13</f>
        <v>124911.36000000002</v>
      </c>
    </row>
    <row r="58" spans="1:9" s="461" customFormat="1" ht="24.75" customHeight="1">
      <c r="A58" s="589"/>
      <c r="B58" s="577"/>
      <c r="C58" s="610"/>
      <c r="D58" s="472" t="s">
        <v>667</v>
      </c>
      <c r="E58" s="464">
        <f>SUM(E57)</f>
        <v>1</v>
      </c>
      <c r="F58" s="472"/>
      <c r="G58" s="480">
        <f>SUM(G57)</f>
        <v>3469.76</v>
      </c>
      <c r="H58" s="465">
        <f>SUM(H57)</f>
        <v>41637.120000000003</v>
      </c>
      <c r="I58" s="466">
        <f>SUM(I57)</f>
        <v>124911.36000000002</v>
      </c>
    </row>
    <row r="59" spans="1:9" s="470" customFormat="1" ht="24.75" customHeight="1">
      <c r="A59" s="589"/>
      <c r="B59" s="603" t="s">
        <v>670</v>
      </c>
      <c r="C59" s="604"/>
      <c r="D59" s="605"/>
      <c r="E59" s="468">
        <f>SUM(E58,E56)</f>
        <v>2</v>
      </c>
      <c r="F59" s="473"/>
      <c r="G59" s="479">
        <f>SUM(G58,G56)</f>
        <v>6938.7900000000009</v>
      </c>
      <c r="H59" s="471">
        <f>SUM(H58,H56)</f>
        <v>83265.48000000001</v>
      </c>
      <c r="I59" s="469">
        <f>SUM(I58,I56)</f>
        <v>249796.44</v>
      </c>
    </row>
    <row r="60" spans="1:9" s="470" customFormat="1" ht="24.75" customHeight="1">
      <c r="A60" s="589"/>
      <c r="B60" s="584" t="s">
        <v>338</v>
      </c>
      <c r="C60" s="585"/>
      <c r="D60" s="585"/>
      <c r="E60" s="585"/>
      <c r="F60" s="585"/>
      <c r="G60" s="498"/>
      <c r="H60" s="498"/>
      <c r="I60" s="499"/>
    </row>
    <row r="61" spans="1:9" ht="24" customHeight="1">
      <c r="A61" s="589"/>
      <c r="B61" s="581">
        <v>11</v>
      </c>
      <c r="C61" s="578" t="s">
        <v>338</v>
      </c>
      <c r="D61" s="586" t="s">
        <v>659</v>
      </c>
      <c r="E61" s="489">
        <f>'Consolidado Mão de Obra'!B54</f>
        <v>1</v>
      </c>
      <c r="F61" s="159" t="s">
        <v>578</v>
      </c>
      <c r="G61" s="490">
        <f>'Consolidado Mão de Obra'!E54</f>
        <v>3469.03</v>
      </c>
      <c r="H61" s="490">
        <f>G61*12</f>
        <v>41628.36</v>
      </c>
      <c r="I61" s="491">
        <f>G61*$G$13</f>
        <v>124885.08</v>
      </c>
    </row>
    <row r="62" spans="1:9" ht="24" customHeight="1">
      <c r="A62" s="589"/>
      <c r="B62" s="582"/>
      <c r="C62" s="579"/>
      <c r="D62" s="587"/>
      <c r="E62" s="489">
        <f>'Consolidado Mão de Obra'!B55</f>
        <v>1</v>
      </c>
      <c r="F62" s="159" t="s">
        <v>252</v>
      </c>
      <c r="G62" s="490">
        <f>'Consolidado Mão de Obra'!E55</f>
        <v>3236.03</v>
      </c>
      <c r="H62" s="490">
        <f>G62*12</f>
        <v>38832.36</v>
      </c>
      <c r="I62" s="491">
        <f>G62*$G$13</f>
        <v>116497.08</v>
      </c>
    </row>
    <row r="63" spans="1:9" s="461" customFormat="1" ht="24" customHeight="1">
      <c r="A63" s="589"/>
      <c r="B63" s="583"/>
      <c r="C63" s="580"/>
      <c r="D63" s="473" t="s">
        <v>666</v>
      </c>
      <c r="E63" s="467">
        <f>SUM(E61:E62)</f>
        <v>2</v>
      </c>
      <c r="F63" s="473"/>
      <c r="G63" s="479">
        <f>SUM(G61:G62)</f>
        <v>6705.06</v>
      </c>
      <c r="H63" s="474">
        <f>SUM(H61:H62)</f>
        <v>80460.72</v>
      </c>
      <c r="I63" s="474">
        <f>SUM(I61:I62)</f>
        <v>241382.16</v>
      </c>
    </row>
    <row r="64" spans="1:9" ht="42.75" customHeight="1">
      <c r="A64" s="589"/>
      <c r="B64" s="576">
        <v>12</v>
      </c>
      <c r="C64" s="609" t="s">
        <v>338</v>
      </c>
      <c r="D64" s="555" t="s">
        <v>660</v>
      </c>
      <c r="E64" s="477">
        <f>'Consolidado Mão de Obra'!B56</f>
        <v>1</v>
      </c>
      <c r="F64" s="428" t="s">
        <v>581</v>
      </c>
      <c r="G64" s="140">
        <f>'Consolidado Mão de Obra'!E56</f>
        <v>3469.76</v>
      </c>
      <c r="H64" s="140">
        <f>G64*12</f>
        <v>41637.120000000003</v>
      </c>
      <c r="I64" s="148">
        <f>G64*$G$13</f>
        <v>124911.36000000002</v>
      </c>
    </row>
    <row r="65" spans="1:9" s="461" customFormat="1" ht="24.75" customHeight="1">
      <c r="A65" s="589"/>
      <c r="B65" s="577"/>
      <c r="C65" s="610"/>
      <c r="D65" s="472" t="s">
        <v>667</v>
      </c>
      <c r="E65" s="464">
        <f>SUM(E64)</f>
        <v>1</v>
      </c>
      <c r="F65" s="472"/>
      <c r="G65" s="480">
        <f>SUM(G64)</f>
        <v>3469.76</v>
      </c>
      <c r="H65" s="465">
        <f>SUM(H64)</f>
        <v>41637.120000000003</v>
      </c>
      <c r="I65" s="465">
        <f>SUM(I64)</f>
        <v>124911.36000000002</v>
      </c>
    </row>
    <row r="66" spans="1:9" s="470" customFormat="1" ht="24.75" customHeight="1">
      <c r="A66" s="590"/>
      <c r="B66" s="606" t="s">
        <v>671</v>
      </c>
      <c r="C66" s="607"/>
      <c r="D66" s="608"/>
      <c r="E66" s="493">
        <f>SUM(E65,E63)</f>
        <v>3</v>
      </c>
      <c r="F66" s="494"/>
      <c r="G66" s="495">
        <f>SUM(G65,G63)</f>
        <v>10174.82</v>
      </c>
      <c r="H66" s="496">
        <f>SUM(H65,H63)</f>
        <v>122097.84</v>
      </c>
      <c r="I66" s="496">
        <f>SUM(I65,I63)</f>
        <v>366293.52</v>
      </c>
    </row>
    <row r="67" spans="1:9" s="475" customFormat="1" ht="24.75" customHeight="1">
      <c r="A67" s="500"/>
      <c r="B67" s="501"/>
      <c r="C67" s="501"/>
      <c r="D67" s="501"/>
      <c r="E67" s="501"/>
      <c r="F67" s="501"/>
      <c r="G67" s="501"/>
      <c r="H67" s="501"/>
      <c r="I67" s="502"/>
    </row>
    <row r="68" spans="1:9" s="475" customFormat="1" ht="24.75" customHeight="1">
      <c r="A68" s="617" t="s">
        <v>672</v>
      </c>
      <c r="B68" s="618"/>
      <c r="C68" s="618"/>
      <c r="D68" s="619"/>
      <c r="E68" s="467">
        <f>SUM(E23,E31,E38,E50,E56,E63)</f>
        <v>28</v>
      </c>
      <c r="F68" s="473"/>
      <c r="G68" s="487">
        <f>SUM(G23,G31,G38,G50,G56,G63)</f>
        <v>97674.599999999991</v>
      </c>
      <c r="H68" s="487">
        <f>SUM(H23,H31,H38,H50,H56,H63)</f>
        <v>1172095.2</v>
      </c>
      <c r="I68" s="487">
        <f>SUM(I23,I31,I38,I50,I56,I63)</f>
        <v>3516285.6000000006</v>
      </c>
    </row>
    <row r="69" spans="1:9" s="475" customFormat="1" ht="24.75" customHeight="1">
      <c r="A69" s="620" t="s">
        <v>673</v>
      </c>
      <c r="B69" s="621"/>
      <c r="C69" s="621"/>
      <c r="D69" s="622"/>
      <c r="E69" s="464">
        <f>SUM(E27,E33,E43,E52,E58,E65)</f>
        <v>18</v>
      </c>
      <c r="F69" s="472"/>
      <c r="G69" s="492">
        <f>SUM(G27,G33,G43,G52,G58,G65)</f>
        <v>56343.51</v>
      </c>
      <c r="H69" s="492">
        <f>SUM(H27,H33,H43,H52,H58,H65)</f>
        <v>676122.12</v>
      </c>
      <c r="I69" s="492">
        <f>SUM(I27,I33,I43,I52,I58,I65)</f>
        <v>2028366.3600000006</v>
      </c>
    </row>
    <row r="70" spans="1:9" s="475" customFormat="1" ht="24.75" customHeight="1">
      <c r="A70" s="500"/>
      <c r="B70" s="501"/>
      <c r="C70" s="501"/>
      <c r="D70" s="501"/>
      <c r="E70" s="501"/>
      <c r="F70" s="501"/>
      <c r="G70" s="501"/>
      <c r="H70" s="501"/>
      <c r="I70" s="502"/>
    </row>
    <row r="71" spans="1:9" s="483" customFormat="1" ht="29.25" customHeight="1">
      <c r="A71" s="623" t="s">
        <v>680</v>
      </c>
      <c r="B71" s="624"/>
      <c r="C71" s="624"/>
      <c r="D71" s="625"/>
      <c r="E71" s="556">
        <f>SUM(E66,E59,E53,E44,E34,E28)</f>
        <v>46</v>
      </c>
      <c r="F71" s="556"/>
      <c r="G71" s="482">
        <f>SUM(G68:G69)</f>
        <v>154018.10999999999</v>
      </c>
      <c r="H71" s="482">
        <f>SUM(H68:H69)</f>
        <v>1848217.3199999998</v>
      </c>
      <c r="I71" s="482">
        <f>SUM(I68:I69)</f>
        <v>5544651.9600000009</v>
      </c>
    </row>
    <row r="74" spans="1:9">
      <c r="G74" s="488"/>
    </row>
  </sheetData>
  <mergeCells count="66">
    <mergeCell ref="F1:I1"/>
    <mergeCell ref="A2:I2"/>
    <mergeCell ref="A3:I3"/>
    <mergeCell ref="A4:I4"/>
    <mergeCell ref="A7:I7"/>
    <mergeCell ref="A9:F10"/>
    <mergeCell ref="G9:I10"/>
    <mergeCell ref="A11:F12"/>
    <mergeCell ref="G11:I12"/>
    <mergeCell ref="A13:F13"/>
    <mergeCell ref="G13:I13"/>
    <mergeCell ref="A15:A16"/>
    <mergeCell ref="B15:B16"/>
    <mergeCell ref="C15:C16"/>
    <mergeCell ref="D15:F15"/>
    <mergeCell ref="G15:I15"/>
    <mergeCell ref="D18:D22"/>
    <mergeCell ref="D24:D26"/>
    <mergeCell ref="D36:D37"/>
    <mergeCell ref="B44:D44"/>
    <mergeCell ref="C36:C38"/>
    <mergeCell ref="B36:B38"/>
    <mergeCell ref="C39:C43"/>
    <mergeCell ref="B24:B27"/>
    <mergeCell ref="B30:B31"/>
    <mergeCell ref="C48:C50"/>
    <mergeCell ref="B48:B50"/>
    <mergeCell ref="C51:C52"/>
    <mergeCell ref="A68:D68"/>
    <mergeCell ref="A69:D69"/>
    <mergeCell ref="A71:D71"/>
    <mergeCell ref="D48:D49"/>
    <mergeCell ref="C30:C31"/>
    <mergeCell ref="C32:C33"/>
    <mergeCell ref="B32:B33"/>
    <mergeCell ref="B28:D28"/>
    <mergeCell ref="G45:I45"/>
    <mergeCell ref="D39:D42"/>
    <mergeCell ref="B34:D34"/>
    <mergeCell ref="B39:B43"/>
    <mergeCell ref="C18:C23"/>
    <mergeCell ref="B18:B23"/>
    <mergeCell ref="C24:C27"/>
    <mergeCell ref="B59:D59"/>
    <mergeCell ref="B66:D66"/>
    <mergeCell ref="C64:C65"/>
    <mergeCell ref="B64:B65"/>
    <mergeCell ref="B29:F29"/>
    <mergeCell ref="B35:F35"/>
    <mergeCell ref="C57:C58"/>
    <mergeCell ref="A17:A66"/>
    <mergeCell ref="B45:B46"/>
    <mergeCell ref="C45:C46"/>
    <mergeCell ref="D45:F45"/>
    <mergeCell ref="B17:F17"/>
    <mergeCell ref="B47:F47"/>
    <mergeCell ref="B53:D53"/>
    <mergeCell ref="B51:B52"/>
    <mergeCell ref="C55:C56"/>
    <mergeCell ref="B55:B56"/>
    <mergeCell ref="B57:B58"/>
    <mergeCell ref="C61:C63"/>
    <mergeCell ref="B61:B63"/>
    <mergeCell ref="B54:F54"/>
    <mergeCell ref="B60:F60"/>
    <mergeCell ref="D61:D62"/>
  </mergeCells>
  <pageMargins left="0.31496062992125984" right="0.11811023622047245" top="0.19685039370078741" bottom="0.19685039370078741" header="0.31496062992125984" footer="0.31496062992125984"/>
  <pageSetup paperSize="9" scale="5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AQ160"/>
  <sheetViews>
    <sheetView showGridLines="0" topLeftCell="A64" zoomScale="115" zoomScaleNormal="115" zoomScaleSheetLayoutView="120" workbookViewId="0">
      <selection activeCell="C80" sqref="C80:AC80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6" width="3.85546875" style="34" customWidth="1"/>
    <col min="37" max="37" width="2.42578125" style="34" customWidth="1"/>
    <col min="38" max="38" width="13" style="34" customWidth="1"/>
    <col min="39" max="42" width="2.42578125" style="34"/>
    <col min="43" max="43" width="3.5703125" style="34" customWidth="1"/>
    <col min="44" max="16384" width="2.42578125" style="34"/>
  </cols>
  <sheetData>
    <row r="1" spans="1:36" ht="15" customHeight="1">
      <c r="A1" s="854"/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  <c r="AI1" s="854"/>
      <c r="AJ1" s="854"/>
    </row>
    <row r="2" spans="1:36" ht="15" customHeight="1">
      <c r="A2" s="855" t="s">
        <v>26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  <c r="S2" s="855"/>
      <c r="T2" s="855"/>
      <c r="U2" s="855"/>
      <c r="V2" s="855"/>
      <c r="W2" s="855"/>
      <c r="X2" s="855"/>
      <c r="Y2" s="855"/>
      <c r="Z2" s="855"/>
      <c r="AA2" s="855"/>
      <c r="AB2" s="855"/>
      <c r="AC2" s="855"/>
      <c r="AD2" s="855"/>
      <c r="AE2" s="855"/>
      <c r="AF2" s="855"/>
      <c r="AG2" s="855"/>
      <c r="AH2" s="855"/>
      <c r="AI2" s="855"/>
      <c r="AJ2" s="855"/>
    </row>
    <row r="3" spans="1:36" ht="15" customHeight="1">
      <c r="A3" s="855" t="s">
        <v>27</v>
      </c>
      <c r="B3" s="855"/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  <c r="AB3" s="855"/>
      <c r="AC3" s="855"/>
      <c r="AD3" s="855"/>
      <c r="AE3" s="855"/>
      <c r="AF3" s="855"/>
      <c r="AG3" s="855"/>
      <c r="AH3" s="855"/>
      <c r="AI3" s="855"/>
      <c r="AJ3" s="855"/>
    </row>
    <row r="4" spans="1:36" ht="15" customHeight="1">
      <c r="A4" s="855" t="s">
        <v>329</v>
      </c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B4" s="855"/>
      <c r="AC4" s="855"/>
      <c r="AD4" s="855"/>
      <c r="AE4" s="855"/>
      <c r="AF4" s="855"/>
      <c r="AG4" s="855"/>
      <c r="AH4" s="855"/>
      <c r="AI4" s="855"/>
      <c r="AJ4" s="855"/>
    </row>
    <row r="5" spans="1:36" ht="15" customHeight="1">
      <c r="A5" s="854"/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854"/>
      <c r="W5" s="854"/>
      <c r="X5" s="854"/>
      <c r="Y5" s="854"/>
      <c r="Z5" s="854"/>
      <c r="AA5" s="854"/>
      <c r="AB5" s="854"/>
      <c r="AC5" s="854"/>
      <c r="AD5" s="854"/>
      <c r="AE5" s="854"/>
      <c r="AF5" s="854"/>
      <c r="AG5" s="854"/>
      <c r="AH5" s="854"/>
      <c r="AI5" s="854"/>
      <c r="AJ5" s="854"/>
    </row>
    <row r="6" spans="1:36" ht="15" customHeight="1">
      <c r="A6" s="854"/>
      <c r="B6" s="854"/>
      <c r="C6" s="854"/>
      <c r="D6" s="854"/>
      <c r="E6" s="854"/>
      <c r="F6" s="854"/>
      <c r="G6" s="854"/>
      <c r="H6" s="854"/>
      <c r="I6" s="854"/>
      <c r="J6" s="854"/>
      <c r="K6" s="854"/>
      <c r="L6" s="854"/>
      <c r="M6" s="854"/>
      <c r="N6" s="854"/>
      <c r="O6" s="854"/>
      <c r="P6" s="854"/>
      <c r="Q6" s="854"/>
      <c r="R6" s="854"/>
      <c r="S6" s="854"/>
      <c r="T6" s="854"/>
      <c r="U6" s="854"/>
      <c r="V6" s="854"/>
      <c r="W6" s="854"/>
      <c r="X6" s="854"/>
      <c r="Y6" s="854"/>
      <c r="Z6" s="854"/>
      <c r="AA6" s="854"/>
      <c r="AB6" s="854"/>
      <c r="AC6" s="854"/>
      <c r="AD6" s="854"/>
      <c r="AE6" s="854"/>
      <c r="AF6" s="854"/>
      <c r="AG6" s="854"/>
      <c r="AH6" s="854"/>
      <c r="AI6" s="854"/>
      <c r="AJ6" s="854"/>
    </row>
    <row r="7" spans="1:36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</row>
    <row r="8" spans="1:36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</row>
    <row r="9" spans="1:36" s="35" customFormat="1" ht="14.45" customHeight="1">
      <c r="A9" s="856" t="s">
        <v>367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</row>
    <row r="10" spans="1:36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</row>
    <row r="11" spans="1:36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</row>
    <row r="12" spans="1:36" s="35" customFormat="1" ht="14.45" customHeight="1">
      <c r="A12" s="860" t="s">
        <v>144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  <c r="R12" s="861"/>
      <c r="S12" s="861"/>
      <c r="T12" s="861"/>
      <c r="U12" s="861"/>
      <c r="V12" s="861"/>
      <c r="W12" s="861"/>
      <c r="X12" s="861"/>
      <c r="Y12" s="861"/>
      <c r="Z12" s="861"/>
      <c r="AA12" s="861"/>
      <c r="AB12" s="861"/>
      <c r="AC12" s="861"/>
      <c r="AD12" s="861"/>
      <c r="AE12" s="861"/>
      <c r="AF12" s="861"/>
      <c r="AG12" s="861"/>
      <c r="AH12" s="861"/>
      <c r="AI12" s="861"/>
      <c r="AJ12" s="862"/>
    </row>
    <row r="13" spans="1:36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</row>
    <row r="14" spans="1:36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</row>
    <row r="15" spans="1:36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</row>
    <row r="16" spans="1:36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</row>
    <row r="17" spans="1:36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</row>
    <row r="18" spans="1:36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</row>
    <row r="19" spans="1:36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</row>
    <row r="20" spans="1:36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</row>
    <row r="21" spans="1:36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</row>
    <row r="22" spans="1:36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333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</row>
    <row r="23" spans="1:36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</row>
    <row r="24" spans="1:36" s="35" customFormat="1" ht="14.45" customHeight="1">
      <c r="A24" s="832" t="s">
        <v>366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</row>
    <row r="25" spans="1:36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</row>
    <row r="26" spans="1:36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</row>
    <row r="27" spans="1:36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</row>
    <row r="29" spans="1:36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</row>
    <row r="30" spans="1:36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819" t="s">
        <v>219</v>
      </c>
      <c r="AE30" s="819"/>
      <c r="AF30" s="819"/>
      <c r="AG30" s="819"/>
      <c r="AH30" s="819"/>
      <c r="AI30" s="819"/>
      <c r="AJ30" s="819"/>
    </row>
    <row r="31" spans="1:36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819" t="s">
        <v>222</v>
      </c>
      <c r="AE31" s="819"/>
      <c r="AF31" s="819"/>
      <c r="AG31" s="819"/>
      <c r="AH31" s="819"/>
      <c r="AI31" s="819"/>
      <c r="AJ31" s="819"/>
    </row>
    <row r="32" spans="1:36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v>1103</v>
      </c>
      <c r="AE32" s="820"/>
      <c r="AF32" s="820"/>
      <c r="AG32" s="820"/>
      <c r="AH32" s="820"/>
      <c r="AI32" s="820"/>
      <c r="AJ32" s="820"/>
    </row>
    <row r="33" spans="1:36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19" t="s">
        <v>219</v>
      </c>
      <c r="AE33" s="819"/>
      <c r="AF33" s="819"/>
      <c r="AG33" s="819"/>
      <c r="AH33" s="819"/>
      <c r="AI33" s="819"/>
      <c r="AJ33" s="819"/>
    </row>
    <row r="34" spans="1:36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</row>
    <row r="35" spans="1:36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6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</row>
    <row r="38" spans="1:36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1103</v>
      </c>
      <c r="AE38" s="775"/>
      <c r="AF38" s="775"/>
      <c r="AG38" s="775"/>
      <c r="AH38" s="775"/>
      <c r="AI38" s="775"/>
      <c r="AJ38" s="776"/>
    </row>
    <row r="39" spans="1:36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6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41"/>
      <c r="Z40" s="742"/>
      <c r="AA40" s="742"/>
      <c r="AB40" s="742"/>
      <c r="AC40" s="743"/>
      <c r="AD40" s="744"/>
      <c r="AE40" s="745"/>
      <c r="AF40" s="745"/>
      <c r="AG40" s="745"/>
      <c r="AH40" s="745"/>
      <c r="AI40" s="745"/>
      <c r="AJ40" s="746"/>
    </row>
    <row r="41" spans="1:36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6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6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6" ht="14.45" customHeight="1">
      <c r="A44" s="722" t="s">
        <v>8</v>
      </c>
      <c r="B44" s="723"/>
      <c r="C44" s="724" t="s">
        <v>11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14"/>
      <c r="Z44" s="811"/>
      <c r="AA44" s="811"/>
      <c r="AB44" s="811"/>
      <c r="AC44" s="812"/>
      <c r="AD44" s="744"/>
      <c r="AE44" s="745"/>
      <c r="AF44" s="745"/>
      <c r="AG44" s="745"/>
      <c r="AH44" s="745"/>
      <c r="AI44" s="745"/>
      <c r="AJ44" s="746"/>
    </row>
    <row r="45" spans="1:36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1103</v>
      </c>
      <c r="AE45" s="692"/>
      <c r="AF45" s="692"/>
      <c r="AG45" s="692"/>
      <c r="AH45" s="692"/>
      <c r="AI45" s="692"/>
      <c r="AJ45" s="693"/>
    </row>
    <row r="46" spans="1:36" ht="14.45" customHeight="1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2"/>
      <c r="Z46" s="122"/>
      <c r="AA46" s="122"/>
      <c r="AB46" s="122"/>
      <c r="AC46" s="122"/>
      <c r="AD46" s="61"/>
      <c r="AE46" s="61"/>
      <c r="AF46" s="61"/>
      <c r="AG46" s="61"/>
      <c r="AH46" s="61"/>
      <c r="AI46" s="61"/>
      <c r="AJ46" s="61"/>
    </row>
    <row r="47" spans="1:36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6" ht="14.45" customHeight="1">
      <c r="A48" s="813" t="s">
        <v>280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91.916666666666657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30.638888888888886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122.55555555555554</v>
      </c>
      <c r="AE52" s="692"/>
      <c r="AF52" s="692"/>
      <c r="AG52" s="692"/>
      <c r="AH52" s="692"/>
      <c r="AI52" s="692"/>
      <c r="AJ52" s="693"/>
    </row>
    <row r="53" spans="1:36" ht="14.45" customHeight="1">
      <c r="A53" s="121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2"/>
      <c r="Z53" s="122"/>
      <c r="AA53" s="122"/>
      <c r="AB53" s="122"/>
      <c r="AC53" s="122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245.11111111111114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30.638888888888893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36.766666666666666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18.383333333333333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12.255555555555556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7.3533333333333344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2.4511111111111115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98.044444444444451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451.00444444444452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109.82000000000001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454.82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122.55555555555554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451.00444444444452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454.82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1028.3800000000001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4.5958333333333332</v>
      </c>
      <c r="AE85" s="775"/>
      <c r="AF85" s="775"/>
      <c r="AG85" s="775"/>
      <c r="AH85" s="775"/>
      <c r="AI85" s="775"/>
      <c r="AJ85" s="776"/>
      <c r="AL85" s="116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0.36766666666666664</v>
      </c>
      <c r="AE86" s="775"/>
      <c r="AF86" s="775"/>
      <c r="AG86" s="775"/>
      <c r="AH86" s="775"/>
      <c r="AI86" s="775"/>
      <c r="AJ86" s="776"/>
      <c r="AL86" s="116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40.05115555555556</v>
      </c>
      <c r="AE87" s="775"/>
      <c r="AF87" s="775"/>
      <c r="AG87" s="775"/>
      <c r="AH87" s="775"/>
      <c r="AI87" s="775"/>
      <c r="AJ87" s="776"/>
      <c r="AL87" s="116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41.4435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7.8925777777777792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0.68631111111111132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95.037044444444447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91.916666666666657</v>
      </c>
      <c r="AE96" s="775"/>
      <c r="AF96" s="775"/>
      <c r="AG96" s="775"/>
      <c r="AH96" s="775"/>
      <c r="AI96" s="775"/>
      <c r="AJ96" s="776"/>
      <c r="AK96" s="130"/>
      <c r="AL96" s="117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15.3317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0.22060000000000002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3.0884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1.4339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0.77210000000000001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21.647396296296296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41.49691893333334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175.90768189629631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7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7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7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175.90768189629631</v>
      </c>
      <c r="AE115" s="775"/>
      <c r="AF115" s="775"/>
      <c r="AG115" s="775"/>
      <c r="AH115" s="775"/>
      <c r="AI115" s="775"/>
      <c r="AJ115" s="776"/>
    </row>
    <row r="116" spans="1:37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7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175.90768189629631</v>
      </c>
      <c r="AE117" s="692"/>
      <c r="AF117" s="692"/>
      <c r="AG117" s="692"/>
      <c r="AH117" s="692"/>
      <c r="AI117" s="692"/>
      <c r="AJ117" s="693"/>
    </row>
    <row r="118" spans="1:37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7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7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7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'Fardamentos e EPI´s - Copeira'!H14</f>
        <v>51.208333333333329</v>
      </c>
      <c r="AE121" s="772"/>
      <c r="AF121" s="772"/>
      <c r="AG121" s="772"/>
      <c r="AH121" s="772"/>
      <c r="AI121" s="772"/>
      <c r="AJ121" s="773"/>
    </row>
    <row r="122" spans="1:37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7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/>
      <c r="AE123" s="772"/>
      <c r="AF123" s="772"/>
      <c r="AG123" s="772"/>
      <c r="AH123" s="772"/>
      <c r="AI123" s="772"/>
      <c r="AJ123" s="773"/>
    </row>
    <row r="124" spans="1:37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51.208333333333329</v>
      </c>
      <c r="AE124" s="692"/>
      <c r="AF124" s="692"/>
      <c r="AG124" s="692"/>
      <c r="AH124" s="692"/>
      <c r="AI124" s="692"/>
      <c r="AJ124" s="693"/>
    </row>
    <row r="125" spans="1:37" ht="14.45" customHeight="1"/>
    <row r="126" spans="1:37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7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7" ht="14.45" customHeight="1">
      <c r="A128" s="736" t="s">
        <v>0</v>
      </c>
      <c r="B128" s="737"/>
      <c r="C128" s="757" t="s">
        <v>328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73.60599179022222</v>
      </c>
      <c r="AE128" s="745"/>
      <c r="AF128" s="745"/>
      <c r="AG128" s="745"/>
      <c r="AH128" s="745"/>
      <c r="AI128" s="745"/>
      <c r="AJ128" s="746"/>
      <c r="AK128" s="130"/>
    </row>
    <row r="129" spans="1:37" ht="14.45" customHeight="1">
      <c r="A129" s="736" t="s">
        <v>1</v>
      </c>
      <c r="B129" s="737"/>
      <c r="C129" s="757" t="s">
        <v>327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166.59489475186965</v>
      </c>
      <c r="AE129" s="745"/>
      <c r="AF129" s="745"/>
      <c r="AG129" s="745"/>
      <c r="AH129" s="745"/>
      <c r="AI129" s="745"/>
      <c r="AJ129" s="746"/>
      <c r="AK129" s="130"/>
    </row>
    <row r="130" spans="1:37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</row>
    <row r="131" spans="1:37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7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88.464169005457009</v>
      </c>
      <c r="AE132" s="745"/>
      <c r="AF132" s="745"/>
      <c r="AG132" s="745"/>
      <c r="AH132" s="745"/>
      <c r="AI132" s="745"/>
      <c r="AJ132" s="746"/>
      <c r="AK132" s="130"/>
    </row>
    <row r="133" spans="1:37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19.167236617849017</v>
      </c>
      <c r="AE133" s="745"/>
      <c r="AF133" s="745"/>
      <c r="AG133" s="745"/>
      <c r="AH133" s="745"/>
      <c r="AI133" s="745"/>
      <c r="AJ133" s="746"/>
      <c r="AK133" s="134"/>
    </row>
    <row r="134" spans="1:37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147.4402816757617</v>
      </c>
      <c r="AE134" s="745"/>
      <c r="AF134" s="745"/>
      <c r="AG134" s="745"/>
      <c r="AH134" s="745"/>
      <c r="AI134" s="745"/>
      <c r="AJ134" s="746"/>
      <c r="AK134" s="130"/>
    </row>
    <row r="135" spans="1:37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495.27257384115961</v>
      </c>
      <c r="AE135" s="747"/>
      <c r="AF135" s="747"/>
      <c r="AG135" s="747"/>
      <c r="AH135" s="747"/>
      <c r="AI135" s="747"/>
      <c r="AJ135" s="747"/>
      <c r="AK135" s="130"/>
    </row>
    <row r="136" spans="1:37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7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7" ht="14.4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0"/>
    </row>
    <row r="139" spans="1:37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7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1103</v>
      </c>
      <c r="AE140" s="720"/>
      <c r="AF140" s="720"/>
      <c r="AG140" s="720"/>
      <c r="AH140" s="720"/>
      <c r="AI140" s="720"/>
      <c r="AJ140" s="721"/>
      <c r="AK140" s="130"/>
    </row>
    <row r="141" spans="1:37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1028.3800000000001</v>
      </c>
      <c r="AE141" s="720"/>
      <c r="AF141" s="720"/>
      <c r="AG141" s="720"/>
      <c r="AH141" s="720"/>
      <c r="AI141" s="720"/>
      <c r="AJ141" s="721"/>
      <c r="AK141" s="130"/>
    </row>
    <row r="142" spans="1:37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95.037044444444447</v>
      </c>
      <c r="AE142" s="720"/>
      <c r="AF142" s="720"/>
      <c r="AG142" s="720"/>
      <c r="AH142" s="720"/>
      <c r="AI142" s="720"/>
      <c r="AJ142" s="721"/>
      <c r="AK142" s="130"/>
    </row>
    <row r="143" spans="1:37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175.90768189629631</v>
      </c>
      <c r="AE143" s="720"/>
      <c r="AF143" s="720"/>
      <c r="AG143" s="720"/>
      <c r="AH143" s="720"/>
      <c r="AI143" s="720"/>
      <c r="AJ143" s="721"/>
      <c r="AK143" s="130"/>
    </row>
    <row r="144" spans="1:37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51.208333333333329</v>
      </c>
      <c r="AE144" s="720"/>
      <c r="AF144" s="720"/>
      <c r="AG144" s="720"/>
      <c r="AH144" s="720"/>
      <c r="AI144" s="720"/>
      <c r="AJ144" s="721"/>
      <c r="AK144" s="130"/>
    </row>
    <row r="145" spans="1:38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2453.5330596740741</v>
      </c>
      <c r="AE145" s="720"/>
      <c r="AF145" s="720"/>
      <c r="AG145" s="720"/>
      <c r="AH145" s="720"/>
      <c r="AI145" s="720"/>
      <c r="AJ145" s="721"/>
      <c r="AK145" s="130"/>
      <c r="AL145" s="117"/>
    </row>
    <row r="146" spans="1:38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495.27257384115961</v>
      </c>
      <c r="AE146" s="720"/>
      <c r="AF146" s="720"/>
      <c r="AG146" s="720"/>
      <c r="AH146" s="720"/>
      <c r="AI146" s="720"/>
      <c r="AJ146" s="721"/>
      <c r="AK146" s="130"/>
      <c r="AL146" s="117"/>
    </row>
    <row r="147" spans="1:38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2948.8056335152337</v>
      </c>
      <c r="AE147" s="692"/>
      <c r="AF147" s="692"/>
      <c r="AG147" s="692"/>
      <c r="AH147" s="692"/>
      <c r="AI147" s="692"/>
      <c r="AJ147" s="693"/>
      <c r="AK147" s="130"/>
    </row>
    <row r="148" spans="1:38" ht="14.45" customHeight="1"/>
    <row r="149" spans="1:38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8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8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8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8" ht="34.15" customHeight="1">
      <c r="A153" s="701" t="str">
        <f>A24</f>
        <v>SERVIÇO DE COPEIRAGEM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2948.8056335152337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2948.8056335152337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2948.8056335152337</v>
      </c>
      <c r="AF153" s="714"/>
      <c r="AG153" s="714"/>
      <c r="AH153" s="714"/>
      <c r="AI153" s="714"/>
      <c r="AJ153" s="715"/>
    </row>
    <row r="154" spans="1:38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2948.81</v>
      </c>
      <c r="AF154" s="686"/>
      <c r="AG154" s="686"/>
      <c r="AH154" s="686"/>
      <c r="AI154" s="686"/>
      <c r="AJ154" s="686"/>
    </row>
    <row r="155" spans="1:38" ht="14.45" customHeight="1"/>
    <row r="156" spans="1:38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8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8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8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2948.81</v>
      </c>
      <c r="AE159" s="700"/>
      <c r="AF159" s="700"/>
      <c r="AG159" s="700"/>
      <c r="AH159" s="700"/>
      <c r="AI159" s="700"/>
      <c r="AJ159" s="700"/>
    </row>
    <row r="160" spans="1:38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106157.16</v>
      </c>
      <c r="AE160" s="684"/>
      <c r="AF160" s="684"/>
      <c r="AG160" s="684"/>
      <c r="AH160" s="684"/>
      <c r="AI160" s="684"/>
      <c r="AJ160" s="684"/>
    </row>
  </sheetData>
  <mergeCells count="392">
    <mergeCell ref="A106:X106"/>
    <mergeCell ref="Y106:AC106"/>
    <mergeCell ref="AD106:AJ106"/>
    <mergeCell ref="A104:AC104"/>
    <mergeCell ref="AD104:AJ104"/>
    <mergeCell ref="A105:B105"/>
    <mergeCell ref="C105:X105"/>
    <mergeCell ref="Y105:AC105"/>
    <mergeCell ref="AD105:AJ105"/>
    <mergeCell ref="A102:X102"/>
    <mergeCell ref="Y102:AC102"/>
    <mergeCell ref="AD102:AJ102"/>
    <mergeCell ref="A103:B103"/>
    <mergeCell ref="C103:X103"/>
    <mergeCell ref="Y103:AC103"/>
    <mergeCell ref="AD103:AJ103"/>
    <mergeCell ref="A100:B100"/>
    <mergeCell ref="C100:X100"/>
    <mergeCell ref="Y100:AC100"/>
    <mergeCell ref="AD100:AJ100"/>
    <mergeCell ref="A101:B101"/>
    <mergeCell ref="C101:X101"/>
    <mergeCell ref="Y101:AC101"/>
    <mergeCell ref="AD101:AJ101"/>
    <mergeCell ref="A98:B98"/>
    <mergeCell ref="C98:X98"/>
    <mergeCell ref="Y98:AC98"/>
    <mergeCell ref="AD98:AJ98"/>
    <mergeCell ref="A99:B99"/>
    <mergeCell ref="C99:X99"/>
    <mergeCell ref="Y99:AC99"/>
    <mergeCell ref="AD99:AJ99"/>
    <mergeCell ref="A96:B96"/>
    <mergeCell ref="C96:X96"/>
    <mergeCell ref="Y96:AC96"/>
    <mergeCell ref="AD96:AJ96"/>
    <mergeCell ref="A97:B97"/>
    <mergeCell ref="C97:X97"/>
    <mergeCell ref="Y97:AC97"/>
    <mergeCell ref="AD97:AJ97"/>
    <mergeCell ref="A93:AJ93"/>
    <mergeCell ref="A94:AJ94"/>
    <mergeCell ref="A95:B95"/>
    <mergeCell ref="C95:X95"/>
    <mergeCell ref="Y95:AC95"/>
    <mergeCell ref="AD95:AJ95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Y84:AC84"/>
    <mergeCell ref="AD84:AJ84"/>
    <mergeCell ref="A85:B85"/>
    <mergeCell ref="C85:X85"/>
    <mergeCell ref="Y85:AC85"/>
    <mergeCell ref="AD85:AJ85"/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  <mergeCell ref="AD159:AJ159"/>
    <mergeCell ref="A153:L153"/>
    <mergeCell ref="M153:Q153"/>
    <mergeCell ref="R153:V153"/>
    <mergeCell ref="W153:AA153"/>
    <mergeCell ref="AB153:AD153"/>
    <mergeCell ref="AE153:AJ153"/>
    <mergeCell ref="A152:L152"/>
    <mergeCell ref="M152:Q152"/>
    <mergeCell ref="R152:V152"/>
    <mergeCell ref="W152:AA152"/>
    <mergeCell ref="AB152:AD152"/>
    <mergeCell ref="AE152:AJ15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A145:AC145"/>
    <mergeCell ref="AD145:AJ145"/>
    <mergeCell ref="A146:B146"/>
    <mergeCell ref="C146:AC146"/>
    <mergeCell ref="AD146:AJ146"/>
    <mergeCell ref="A147:AC147"/>
    <mergeCell ref="AD147:AJ147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37:AJ137"/>
    <mergeCell ref="A139:AC139"/>
    <mergeCell ref="AD139:AJ139"/>
    <mergeCell ref="A140:B140"/>
    <mergeCell ref="C140:AC140"/>
    <mergeCell ref="AD140:AJ140"/>
    <mergeCell ref="A134:B134"/>
    <mergeCell ref="C134:X134"/>
    <mergeCell ref="Y134:AC134"/>
    <mergeCell ref="AD134:AJ134"/>
    <mergeCell ref="A135:AC135"/>
    <mergeCell ref="AD135:AJ135"/>
    <mergeCell ref="A132:B132"/>
    <mergeCell ref="C132:X132"/>
    <mergeCell ref="Y132:AC132"/>
    <mergeCell ref="AD132:AJ132"/>
    <mergeCell ref="A133:B133"/>
    <mergeCell ref="C133:X133"/>
    <mergeCell ref="Y133:AC133"/>
    <mergeCell ref="AD133:AJ133"/>
    <mergeCell ref="A129:B129"/>
    <mergeCell ref="C129:X129"/>
    <mergeCell ref="Y129:AC129"/>
    <mergeCell ref="AD129:AJ129"/>
    <mergeCell ref="Y130:AC130"/>
    <mergeCell ref="A131:B131"/>
    <mergeCell ref="C131:X131"/>
    <mergeCell ref="Y131:AC131"/>
    <mergeCell ref="A127:B127"/>
    <mergeCell ref="C127:X127"/>
    <mergeCell ref="Y127:AC127"/>
    <mergeCell ref="AD127:AJ127"/>
    <mergeCell ref="A128:B128"/>
    <mergeCell ref="C128:X128"/>
    <mergeCell ref="Y128:AC128"/>
    <mergeCell ref="AD128:AJ128"/>
    <mergeCell ref="A124:AC124"/>
    <mergeCell ref="AD124:AJ124"/>
    <mergeCell ref="A126:AJ126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10:B110"/>
    <mergeCell ref="C110:AC110"/>
    <mergeCell ref="AD110:AJ110"/>
    <mergeCell ref="A111:AC111"/>
    <mergeCell ref="AD111:AJ111"/>
    <mergeCell ref="A112:AJ112"/>
    <mergeCell ref="A107:AJ107"/>
    <mergeCell ref="A108:AJ108"/>
    <mergeCell ref="A109:B109"/>
    <mergeCell ref="C109:X109"/>
    <mergeCell ref="Y109:AC109"/>
    <mergeCell ref="AD109:AJ109"/>
    <mergeCell ref="A92:AJ92"/>
    <mergeCell ref="A80:B80"/>
    <mergeCell ref="C80:AC80"/>
    <mergeCell ref="AD80:AJ80"/>
    <mergeCell ref="A81:AC81"/>
    <mergeCell ref="AD81:AJ81"/>
    <mergeCell ref="A82:AJ82"/>
    <mergeCell ref="A83:AJ83"/>
    <mergeCell ref="A84:B84"/>
    <mergeCell ref="C84:X84"/>
    <mergeCell ref="A78:B78"/>
    <mergeCell ref="C78:AC78"/>
    <mergeCell ref="AD78:AJ78"/>
    <mergeCell ref="A79:B79"/>
    <mergeCell ref="C79:AC79"/>
    <mergeCell ref="AD79:AJ79"/>
    <mergeCell ref="A74:AC74"/>
    <mergeCell ref="AD74:AJ74"/>
    <mergeCell ref="A75:AJ75"/>
    <mergeCell ref="A76:AJ76"/>
    <mergeCell ref="A77:B77"/>
    <mergeCell ref="C77:AC77"/>
    <mergeCell ref="AD77:AJ7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AQ160"/>
  <sheetViews>
    <sheetView showGridLines="0" topLeftCell="A70" zoomScale="115" zoomScaleNormal="115" zoomScaleSheetLayoutView="120" workbookViewId="0">
      <selection activeCell="C80" sqref="C80:AC80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6" width="3.85546875" style="34" customWidth="1"/>
    <col min="37" max="37" width="2.42578125" style="34" customWidth="1"/>
    <col min="38" max="38" width="13" style="34" customWidth="1"/>
    <col min="39" max="42" width="2.42578125" style="34"/>
    <col min="43" max="43" width="3.5703125" style="34" customWidth="1"/>
    <col min="44" max="16384" width="2.42578125" style="34"/>
  </cols>
  <sheetData>
    <row r="1" spans="1:36" ht="15" customHeight="1">
      <c r="A1" s="854"/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  <c r="AI1" s="854"/>
      <c r="AJ1" s="854"/>
    </row>
    <row r="2" spans="1:36" ht="15" customHeight="1">
      <c r="A2" s="855" t="s">
        <v>26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  <c r="S2" s="855"/>
      <c r="T2" s="855"/>
      <c r="U2" s="855"/>
      <c r="V2" s="855"/>
      <c r="W2" s="855"/>
      <c r="X2" s="855"/>
      <c r="Y2" s="855"/>
      <c r="Z2" s="855"/>
      <c r="AA2" s="855"/>
      <c r="AB2" s="855"/>
      <c r="AC2" s="855"/>
      <c r="AD2" s="855"/>
      <c r="AE2" s="855"/>
      <c r="AF2" s="855"/>
      <c r="AG2" s="855"/>
      <c r="AH2" s="855"/>
      <c r="AI2" s="855"/>
      <c r="AJ2" s="855"/>
    </row>
    <row r="3" spans="1:36" ht="15" customHeight="1">
      <c r="A3" s="855" t="s">
        <v>27</v>
      </c>
      <c r="B3" s="855"/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  <c r="AB3" s="855"/>
      <c r="AC3" s="855"/>
      <c r="AD3" s="855"/>
      <c r="AE3" s="855"/>
      <c r="AF3" s="855"/>
      <c r="AG3" s="855"/>
      <c r="AH3" s="855"/>
      <c r="AI3" s="855"/>
      <c r="AJ3" s="855"/>
    </row>
    <row r="4" spans="1:36" ht="15" customHeight="1">
      <c r="A4" s="855" t="s">
        <v>329</v>
      </c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B4" s="855"/>
      <c r="AC4" s="855"/>
      <c r="AD4" s="855"/>
      <c r="AE4" s="855"/>
      <c r="AF4" s="855"/>
      <c r="AG4" s="855"/>
      <c r="AH4" s="855"/>
      <c r="AI4" s="855"/>
      <c r="AJ4" s="855"/>
    </row>
    <row r="5" spans="1:36" ht="15" customHeight="1">
      <c r="A5" s="854"/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854"/>
      <c r="W5" s="854"/>
      <c r="X5" s="854"/>
      <c r="Y5" s="854"/>
      <c r="Z5" s="854"/>
      <c r="AA5" s="854"/>
      <c r="AB5" s="854"/>
      <c r="AC5" s="854"/>
      <c r="AD5" s="854"/>
      <c r="AE5" s="854"/>
      <c r="AF5" s="854"/>
      <c r="AG5" s="854"/>
      <c r="AH5" s="854"/>
      <c r="AI5" s="854"/>
      <c r="AJ5" s="854"/>
    </row>
    <row r="6" spans="1:36" ht="15" customHeight="1">
      <c r="A6" s="854"/>
      <c r="B6" s="854"/>
      <c r="C6" s="854"/>
      <c r="D6" s="854"/>
      <c r="E6" s="854"/>
      <c r="F6" s="854"/>
      <c r="G6" s="854"/>
      <c r="H6" s="854"/>
      <c r="I6" s="854"/>
      <c r="J6" s="854"/>
      <c r="K6" s="854"/>
      <c r="L6" s="854"/>
      <c r="M6" s="854"/>
      <c r="N6" s="854"/>
      <c r="O6" s="854"/>
      <c r="P6" s="854"/>
      <c r="Q6" s="854"/>
      <c r="R6" s="854"/>
      <c r="S6" s="854"/>
      <c r="T6" s="854"/>
      <c r="U6" s="854"/>
      <c r="V6" s="854"/>
      <c r="W6" s="854"/>
      <c r="X6" s="854"/>
      <c r="Y6" s="854"/>
      <c r="Z6" s="854"/>
      <c r="AA6" s="854"/>
      <c r="AB6" s="854"/>
      <c r="AC6" s="854"/>
      <c r="AD6" s="854"/>
      <c r="AE6" s="854"/>
      <c r="AF6" s="854"/>
      <c r="AG6" s="854"/>
      <c r="AH6" s="854"/>
      <c r="AI6" s="854"/>
      <c r="AJ6" s="854"/>
    </row>
    <row r="7" spans="1:36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</row>
    <row r="8" spans="1:36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</row>
    <row r="9" spans="1:36" s="35" customFormat="1" ht="14.45" customHeight="1">
      <c r="A9" s="856" t="s">
        <v>368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</row>
    <row r="10" spans="1:36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</row>
    <row r="11" spans="1:36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</row>
    <row r="12" spans="1:36" s="35" customFormat="1" ht="14.45" customHeight="1">
      <c r="A12" s="860" t="s">
        <v>144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  <c r="R12" s="861"/>
      <c r="S12" s="861"/>
      <c r="T12" s="861"/>
      <c r="U12" s="861"/>
      <c r="V12" s="861"/>
      <c r="W12" s="861"/>
      <c r="X12" s="861"/>
      <c r="Y12" s="861"/>
      <c r="Z12" s="861"/>
      <c r="AA12" s="861"/>
      <c r="AB12" s="861"/>
      <c r="AC12" s="861"/>
      <c r="AD12" s="861"/>
      <c r="AE12" s="861"/>
      <c r="AF12" s="861"/>
      <c r="AG12" s="861"/>
      <c r="AH12" s="861"/>
      <c r="AI12" s="861"/>
      <c r="AJ12" s="862"/>
    </row>
    <row r="13" spans="1:36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</row>
    <row r="14" spans="1:36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</row>
    <row r="15" spans="1:36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</row>
    <row r="16" spans="1:36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</row>
    <row r="17" spans="1:36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</row>
    <row r="18" spans="1:36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</row>
    <row r="19" spans="1:36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</row>
    <row r="20" spans="1:36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</row>
    <row r="21" spans="1:36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</row>
    <row r="22" spans="1:36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335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</row>
    <row r="23" spans="1:36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</row>
    <row r="24" spans="1:36" s="35" customFormat="1" ht="14.45" customHeight="1">
      <c r="A24" s="832" t="s">
        <v>369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</row>
    <row r="25" spans="1:36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</row>
    <row r="26" spans="1:36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</row>
    <row r="27" spans="1:36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</row>
    <row r="29" spans="1:36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</row>
    <row r="30" spans="1:36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819" t="s">
        <v>219</v>
      </c>
      <c r="AE30" s="819"/>
      <c r="AF30" s="819"/>
      <c r="AG30" s="819"/>
      <c r="AH30" s="819"/>
      <c r="AI30" s="819"/>
      <c r="AJ30" s="819"/>
    </row>
    <row r="31" spans="1:36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819" t="s">
        <v>222</v>
      </c>
      <c r="AE31" s="819"/>
      <c r="AF31" s="819"/>
      <c r="AG31" s="819"/>
      <c r="AH31" s="819"/>
      <c r="AI31" s="819"/>
      <c r="AJ31" s="819"/>
    </row>
    <row r="32" spans="1:36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f>'Copeiragem JPA'!AD32</f>
        <v>1103</v>
      </c>
      <c r="AE32" s="820"/>
      <c r="AF32" s="820"/>
      <c r="AG32" s="820"/>
      <c r="AH32" s="820"/>
      <c r="AI32" s="820"/>
      <c r="AJ32" s="820"/>
    </row>
    <row r="33" spans="1:36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19" t="s">
        <v>219</v>
      </c>
      <c r="AE33" s="819"/>
      <c r="AF33" s="819"/>
      <c r="AG33" s="819"/>
      <c r="AH33" s="819"/>
      <c r="AI33" s="819"/>
      <c r="AJ33" s="819"/>
    </row>
    <row r="34" spans="1:36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</row>
    <row r="35" spans="1:36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6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</row>
    <row r="38" spans="1:36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1103</v>
      </c>
      <c r="AE38" s="775"/>
      <c r="AF38" s="775"/>
      <c r="AG38" s="775"/>
      <c r="AH38" s="775"/>
      <c r="AI38" s="775"/>
      <c r="AJ38" s="776"/>
    </row>
    <row r="39" spans="1:36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6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41"/>
      <c r="Z40" s="742"/>
      <c r="AA40" s="742"/>
      <c r="AB40" s="742"/>
      <c r="AC40" s="743"/>
      <c r="AD40" s="744"/>
      <c r="AE40" s="745"/>
      <c r="AF40" s="745"/>
      <c r="AG40" s="745"/>
      <c r="AH40" s="745"/>
      <c r="AI40" s="745"/>
      <c r="AJ40" s="746"/>
    </row>
    <row r="41" spans="1:36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6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6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6" ht="14.45" customHeight="1">
      <c r="A44" s="722" t="s">
        <v>8</v>
      </c>
      <c r="B44" s="723"/>
      <c r="C44" s="724" t="s">
        <v>11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14"/>
      <c r="Z44" s="811"/>
      <c r="AA44" s="811"/>
      <c r="AB44" s="811"/>
      <c r="AC44" s="812"/>
      <c r="AD44" s="744"/>
      <c r="AE44" s="745"/>
      <c r="AF44" s="745"/>
      <c r="AG44" s="745"/>
      <c r="AH44" s="745"/>
      <c r="AI44" s="745"/>
      <c r="AJ44" s="746"/>
    </row>
    <row r="45" spans="1:36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1103</v>
      </c>
      <c r="AE45" s="692"/>
      <c r="AF45" s="692"/>
      <c r="AG45" s="692"/>
      <c r="AH45" s="692"/>
      <c r="AI45" s="692"/>
      <c r="AJ45" s="693"/>
    </row>
    <row r="46" spans="1:36" ht="14.45" customHeight="1">
      <c r="A46" s="123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4"/>
      <c r="Z46" s="124"/>
      <c r="AA46" s="124"/>
      <c r="AB46" s="124"/>
      <c r="AC46" s="124"/>
      <c r="AD46" s="61"/>
      <c r="AE46" s="61"/>
      <c r="AF46" s="61"/>
      <c r="AG46" s="61"/>
      <c r="AH46" s="61"/>
      <c r="AI46" s="61"/>
      <c r="AJ46" s="61"/>
    </row>
    <row r="47" spans="1:36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6" ht="14.45" customHeight="1">
      <c r="A48" s="813" t="s">
        <v>280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91.916666666666657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30.638888888888886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122.55555555555554</v>
      </c>
      <c r="AE52" s="692"/>
      <c r="AF52" s="692"/>
      <c r="AG52" s="692"/>
      <c r="AH52" s="692"/>
      <c r="AI52" s="692"/>
      <c r="AJ52" s="693"/>
    </row>
    <row r="53" spans="1:36" ht="14.45" customHeight="1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4"/>
      <c r="Z53" s="124"/>
      <c r="AA53" s="124"/>
      <c r="AB53" s="124"/>
      <c r="AC53" s="124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245.11111111111114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30.638888888888893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36.766666666666666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18.383333333333333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12.255555555555556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7.3533333333333344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2.4511111111111115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98.044444444444451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451.00444444444452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109.82000000000001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454.82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122.55555555555554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451.00444444444452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454.82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1028.3800000000001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4.5958333333333332</v>
      </c>
      <c r="AE85" s="775"/>
      <c r="AF85" s="775"/>
      <c r="AG85" s="775"/>
      <c r="AH85" s="775"/>
      <c r="AI85" s="775"/>
      <c r="AJ85" s="776"/>
      <c r="AL85" s="116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0.36766666666666664</v>
      </c>
      <c r="AE86" s="775"/>
      <c r="AF86" s="775"/>
      <c r="AG86" s="775"/>
      <c r="AH86" s="775"/>
      <c r="AI86" s="775"/>
      <c r="AJ86" s="776"/>
      <c r="AL86" s="116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40.05115555555556</v>
      </c>
      <c r="AE87" s="775"/>
      <c r="AF87" s="775"/>
      <c r="AG87" s="775"/>
      <c r="AH87" s="775"/>
      <c r="AI87" s="775"/>
      <c r="AJ87" s="776"/>
      <c r="AL87" s="116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41.4435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7.8925777777777792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0.68631111111111132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95.037044444444447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91.916666666666657</v>
      </c>
      <c r="AE96" s="775"/>
      <c r="AF96" s="775"/>
      <c r="AG96" s="775"/>
      <c r="AH96" s="775"/>
      <c r="AI96" s="775"/>
      <c r="AJ96" s="776"/>
      <c r="AK96" s="130"/>
      <c r="AL96" s="117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15.3317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0.22060000000000002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3.0884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1.4339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0.77210000000000001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21.647396296296296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41.49691893333334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175.90768189629631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7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7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7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175.90768189629631</v>
      </c>
      <c r="AE115" s="775"/>
      <c r="AF115" s="775"/>
      <c r="AG115" s="775"/>
      <c r="AH115" s="775"/>
      <c r="AI115" s="775"/>
      <c r="AJ115" s="776"/>
    </row>
    <row r="116" spans="1:37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7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175.90768189629631</v>
      </c>
      <c r="AE117" s="692"/>
      <c r="AF117" s="692"/>
      <c r="AG117" s="692"/>
      <c r="AH117" s="692"/>
      <c r="AI117" s="692"/>
      <c r="AJ117" s="693"/>
    </row>
    <row r="118" spans="1:37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7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7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7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'Fardamentos e EPI´s - Copeira'!H14</f>
        <v>51.208333333333329</v>
      </c>
      <c r="AE121" s="772"/>
      <c r="AF121" s="772"/>
      <c r="AG121" s="772"/>
      <c r="AH121" s="772"/>
      <c r="AI121" s="772"/>
      <c r="AJ121" s="773"/>
    </row>
    <row r="122" spans="1:37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7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/>
      <c r="AE123" s="772"/>
      <c r="AF123" s="772"/>
      <c r="AG123" s="772"/>
      <c r="AH123" s="772"/>
      <c r="AI123" s="772"/>
      <c r="AJ123" s="773"/>
    </row>
    <row r="124" spans="1:37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51.208333333333329</v>
      </c>
      <c r="AE124" s="692"/>
      <c r="AF124" s="692"/>
      <c r="AG124" s="692"/>
      <c r="AH124" s="692"/>
      <c r="AI124" s="692"/>
      <c r="AJ124" s="693"/>
    </row>
    <row r="125" spans="1:37" ht="14.45" customHeight="1"/>
    <row r="126" spans="1:37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7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7" ht="14.45" customHeight="1">
      <c r="A128" s="736" t="s">
        <v>0</v>
      </c>
      <c r="B128" s="737"/>
      <c r="C128" s="757" t="s">
        <v>328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73.60599179022222</v>
      </c>
      <c r="AE128" s="745"/>
      <c r="AF128" s="745"/>
      <c r="AG128" s="745"/>
      <c r="AH128" s="745"/>
      <c r="AI128" s="745"/>
      <c r="AJ128" s="746"/>
      <c r="AK128" s="130"/>
    </row>
    <row r="129" spans="1:37" ht="14.45" customHeight="1">
      <c r="A129" s="736" t="s">
        <v>1</v>
      </c>
      <c r="B129" s="737"/>
      <c r="C129" s="757" t="s">
        <v>327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166.59489475186965</v>
      </c>
      <c r="AE129" s="745"/>
      <c r="AF129" s="745"/>
      <c r="AG129" s="745"/>
      <c r="AH129" s="745"/>
      <c r="AI129" s="745"/>
      <c r="AJ129" s="746"/>
      <c r="AK129" s="130"/>
    </row>
    <row r="130" spans="1:37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</row>
    <row r="131" spans="1:37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7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88.464169005457009</v>
      </c>
      <c r="AE132" s="745"/>
      <c r="AF132" s="745"/>
      <c r="AG132" s="745"/>
      <c r="AH132" s="745"/>
      <c r="AI132" s="745"/>
      <c r="AJ132" s="746"/>
      <c r="AK132" s="130"/>
    </row>
    <row r="133" spans="1:37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19.167236617849017</v>
      </c>
      <c r="AE133" s="745"/>
      <c r="AF133" s="745"/>
      <c r="AG133" s="745"/>
      <c r="AH133" s="745"/>
      <c r="AI133" s="745"/>
      <c r="AJ133" s="746"/>
      <c r="AK133" s="134"/>
    </row>
    <row r="134" spans="1:37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147.4402816757617</v>
      </c>
      <c r="AE134" s="745"/>
      <c r="AF134" s="745"/>
      <c r="AG134" s="745"/>
      <c r="AH134" s="745"/>
      <c r="AI134" s="745"/>
      <c r="AJ134" s="746"/>
      <c r="AK134" s="130"/>
    </row>
    <row r="135" spans="1:37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495.27257384115961</v>
      </c>
      <c r="AE135" s="747"/>
      <c r="AF135" s="747"/>
      <c r="AG135" s="747"/>
      <c r="AH135" s="747"/>
      <c r="AI135" s="747"/>
      <c r="AJ135" s="747"/>
      <c r="AK135" s="130"/>
    </row>
    <row r="136" spans="1:37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7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7" ht="14.4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0"/>
    </row>
    <row r="139" spans="1:37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7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1103</v>
      </c>
      <c r="AE140" s="720"/>
      <c r="AF140" s="720"/>
      <c r="AG140" s="720"/>
      <c r="AH140" s="720"/>
      <c r="AI140" s="720"/>
      <c r="AJ140" s="721"/>
      <c r="AK140" s="130"/>
    </row>
    <row r="141" spans="1:37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1028.3800000000001</v>
      </c>
      <c r="AE141" s="720"/>
      <c r="AF141" s="720"/>
      <c r="AG141" s="720"/>
      <c r="AH141" s="720"/>
      <c r="AI141" s="720"/>
      <c r="AJ141" s="721"/>
      <c r="AK141" s="130"/>
    </row>
    <row r="142" spans="1:37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95.037044444444447</v>
      </c>
      <c r="AE142" s="720"/>
      <c r="AF142" s="720"/>
      <c r="AG142" s="720"/>
      <c r="AH142" s="720"/>
      <c r="AI142" s="720"/>
      <c r="AJ142" s="721"/>
      <c r="AK142" s="130"/>
    </row>
    <row r="143" spans="1:37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175.90768189629631</v>
      </c>
      <c r="AE143" s="720"/>
      <c r="AF143" s="720"/>
      <c r="AG143" s="720"/>
      <c r="AH143" s="720"/>
      <c r="AI143" s="720"/>
      <c r="AJ143" s="721"/>
      <c r="AK143" s="130"/>
    </row>
    <row r="144" spans="1:37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51.208333333333329</v>
      </c>
      <c r="AE144" s="720"/>
      <c r="AF144" s="720"/>
      <c r="AG144" s="720"/>
      <c r="AH144" s="720"/>
      <c r="AI144" s="720"/>
      <c r="AJ144" s="721"/>
      <c r="AK144" s="130"/>
    </row>
    <row r="145" spans="1:38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2453.5330596740741</v>
      </c>
      <c r="AE145" s="720"/>
      <c r="AF145" s="720"/>
      <c r="AG145" s="720"/>
      <c r="AH145" s="720"/>
      <c r="AI145" s="720"/>
      <c r="AJ145" s="721"/>
      <c r="AK145" s="130"/>
      <c r="AL145" s="117"/>
    </row>
    <row r="146" spans="1:38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495.27257384115961</v>
      </c>
      <c r="AE146" s="720"/>
      <c r="AF146" s="720"/>
      <c r="AG146" s="720"/>
      <c r="AH146" s="720"/>
      <c r="AI146" s="720"/>
      <c r="AJ146" s="721"/>
      <c r="AK146" s="130"/>
      <c r="AL146" s="117"/>
    </row>
    <row r="147" spans="1:38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2948.8056335152337</v>
      </c>
      <c r="AE147" s="692"/>
      <c r="AF147" s="692"/>
      <c r="AG147" s="692"/>
      <c r="AH147" s="692"/>
      <c r="AI147" s="692"/>
      <c r="AJ147" s="693"/>
      <c r="AK147" s="130"/>
    </row>
    <row r="148" spans="1:38" ht="14.45" customHeight="1"/>
    <row r="149" spans="1:38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8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8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8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8" ht="34.15" customHeight="1">
      <c r="A153" s="701" t="str">
        <f>A24</f>
        <v>SERVIÇOS DE COPEIRAGEM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2948.8056335152337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2948.8056335152337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2948.8056335152337</v>
      </c>
      <c r="AF153" s="714"/>
      <c r="AG153" s="714"/>
      <c r="AH153" s="714"/>
      <c r="AI153" s="714"/>
      <c r="AJ153" s="715"/>
    </row>
    <row r="154" spans="1:38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2948.81</v>
      </c>
      <c r="AF154" s="686"/>
      <c r="AG154" s="686"/>
      <c r="AH154" s="686"/>
      <c r="AI154" s="686"/>
      <c r="AJ154" s="686"/>
    </row>
    <row r="155" spans="1:38" ht="14.45" customHeight="1"/>
    <row r="156" spans="1:38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8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8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8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2948.81</v>
      </c>
      <c r="AE159" s="700"/>
      <c r="AF159" s="700"/>
      <c r="AG159" s="700"/>
      <c r="AH159" s="700"/>
      <c r="AI159" s="700"/>
      <c r="AJ159" s="700"/>
    </row>
    <row r="160" spans="1:38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106157.16</v>
      </c>
      <c r="AE160" s="684"/>
      <c r="AF160" s="684"/>
      <c r="AG160" s="684"/>
      <c r="AH160" s="684"/>
      <c r="AI160" s="684"/>
      <c r="AJ160" s="684"/>
    </row>
  </sheetData>
  <mergeCells count="392">
    <mergeCell ref="A106:X106"/>
    <mergeCell ref="Y106:AC106"/>
    <mergeCell ref="AD106:AJ106"/>
    <mergeCell ref="A104:AC104"/>
    <mergeCell ref="AD104:AJ104"/>
    <mergeCell ref="A105:B105"/>
    <mergeCell ref="C105:X105"/>
    <mergeCell ref="Y105:AC105"/>
    <mergeCell ref="AD105:AJ105"/>
    <mergeCell ref="A102:X102"/>
    <mergeCell ref="Y102:AC102"/>
    <mergeCell ref="AD102:AJ102"/>
    <mergeCell ref="A103:B103"/>
    <mergeCell ref="C103:X103"/>
    <mergeCell ref="Y103:AC103"/>
    <mergeCell ref="AD103:AJ103"/>
    <mergeCell ref="A100:B100"/>
    <mergeCell ref="C100:X100"/>
    <mergeCell ref="Y100:AC100"/>
    <mergeCell ref="AD100:AJ100"/>
    <mergeCell ref="A101:B101"/>
    <mergeCell ref="C101:X101"/>
    <mergeCell ref="Y101:AC101"/>
    <mergeCell ref="AD101:AJ101"/>
    <mergeCell ref="A98:B98"/>
    <mergeCell ref="C98:X98"/>
    <mergeCell ref="Y98:AC98"/>
    <mergeCell ref="AD98:AJ98"/>
    <mergeCell ref="A99:B99"/>
    <mergeCell ref="C99:X99"/>
    <mergeCell ref="Y99:AC99"/>
    <mergeCell ref="AD99:AJ99"/>
    <mergeCell ref="A96:B96"/>
    <mergeCell ref="C96:X96"/>
    <mergeCell ref="Y96:AC96"/>
    <mergeCell ref="AD96:AJ96"/>
    <mergeCell ref="A97:B97"/>
    <mergeCell ref="C97:X97"/>
    <mergeCell ref="Y97:AC97"/>
    <mergeCell ref="AD97:AJ97"/>
    <mergeCell ref="A93:AJ93"/>
    <mergeCell ref="A94:AJ94"/>
    <mergeCell ref="A95:B95"/>
    <mergeCell ref="C95:X95"/>
    <mergeCell ref="Y95:AC95"/>
    <mergeCell ref="AD95:AJ95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Y84:AC84"/>
    <mergeCell ref="AD84:AJ84"/>
    <mergeCell ref="A85:B85"/>
    <mergeCell ref="C85:X85"/>
    <mergeCell ref="Y85:AC85"/>
    <mergeCell ref="AD85:AJ85"/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  <mergeCell ref="AD159:AJ159"/>
    <mergeCell ref="A153:L153"/>
    <mergeCell ref="M153:Q153"/>
    <mergeCell ref="R153:V153"/>
    <mergeCell ref="W153:AA153"/>
    <mergeCell ref="AB153:AD153"/>
    <mergeCell ref="AE153:AJ153"/>
    <mergeCell ref="A152:L152"/>
    <mergeCell ref="M152:Q152"/>
    <mergeCell ref="R152:V152"/>
    <mergeCell ref="W152:AA152"/>
    <mergeCell ref="AB152:AD152"/>
    <mergeCell ref="AE152:AJ15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A145:AC145"/>
    <mergeCell ref="AD145:AJ145"/>
    <mergeCell ref="A146:B146"/>
    <mergeCell ref="C146:AC146"/>
    <mergeCell ref="AD146:AJ146"/>
    <mergeCell ref="A147:AC147"/>
    <mergeCell ref="AD147:AJ147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37:AJ137"/>
    <mergeCell ref="A139:AC139"/>
    <mergeCell ref="AD139:AJ139"/>
    <mergeCell ref="A140:B140"/>
    <mergeCell ref="C140:AC140"/>
    <mergeCell ref="AD140:AJ140"/>
    <mergeCell ref="A134:B134"/>
    <mergeCell ref="C134:X134"/>
    <mergeCell ref="Y134:AC134"/>
    <mergeCell ref="AD134:AJ134"/>
    <mergeCell ref="A135:AC135"/>
    <mergeCell ref="AD135:AJ135"/>
    <mergeCell ref="A132:B132"/>
    <mergeCell ref="C132:X132"/>
    <mergeCell ref="Y132:AC132"/>
    <mergeCell ref="AD132:AJ132"/>
    <mergeCell ref="A133:B133"/>
    <mergeCell ref="C133:X133"/>
    <mergeCell ref="Y133:AC133"/>
    <mergeCell ref="AD133:AJ133"/>
    <mergeCell ref="A129:B129"/>
    <mergeCell ref="C129:X129"/>
    <mergeCell ref="Y129:AC129"/>
    <mergeCell ref="AD129:AJ129"/>
    <mergeCell ref="Y130:AC130"/>
    <mergeCell ref="A131:B131"/>
    <mergeCell ref="C131:X131"/>
    <mergeCell ref="Y131:AC131"/>
    <mergeCell ref="A127:B127"/>
    <mergeCell ref="C127:X127"/>
    <mergeCell ref="Y127:AC127"/>
    <mergeCell ref="AD127:AJ127"/>
    <mergeCell ref="A128:B128"/>
    <mergeCell ref="C128:X128"/>
    <mergeCell ref="Y128:AC128"/>
    <mergeCell ref="AD128:AJ128"/>
    <mergeCell ref="A124:AC124"/>
    <mergeCell ref="AD124:AJ124"/>
    <mergeCell ref="A126:AJ126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10:B110"/>
    <mergeCell ref="C110:AC110"/>
    <mergeCell ref="AD110:AJ110"/>
    <mergeCell ref="A111:AC111"/>
    <mergeCell ref="AD111:AJ111"/>
    <mergeCell ref="A112:AJ112"/>
    <mergeCell ref="A107:AJ107"/>
    <mergeCell ref="A108:AJ108"/>
    <mergeCell ref="A109:B109"/>
    <mergeCell ref="C109:X109"/>
    <mergeCell ref="Y109:AC109"/>
    <mergeCell ref="AD109:AJ109"/>
    <mergeCell ref="A92:AJ92"/>
    <mergeCell ref="A80:B80"/>
    <mergeCell ref="C80:AC80"/>
    <mergeCell ref="AD80:AJ80"/>
    <mergeCell ref="A81:AC81"/>
    <mergeCell ref="AD81:AJ81"/>
    <mergeCell ref="A82:AJ82"/>
    <mergeCell ref="A83:AJ83"/>
    <mergeCell ref="A84:B84"/>
    <mergeCell ref="C84:X84"/>
    <mergeCell ref="A78:B78"/>
    <mergeCell ref="C78:AC78"/>
    <mergeCell ref="AD78:AJ78"/>
    <mergeCell ref="A79:B79"/>
    <mergeCell ref="C79:AC79"/>
    <mergeCell ref="AD79:AJ79"/>
    <mergeCell ref="A74:AC74"/>
    <mergeCell ref="AD74:AJ74"/>
    <mergeCell ref="A75:AJ75"/>
    <mergeCell ref="A76:AJ76"/>
    <mergeCell ref="A77:B77"/>
    <mergeCell ref="C77:AC77"/>
    <mergeCell ref="AD77:AJ7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AQ160"/>
  <sheetViews>
    <sheetView showGridLines="0" topLeftCell="A61" zoomScale="115" zoomScaleNormal="115" zoomScaleSheetLayoutView="120" workbookViewId="0">
      <selection activeCell="AD44" sqref="AD44:AJ44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6" width="3.85546875" style="34" customWidth="1"/>
    <col min="37" max="37" width="2.42578125" style="34" customWidth="1"/>
    <col min="38" max="38" width="13" style="34" customWidth="1"/>
    <col min="39" max="42" width="2.42578125" style="34"/>
    <col min="43" max="43" width="3.5703125" style="34" customWidth="1"/>
    <col min="44" max="16384" width="2.42578125" style="34"/>
  </cols>
  <sheetData>
    <row r="1" spans="1:36" ht="15" customHeight="1">
      <c r="A1" s="854"/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  <c r="AI1" s="854"/>
      <c r="AJ1" s="854"/>
    </row>
    <row r="2" spans="1:36" ht="15" customHeight="1">
      <c r="A2" s="855" t="s">
        <v>26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  <c r="S2" s="855"/>
      <c r="T2" s="855"/>
      <c r="U2" s="855"/>
      <c r="V2" s="855"/>
      <c r="W2" s="855"/>
      <c r="X2" s="855"/>
      <c r="Y2" s="855"/>
      <c r="Z2" s="855"/>
      <c r="AA2" s="855"/>
      <c r="AB2" s="855"/>
      <c r="AC2" s="855"/>
      <c r="AD2" s="855"/>
      <c r="AE2" s="855"/>
      <c r="AF2" s="855"/>
      <c r="AG2" s="855"/>
      <c r="AH2" s="855"/>
      <c r="AI2" s="855"/>
      <c r="AJ2" s="855"/>
    </row>
    <row r="3" spans="1:36" ht="15" customHeight="1">
      <c r="A3" s="855" t="s">
        <v>27</v>
      </c>
      <c r="B3" s="855"/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  <c r="AB3" s="855"/>
      <c r="AC3" s="855"/>
      <c r="AD3" s="855"/>
      <c r="AE3" s="855"/>
      <c r="AF3" s="855"/>
      <c r="AG3" s="855"/>
      <c r="AH3" s="855"/>
      <c r="AI3" s="855"/>
      <c r="AJ3" s="855"/>
    </row>
    <row r="4" spans="1:36" ht="15" customHeight="1">
      <c r="A4" s="855" t="s">
        <v>329</v>
      </c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B4" s="855"/>
      <c r="AC4" s="855"/>
      <c r="AD4" s="855"/>
      <c r="AE4" s="855"/>
      <c r="AF4" s="855"/>
      <c r="AG4" s="855"/>
      <c r="AH4" s="855"/>
      <c r="AI4" s="855"/>
      <c r="AJ4" s="855"/>
    </row>
    <row r="5" spans="1:36" ht="15" customHeight="1">
      <c r="A5" s="854"/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854"/>
      <c r="W5" s="854"/>
      <c r="X5" s="854"/>
      <c r="Y5" s="854"/>
      <c r="Z5" s="854"/>
      <c r="AA5" s="854"/>
      <c r="AB5" s="854"/>
      <c r="AC5" s="854"/>
      <c r="AD5" s="854"/>
      <c r="AE5" s="854"/>
      <c r="AF5" s="854"/>
      <c r="AG5" s="854"/>
      <c r="AH5" s="854"/>
      <c r="AI5" s="854"/>
      <c r="AJ5" s="854"/>
    </row>
    <row r="6" spans="1:36" ht="15" customHeight="1">
      <c r="A6" s="854"/>
      <c r="B6" s="854"/>
      <c r="C6" s="854"/>
      <c r="D6" s="854"/>
      <c r="E6" s="854"/>
      <c r="F6" s="854"/>
      <c r="G6" s="854"/>
      <c r="H6" s="854"/>
      <c r="I6" s="854"/>
      <c r="J6" s="854"/>
      <c r="K6" s="854"/>
      <c r="L6" s="854"/>
      <c r="M6" s="854"/>
      <c r="N6" s="854"/>
      <c r="O6" s="854"/>
      <c r="P6" s="854"/>
      <c r="Q6" s="854"/>
      <c r="R6" s="854"/>
      <c r="S6" s="854"/>
      <c r="T6" s="854"/>
      <c r="U6" s="854"/>
      <c r="V6" s="854"/>
      <c r="W6" s="854"/>
      <c r="X6" s="854"/>
      <c r="Y6" s="854"/>
      <c r="Z6" s="854"/>
      <c r="AA6" s="854"/>
      <c r="AB6" s="854"/>
      <c r="AC6" s="854"/>
      <c r="AD6" s="854"/>
      <c r="AE6" s="854"/>
      <c r="AF6" s="854"/>
      <c r="AG6" s="854"/>
      <c r="AH6" s="854"/>
      <c r="AI6" s="854"/>
      <c r="AJ6" s="854"/>
    </row>
    <row r="7" spans="1:36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</row>
    <row r="8" spans="1:36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</row>
    <row r="9" spans="1:36" s="35" customFormat="1" ht="14.45" customHeight="1">
      <c r="A9" s="856" t="s">
        <v>377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</row>
    <row r="10" spans="1:36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</row>
    <row r="11" spans="1:36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</row>
    <row r="12" spans="1:36" s="35" customFormat="1" ht="14.45" customHeight="1">
      <c r="A12" s="860" t="s">
        <v>144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  <c r="R12" s="861"/>
      <c r="S12" s="861"/>
      <c r="T12" s="861"/>
      <c r="U12" s="861"/>
      <c r="V12" s="861"/>
      <c r="W12" s="861"/>
      <c r="X12" s="861"/>
      <c r="Y12" s="861"/>
      <c r="Z12" s="861"/>
      <c r="AA12" s="861"/>
      <c r="AB12" s="861"/>
      <c r="AC12" s="861"/>
      <c r="AD12" s="861"/>
      <c r="AE12" s="861"/>
      <c r="AF12" s="861"/>
      <c r="AG12" s="861"/>
      <c r="AH12" s="861"/>
      <c r="AI12" s="861"/>
      <c r="AJ12" s="862"/>
    </row>
    <row r="13" spans="1:36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</row>
    <row r="14" spans="1:36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</row>
    <row r="15" spans="1:36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</row>
    <row r="16" spans="1:36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</row>
    <row r="17" spans="1:36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</row>
    <row r="18" spans="1:36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</row>
    <row r="19" spans="1:36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</row>
    <row r="20" spans="1:36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</row>
    <row r="21" spans="1:36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</row>
    <row r="22" spans="1:36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333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</row>
    <row r="23" spans="1:36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</row>
    <row r="24" spans="1:36" s="35" customFormat="1" ht="14.45" customHeight="1">
      <c r="A24" s="832" t="s">
        <v>370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</row>
    <row r="25" spans="1:36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</row>
    <row r="26" spans="1:36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</row>
    <row r="27" spans="1:36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</row>
    <row r="29" spans="1:36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</row>
    <row r="30" spans="1:36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819" t="s">
        <v>220</v>
      </c>
      <c r="AE30" s="819"/>
      <c r="AF30" s="819"/>
      <c r="AG30" s="819"/>
      <c r="AH30" s="819"/>
      <c r="AI30" s="819"/>
      <c r="AJ30" s="819"/>
    </row>
    <row r="31" spans="1:36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819" t="s">
        <v>223</v>
      </c>
      <c r="AE31" s="819"/>
      <c r="AF31" s="819"/>
      <c r="AG31" s="819"/>
      <c r="AH31" s="819"/>
      <c r="AI31" s="819"/>
      <c r="AJ31" s="819"/>
    </row>
    <row r="32" spans="1:36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v>1124</v>
      </c>
      <c r="AE32" s="820"/>
      <c r="AF32" s="820"/>
      <c r="AG32" s="820"/>
      <c r="AH32" s="820"/>
      <c r="AI32" s="820"/>
      <c r="AJ32" s="820"/>
    </row>
    <row r="33" spans="1:36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19" t="s">
        <v>220</v>
      </c>
      <c r="AE33" s="819"/>
      <c r="AF33" s="819"/>
      <c r="AG33" s="819"/>
      <c r="AH33" s="819"/>
      <c r="AI33" s="819"/>
      <c r="AJ33" s="819"/>
    </row>
    <row r="34" spans="1:36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</row>
    <row r="35" spans="1:36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6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</row>
    <row r="38" spans="1:36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1124</v>
      </c>
      <c r="AE38" s="775"/>
      <c r="AF38" s="775"/>
      <c r="AG38" s="775"/>
      <c r="AH38" s="775"/>
      <c r="AI38" s="775"/>
      <c r="AJ38" s="776"/>
    </row>
    <row r="39" spans="1:36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6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41"/>
      <c r="Z40" s="742"/>
      <c r="AA40" s="742"/>
      <c r="AB40" s="742"/>
      <c r="AC40" s="743"/>
      <c r="AD40" s="744"/>
      <c r="AE40" s="745"/>
      <c r="AF40" s="745"/>
      <c r="AG40" s="745"/>
      <c r="AH40" s="745"/>
      <c r="AI40" s="745"/>
      <c r="AJ40" s="746"/>
    </row>
    <row r="41" spans="1:36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6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6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6" ht="14.45" customHeight="1">
      <c r="A44" s="722" t="s">
        <v>8</v>
      </c>
      <c r="B44" s="723"/>
      <c r="C44" s="724" t="s">
        <v>11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14"/>
      <c r="Z44" s="811"/>
      <c r="AA44" s="811"/>
      <c r="AB44" s="811"/>
      <c r="AC44" s="812"/>
      <c r="AD44" s="744"/>
      <c r="AE44" s="745"/>
      <c r="AF44" s="745"/>
      <c r="AG44" s="745"/>
      <c r="AH44" s="745"/>
      <c r="AI44" s="745"/>
      <c r="AJ44" s="746"/>
    </row>
    <row r="45" spans="1:36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1124</v>
      </c>
      <c r="AE45" s="692"/>
      <c r="AF45" s="692"/>
      <c r="AG45" s="692"/>
      <c r="AH45" s="692"/>
      <c r="AI45" s="692"/>
      <c r="AJ45" s="693"/>
    </row>
    <row r="46" spans="1:36" ht="14.45" customHeight="1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2"/>
      <c r="Z46" s="122"/>
      <c r="AA46" s="122"/>
      <c r="AB46" s="122"/>
      <c r="AC46" s="122"/>
      <c r="AD46" s="61"/>
      <c r="AE46" s="61"/>
      <c r="AF46" s="61"/>
      <c r="AG46" s="61"/>
      <c r="AH46" s="61"/>
      <c r="AI46" s="61"/>
      <c r="AJ46" s="61"/>
    </row>
    <row r="47" spans="1:36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6" ht="14.45" customHeight="1">
      <c r="A48" s="813" t="s">
        <v>280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93.666666666666657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31.222222222222221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124.88888888888889</v>
      </c>
      <c r="AE52" s="692"/>
      <c r="AF52" s="692"/>
      <c r="AG52" s="692"/>
      <c r="AH52" s="692"/>
      <c r="AI52" s="692"/>
      <c r="AJ52" s="693"/>
    </row>
    <row r="53" spans="1:36" ht="14.45" customHeight="1">
      <c r="A53" s="121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2"/>
      <c r="Z53" s="122"/>
      <c r="AA53" s="122"/>
      <c r="AB53" s="122"/>
      <c r="AC53" s="122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249.7777777777778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31.222222222222225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37.466666666666669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18.733333333333334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12.488888888888889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7.4933333333333341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2.4977777777777779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99.911111111111111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459.59111111111116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108.56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453.56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124.88888888888889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459.59111111111116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453.56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1038.04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4.6833333333333336</v>
      </c>
      <c r="AE85" s="775"/>
      <c r="AF85" s="775"/>
      <c r="AG85" s="775"/>
      <c r="AH85" s="775"/>
      <c r="AI85" s="775"/>
      <c r="AJ85" s="776"/>
      <c r="AL85" s="116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0.37466666666666665</v>
      </c>
      <c r="AE86" s="775"/>
      <c r="AF86" s="775"/>
      <c r="AG86" s="775"/>
      <c r="AH86" s="775"/>
      <c r="AI86" s="775"/>
      <c r="AJ86" s="776"/>
      <c r="AL86" s="116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40.81368888888889</v>
      </c>
      <c r="AE87" s="775"/>
      <c r="AF87" s="775"/>
      <c r="AG87" s="775"/>
      <c r="AH87" s="775"/>
      <c r="AI87" s="775"/>
      <c r="AJ87" s="776"/>
      <c r="AL87" s="116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42.039666666666669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8.0428444444444462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0.69937777777777799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96.653577777777784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93.666666666666657</v>
      </c>
      <c r="AE96" s="775"/>
      <c r="AF96" s="775"/>
      <c r="AG96" s="775"/>
      <c r="AH96" s="775"/>
      <c r="AI96" s="775"/>
      <c r="AJ96" s="776"/>
      <c r="AK96" s="130"/>
      <c r="AL96" s="117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15.6236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0.2248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3.1471999999999998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1.4611999999999998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0.78679999999999994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22.05954074074074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42.286978133333335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179.25678554074074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7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7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7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179.25678554074074</v>
      </c>
      <c r="AE115" s="775"/>
      <c r="AF115" s="775"/>
      <c r="AG115" s="775"/>
      <c r="AH115" s="775"/>
      <c r="AI115" s="775"/>
      <c r="AJ115" s="776"/>
    </row>
    <row r="116" spans="1:37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7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179.25678554074074</v>
      </c>
      <c r="AE117" s="692"/>
      <c r="AF117" s="692"/>
      <c r="AG117" s="692"/>
      <c r="AH117" s="692"/>
      <c r="AI117" s="692"/>
      <c r="AJ117" s="693"/>
    </row>
    <row r="118" spans="1:37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7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7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7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'Fardamentos e EPI´s - Recepcio'!H14</f>
        <v>62.36</v>
      </c>
      <c r="AE121" s="772"/>
      <c r="AF121" s="772"/>
      <c r="AG121" s="772"/>
      <c r="AH121" s="772"/>
      <c r="AI121" s="772"/>
      <c r="AJ121" s="773"/>
    </row>
    <row r="122" spans="1:37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7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/>
      <c r="AE123" s="772"/>
      <c r="AF123" s="772"/>
      <c r="AG123" s="772"/>
      <c r="AH123" s="772"/>
      <c r="AI123" s="772"/>
      <c r="AJ123" s="773"/>
    </row>
    <row r="124" spans="1:37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62.36</v>
      </c>
      <c r="AE124" s="692"/>
      <c r="AF124" s="692"/>
      <c r="AG124" s="692"/>
      <c r="AH124" s="692"/>
      <c r="AI124" s="692"/>
      <c r="AJ124" s="693"/>
    </row>
    <row r="125" spans="1:37" ht="14.45" customHeight="1"/>
    <row r="126" spans="1:37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7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7" ht="14.45" customHeight="1">
      <c r="A128" s="736" t="s">
        <v>0</v>
      </c>
      <c r="B128" s="737"/>
      <c r="C128" s="757" t="s">
        <v>328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75.009310899555544</v>
      </c>
      <c r="AE128" s="745"/>
      <c r="AF128" s="745"/>
      <c r="AG128" s="745"/>
      <c r="AH128" s="745"/>
      <c r="AI128" s="745"/>
      <c r="AJ128" s="746"/>
      <c r="AK128" s="130"/>
    </row>
    <row r="129" spans="1:38" ht="14.45" customHeight="1">
      <c r="A129" s="736" t="s">
        <v>1</v>
      </c>
      <c r="B129" s="737"/>
      <c r="C129" s="757" t="s">
        <v>327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169.77107366932739</v>
      </c>
      <c r="AE129" s="745"/>
      <c r="AF129" s="745"/>
      <c r="AG129" s="745"/>
      <c r="AH129" s="745"/>
      <c r="AI129" s="745"/>
      <c r="AJ129" s="746"/>
      <c r="AK129" s="130"/>
    </row>
    <row r="130" spans="1:38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</row>
    <row r="131" spans="1:38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8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90.150763477418764</v>
      </c>
      <c r="AE132" s="745"/>
      <c r="AF132" s="745"/>
      <c r="AG132" s="745"/>
      <c r="AH132" s="745"/>
      <c r="AI132" s="745"/>
      <c r="AJ132" s="746"/>
      <c r="AK132" s="130"/>
    </row>
    <row r="133" spans="1:38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19.532665420107399</v>
      </c>
      <c r="AE133" s="745"/>
      <c r="AF133" s="745"/>
      <c r="AG133" s="745"/>
      <c r="AH133" s="745"/>
      <c r="AI133" s="745"/>
      <c r="AJ133" s="746"/>
      <c r="AK133" s="134"/>
    </row>
    <row r="134" spans="1:38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150.25127246236462</v>
      </c>
      <c r="AE134" s="745"/>
      <c r="AF134" s="745"/>
      <c r="AG134" s="745"/>
      <c r="AH134" s="745"/>
      <c r="AI134" s="745"/>
      <c r="AJ134" s="746"/>
      <c r="AK134" s="130"/>
    </row>
    <row r="135" spans="1:38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504.7150859287737</v>
      </c>
      <c r="AE135" s="747"/>
      <c r="AF135" s="747"/>
      <c r="AG135" s="747"/>
      <c r="AH135" s="747"/>
      <c r="AI135" s="747"/>
      <c r="AJ135" s="747"/>
      <c r="AK135" s="130"/>
    </row>
    <row r="136" spans="1:38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8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8" ht="14.4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0"/>
    </row>
    <row r="139" spans="1:38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8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1124</v>
      </c>
      <c r="AE140" s="720"/>
      <c r="AF140" s="720"/>
      <c r="AG140" s="720"/>
      <c r="AH140" s="720"/>
      <c r="AI140" s="720"/>
      <c r="AJ140" s="721"/>
      <c r="AK140" s="130"/>
    </row>
    <row r="141" spans="1:38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1038.04</v>
      </c>
      <c r="AE141" s="720"/>
      <c r="AF141" s="720"/>
      <c r="AG141" s="720"/>
      <c r="AH141" s="720"/>
      <c r="AI141" s="720"/>
      <c r="AJ141" s="721"/>
      <c r="AK141" s="130"/>
    </row>
    <row r="142" spans="1:38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96.653577777777784</v>
      </c>
      <c r="AE142" s="720"/>
      <c r="AF142" s="720"/>
      <c r="AG142" s="720"/>
      <c r="AH142" s="720"/>
      <c r="AI142" s="720"/>
      <c r="AJ142" s="721"/>
      <c r="AK142" s="130"/>
    </row>
    <row r="143" spans="1:38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179.25678554074074</v>
      </c>
      <c r="AE143" s="720"/>
      <c r="AF143" s="720"/>
      <c r="AG143" s="720"/>
      <c r="AH143" s="720"/>
      <c r="AI143" s="720"/>
      <c r="AJ143" s="721"/>
      <c r="AK143" s="130"/>
    </row>
    <row r="144" spans="1:38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62.36</v>
      </c>
      <c r="AE144" s="720"/>
      <c r="AF144" s="720"/>
      <c r="AG144" s="720"/>
      <c r="AH144" s="720"/>
      <c r="AI144" s="720"/>
      <c r="AJ144" s="721"/>
      <c r="AK144" s="130"/>
      <c r="AL144" s="117"/>
    </row>
    <row r="145" spans="1:38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2500.3103633185183</v>
      </c>
      <c r="AE145" s="720"/>
      <c r="AF145" s="720"/>
      <c r="AG145" s="720"/>
      <c r="AH145" s="720"/>
      <c r="AI145" s="720"/>
      <c r="AJ145" s="721"/>
      <c r="AK145" s="130"/>
      <c r="AL145" s="117"/>
    </row>
    <row r="146" spans="1:38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504.7150859287737</v>
      </c>
      <c r="AE146" s="720"/>
      <c r="AF146" s="720"/>
      <c r="AG146" s="720"/>
      <c r="AH146" s="720"/>
      <c r="AI146" s="720"/>
      <c r="AJ146" s="721"/>
      <c r="AK146" s="130"/>
    </row>
    <row r="147" spans="1:38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3005.0254492472923</v>
      </c>
      <c r="AE147" s="692"/>
      <c r="AF147" s="692"/>
      <c r="AG147" s="692"/>
      <c r="AH147" s="692"/>
      <c r="AI147" s="692"/>
      <c r="AJ147" s="693"/>
      <c r="AK147" s="130"/>
    </row>
    <row r="148" spans="1:38" ht="14.45" customHeight="1"/>
    <row r="149" spans="1:38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8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8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8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8" ht="34.15" customHeight="1">
      <c r="A153" s="701" t="str">
        <f>A24</f>
        <v>SERVIÇOS DE RECEPÇÃO (JOÃO PESSOA)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3005.0254492472923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3005.0254492472923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3005.0254492472923</v>
      </c>
      <c r="AF153" s="714"/>
      <c r="AG153" s="714"/>
      <c r="AH153" s="714"/>
      <c r="AI153" s="714"/>
      <c r="AJ153" s="715"/>
    </row>
    <row r="154" spans="1:38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3005.03</v>
      </c>
      <c r="AF154" s="686"/>
      <c r="AG154" s="686"/>
      <c r="AH154" s="686"/>
      <c r="AI154" s="686"/>
      <c r="AJ154" s="686"/>
    </row>
    <row r="155" spans="1:38" ht="14.45" customHeight="1"/>
    <row r="156" spans="1:38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8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8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8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3005.03</v>
      </c>
      <c r="AE159" s="700"/>
      <c r="AF159" s="700"/>
      <c r="AG159" s="700"/>
      <c r="AH159" s="700"/>
      <c r="AI159" s="700"/>
      <c r="AJ159" s="700"/>
    </row>
    <row r="160" spans="1:38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108181.08</v>
      </c>
      <c r="AE160" s="684"/>
      <c r="AF160" s="684"/>
      <c r="AG160" s="684"/>
      <c r="AH160" s="684"/>
      <c r="AI160" s="684"/>
      <c r="AJ160" s="684"/>
    </row>
  </sheetData>
  <mergeCells count="392">
    <mergeCell ref="A106:X106"/>
    <mergeCell ref="Y106:AC106"/>
    <mergeCell ref="AD106:AJ106"/>
    <mergeCell ref="A104:AC104"/>
    <mergeCell ref="AD104:AJ104"/>
    <mergeCell ref="A105:B105"/>
    <mergeCell ref="C105:X105"/>
    <mergeCell ref="Y105:AC105"/>
    <mergeCell ref="AD105:AJ105"/>
    <mergeCell ref="A102:X102"/>
    <mergeCell ref="Y102:AC102"/>
    <mergeCell ref="AD102:AJ102"/>
    <mergeCell ref="A103:B103"/>
    <mergeCell ref="C103:X103"/>
    <mergeCell ref="Y103:AC103"/>
    <mergeCell ref="AD103:AJ103"/>
    <mergeCell ref="A100:B100"/>
    <mergeCell ref="C100:X100"/>
    <mergeCell ref="Y100:AC100"/>
    <mergeCell ref="AD100:AJ100"/>
    <mergeCell ref="A101:B101"/>
    <mergeCell ref="C101:X101"/>
    <mergeCell ref="Y101:AC101"/>
    <mergeCell ref="AD101:AJ101"/>
    <mergeCell ref="A98:B98"/>
    <mergeCell ref="C98:X98"/>
    <mergeCell ref="Y98:AC98"/>
    <mergeCell ref="AD98:AJ98"/>
    <mergeCell ref="A99:B99"/>
    <mergeCell ref="C99:X99"/>
    <mergeCell ref="Y99:AC99"/>
    <mergeCell ref="AD99:AJ99"/>
    <mergeCell ref="A96:B96"/>
    <mergeCell ref="C96:X96"/>
    <mergeCell ref="Y96:AC96"/>
    <mergeCell ref="AD96:AJ96"/>
    <mergeCell ref="A97:B97"/>
    <mergeCell ref="C97:X97"/>
    <mergeCell ref="Y97:AC97"/>
    <mergeCell ref="AD97:AJ97"/>
    <mergeCell ref="A93:AJ93"/>
    <mergeCell ref="A94:AJ94"/>
    <mergeCell ref="A95:B95"/>
    <mergeCell ref="C95:X95"/>
    <mergeCell ref="Y95:AC95"/>
    <mergeCell ref="AD95:AJ95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Y84:AC84"/>
    <mergeCell ref="AD84:AJ84"/>
    <mergeCell ref="A85:B85"/>
    <mergeCell ref="C85:X85"/>
    <mergeCell ref="Y85:AC85"/>
    <mergeCell ref="AD85:AJ85"/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  <mergeCell ref="AD159:AJ159"/>
    <mergeCell ref="A153:L153"/>
    <mergeCell ref="M153:Q153"/>
    <mergeCell ref="R153:V153"/>
    <mergeCell ref="W153:AA153"/>
    <mergeCell ref="AB153:AD153"/>
    <mergeCell ref="AE153:AJ153"/>
    <mergeCell ref="A152:L152"/>
    <mergeCell ref="M152:Q152"/>
    <mergeCell ref="R152:V152"/>
    <mergeCell ref="W152:AA152"/>
    <mergeCell ref="AB152:AD152"/>
    <mergeCell ref="AE152:AJ15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A145:AC145"/>
    <mergeCell ref="AD145:AJ145"/>
    <mergeCell ref="A146:B146"/>
    <mergeCell ref="C146:AC146"/>
    <mergeCell ref="AD146:AJ146"/>
    <mergeCell ref="A147:AC147"/>
    <mergeCell ref="AD147:AJ147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37:AJ137"/>
    <mergeCell ref="A139:AC139"/>
    <mergeCell ref="AD139:AJ139"/>
    <mergeCell ref="A140:B140"/>
    <mergeCell ref="C140:AC140"/>
    <mergeCell ref="AD140:AJ140"/>
    <mergeCell ref="A134:B134"/>
    <mergeCell ref="C134:X134"/>
    <mergeCell ref="Y134:AC134"/>
    <mergeCell ref="AD134:AJ134"/>
    <mergeCell ref="A135:AC135"/>
    <mergeCell ref="AD135:AJ135"/>
    <mergeCell ref="A132:B132"/>
    <mergeCell ref="C132:X132"/>
    <mergeCell ref="Y132:AC132"/>
    <mergeCell ref="AD132:AJ132"/>
    <mergeCell ref="A133:B133"/>
    <mergeCell ref="C133:X133"/>
    <mergeCell ref="Y133:AC133"/>
    <mergeCell ref="AD133:AJ133"/>
    <mergeCell ref="A129:B129"/>
    <mergeCell ref="C129:X129"/>
    <mergeCell ref="Y129:AC129"/>
    <mergeCell ref="AD129:AJ129"/>
    <mergeCell ref="Y130:AC130"/>
    <mergeCell ref="A131:B131"/>
    <mergeCell ref="C131:X131"/>
    <mergeCell ref="Y131:AC131"/>
    <mergeCell ref="A127:B127"/>
    <mergeCell ref="C127:X127"/>
    <mergeCell ref="Y127:AC127"/>
    <mergeCell ref="AD127:AJ127"/>
    <mergeCell ref="A128:B128"/>
    <mergeCell ref="C128:X128"/>
    <mergeCell ref="Y128:AC128"/>
    <mergeCell ref="AD128:AJ128"/>
    <mergeCell ref="A124:AC124"/>
    <mergeCell ref="AD124:AJ124"/>
    <mergeCell ref="A126:AJ126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10:B110"/>
    <mergeCell ref="C110:AC110"/>
    <mergeCell ref="AD110:AJ110"/>
    <mergeCell ref="A111:AC111"/>
    <mergeCell ref="AD111:AJ111"/>
    <mergeCell ref="A112:AJ112"/>
    <mergeCell ref="A107:AJ107"/>
    <mergeCell ref="A108:AJ108"/>
    <mergeCell ref="A109:B109"/>
    <mergeCell ref="C109:X109"/>
    <mergeCell ref="Y109:AC109"/>
    <mergeCell ref="AD109:AJ109"/>
    <mergeCell ref="A92:AJ92"/>
    <mergeCell ref="A80:B80"/>
    <mergeCell ref="C80:AC80"/>
    <mergeCell ref="AD80:AJ80"/>
    <mergeCell ref="A81:AC81"/>
    <mergeCell ref="AD81:AJ81"/>
    <mergeCell ref="A82:AJ82"/>
    <mergeCell ref="A83:AJ83"/>
    <mergeCell ref="A84:B84"/>
    <mergeCell ref="C84:X84"/>
    <mergeCell ref="A78:B78"/>
    <mergeCell ref="C78:AC78"/>
    <mergeCell ref="AD78:AJ78"/>
    <mergeCell ref="A79:B79"/>
    <mergeCell ref="C79:AC79"/>
    <mergeCell ref="AD79:AJ79"/>
    <mergeCell ref="A74:AC74"/>
    <mergeCell ref="AD74:AJ74"/>
    <mergeCell ref="A75:AJ75"/>
    <mergeCell ref="A76:AJ76"/>
    <mergeCell ref="A77:B77"/>
    <mergeCell ref="C77:AC77"/>
    <mergeCell ref="AD77:AJ7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AQ160"/>
  <sheetViews>
    <sheetView showGridLines="0" topLeftCell="A70" zoomScale="115" zoomScaleNormal="115" zoomScaleSheetLayoutView="120" workbookViewId="0">
      <selection activeCell="C89" sqref="C89:X89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6" width="3.85546875" style="34" customWidth="1"/>
    <col min="37" max="37" width="2.42578125" style="34" customWidth="1"/>
    <col min="38" max="38" width="13" style="34" customWidth="1"/>
    <col min="39" max="42" width="2.42578125" style="34"/>
    <col min="43" max="43" width="3.5703125" style="34" customWidth="1"/>
    <col min="44" max="16384" width="2.42578125" style="34"/>
  </cols>
  <sheetData>
    <row r="1" spans="1:36" ht="15" customHeight="1">
      <c r="A1" s="854"/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  <c r="AI1" s="854"/>
      <c r="AJ1" s="854"/>
    </row>
    <row r="2" spans="1:36" ht="15" customHeight="1">
      <c r="A2" s="855" t="s">
        <v>26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  <c r="S2" s="855"/>
      <c r="T2" s="855"/>
      <c r="U2" s="855"/>
      <c r="V2" s="855"/>
      <c r="W2" s="855"/>
      <c r="X2" s="855"/>
      <c r="Y2" s="855"/>
      <c r="Z2" s="855"/>
      <c r="AA2" s="855"/>
      <c r="AB2" s="855"/>
      <c r="AC2" s="855"/>
      <c r="AD2" s="855"/>
      <c r="AE2" s="855"/>
      <c r="AF2" s="855"/>
      <c r="AG2" s="855"/>
      <c r="AH2" s="855"/>
      <c r="AI2" s="855"/>
      <c r="AJ2" s="855"/>
    </row>
    <row r="3" spans="1:36" ht="15" customHeight="1">
      <c r="A3" s="855" t="s">
        <v>27</v>
      </c>
      <c r="B3" s="855"/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  <c r="AB3" s="855"/>
      <c r="AC3" s="855"/>
      <c r="AD3" s="855"/>
      <c r="AE3" s="855"/>
      <c r="AF3" s="855"/>
      <c r="AG3" s="855"/>
      <c r="AH3" s="855"/>
      <c r="AI3" s="855"/>
      <c r="AJ3" s="855"/>
    </row>
    <row r="4" spans="1:36" ht="15" customHeight="1">
      <c r="A4" s="855" t="s">
        <v>329</v>
      </c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B4" s="855"/>
      <c r="AC4" s="855"/>
      <c r="AD4" s="855"/>
      <c r="AE4" s="855"/>
      <c r="AF4" s="855"/>
      <c r="AG4" s="855"/>
      <c r="AH4" s="855"/>
      <c r="AI4" s="855"/>
      <c r="AJ4" s="855"/>
    </row>
    <row r="5" spans="1:36" ht="15" customHeight="1">
      <c r="A5" s="854"/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854"/>
      <c r="W5" s="854"/>
      <c r="X5" s="854"/>
      <c r="Y5" s="854"/>
      <c r="Z5" s="854"/>
      <c r="AA5" s="854"/>
      <c r="AB5" s="854"/>
      <c r="AC5" s="854"/>
      <c r="AD5" s="854"/>
      <c r="AE5" s="854"/>
      <c r="AF5" s="854"/>
      <c r="AG5" s="854"/>
      <c r="AH5" s="854"/>
      <c r="AI5" s="854"/>
      <c r="AJ5" s="854"/>
    </row>
    <row r="6" spans="1:36" ht="15" customHeight="1">
      <c r="A6" s="854"/>
      <c r="B6" s="854"/>
      <c r="C6" s="854"/>
      <c r="D6" s="854"/>
      <c r="E6" s="854"/>
      <c r="F6" s="854"/>
      <c r="G6" s="854"/>
      <c r="H6" s="854"/>
      <c r="I6" s="854"/>
      <c r="J6" s="854"/>
      <c r="K6" s="854"/>
      <c r="L6" s="854"/>
      <c r="M6" s="854"/>
      <c r="N6" s="854"/>
      <c r="O6" s="854"/>
      <c r="P6" s="854"/>
      <c r="Q6" s="854"/>
      <c r="R6" s="854"/>
      <c r="S6" s="854"/>
      <c r="T6" s="854"/>
      <c r="U6" s="854"/>
      <c r="V6" s="854"/>
      <c r="W6" s="854"/>
      <c r="X6" s="854"/>
      <c r="Y6" s="854"/>
      <c r="Z6" s="854"/>
      <c r="AA6" s="854"/>
      <c r="AB6" s="854"/>
      <c r="AC6" s="854"/>
      <c r="AD6" s="854"/>
      <c r="AE6" s="854"/>
      <c r="AF6" s="854"/>
      <c r="AG6" s="854"/>
      <c r="AH6" s="854"/>
      <c r="AI6" s="854"/>
      <c r="AJ6" s="854"/>
    </row>
    <row r="7" spans="1:36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</row>
    <row r="8" spans="1:36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</row>
    <row r="9" spans="1:36" s="35" customFormat="1" ht="14.45" customHeight="1">
      <c r="A9" s="856" t="s">
        <v>373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</row>
    <row r="10" spans="1:36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</row>
    <row r="11" spans="1:36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</row>
    <row r="12" spans="1:36" s="35" customFormat="1" ht="14.45" customHeight="1">
      <c r="A12" s="860" t="s">
        <v>144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  <c r="R12" s="861"/>
      <c r="S12" s="861"/>
      <c r="T12" s="861"/>
      <c r="U12" s="861"/>
      <c r="V12" s="861"/>
      <c r="W12" s="861"/>
      <c r="X12" s="861"/>
      <c r="Y12" s="861"/>
      <c r="Z12" s="861"/>
      <c r="AA12" s="861"/>
      <c r="AB12" s="861"/>
      <c r="AC12" s="861"/>
      <c r="AD12" s="861"/>
      <c r="AE12" s="861"/>
      <c r="AF12" s="861"/>
      <c r="AG12" s="861"/>
      <c r="AH12" s="861"/>
      <c r="AI12" s="861"/>
      <c r="AJ12" s="862"/>
    </row>
    <row r="13" spans="1:36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</row>
    <row r="14" spans="1:36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</row>
    <row r="15" spans="1:36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</row>
    <row r="16" spans="1:36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</row>
    <row r="17" spans="1:36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</row>
    <row r="18" spans="1:36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</row>
    <row r="19" spans="1:36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</row>
    <row r="20" spans="1:36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</row>
    <row r="21" spans="1:36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</row>
    <row r="22" spans="1:36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335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</row>
    <row r="23" spans="1:36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</row>
    <row r="24" spans="1:36" s="35" customFormat="1" ht="14.45" customHeight="1">
      <c r="A24" s="832" t="s">
        <v>374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</row>
    <row r="25" spans="1:36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</row>
    <row r="26" spans="1:36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</row>
    <row r="27" spans="1:36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</row>
    <row r="29" spans="1:36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</row>
    <row r="30" spans="1:36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819" t="s">
        <v>220</v>
      </c>
      <c r="AE30" s="819"/>
      <c r="AF30" s="819"/>
      <c r="AG30" s="819"/>
      <c r="AH30" s="819"/>
      <c r="AI30" s="819"/>
      <c r="AJ30" s="819"/>
    </row>
    <row r="31" spans="1:36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819" t="s">
        <v>223</v>
      </c>
      <c r="AE31" s="819"/>
      <c r="AF31" s="819"/>
      <c r="AG31" s="819"/>
      <c r="AH31" s="819"/>
      <c r="AI31" s="819"/>
      <c r="AJ31" s="819"/>
    </row>
    <row r="32" spans="1:36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f>'Recepcionista JPA'!AD32</f>
        <v>1124</v>
      </c>
      <c r="AE32" s="820"/>
      <c r="AF32" s="820"/>
      <c r="AG32" s="820"/>
      <c r="AH32" s="820"/>
      <c r="AI32" s="820"/>
      <c r="AJ32" s="820"/>
    </row>
    <row r="33" spans="1:36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19" t="s">
        <v>220</v>
      </c>
      <c r="AE33" s="819"/>
      <c r="AF33" s="819"/>
      <c r="AG33" s="819"/>
      <c r="AH33" s="819"/>
      <c r="AI33" s="819"/>
      <c r="AJ33" s="819"/>
    </row>
    <row r="34" spans="1:36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</row>
    <row r="35" spans="1:36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6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</row>
    <row r="38" spans="1:36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1124</v>
      </c>
      <c r="AE38" s="775"/>
      <c r="AF38" s="775"/>
      <c r="AG38" s="775"/>
      <c r="AH38" s="775"/>
      <c r="AI38" s="775"/>
      <c r="AJ38" s="776"/>
    </row>
    <row r="39" spans="1:36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6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41"/>
      <c r="Z40" s="742"/>
      <c r="AA40" s="742"/>
      <c r="AB40" s="742"/>
      <c r="AC40" s="743"/>
      <c r="AD40" s="744"/>
      <c r="AE40" s="745"/>
      <c r="AF40" s="745"/>
      <c r="AG40" s="745"/>
      <c r="AH40" s="745"/>
      <c r="AI40" s="745"/>
      <c r="AJ40" s="746"/>
    </row>
    <row r="41" spans="1:36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6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6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6" ht="14.45" customHeight="1">
      <c r="A44" s="722" t="s">
        <v>8</v>
      </c>
      <c r="B44" s="723"/>
      <c r="C44" s="724" t="s">
        <v>11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14"/>
      <c r="Z44" s="811"/>
      <c r="AA44" s="811"/>
      <c r="AB44" s="811"/>
      <c r="AC44" s="812"/>
      <c r="AD44" s="744"/>
      <c r="AE44" s="745"/>
      <c r="AF44" s="745"/>
      <c r="AG44" s="745"/>
      <c r="AH44" s="745"/>
      <c r="AI44" s="745"/>
      <c r="AJ44" s="746"/>
    </row>
    <row r="45" spans="1:36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1124</v>
      </c>
      <c r="AE45" s="692"/>
      <c r="AF45" s="692"/>
      <c r="AG45" s="692"/>
      <c r="AH45" s="692"/>
      <c r="AI45" s="692"/>
      <c r="AJ45" s="693"/>
    </row>
    <row r="46" spans="1:36" ht="14.45" customHeight="1">
      <c r="A46" s="123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4"/>
      <c r="Z46" s="124"/>
      <c r="AA46" s="124"/>
      <c r="AB46" s="124"/>
      <c r="AC46" s="124"/>
      <c r="AD46" s="61"/>
      <c r="AE46" s="61"/>
      <c r="AF46" s="61"/>
      <c r="AG46" s="61"/>
      <c r="AH46" s="61"/>
      <c r="AI46" s="61"/>
      <c r="AJ46" s="61"/>
    </row>
    <row r="47" spans="1:36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6" ht="14.45" customHeight="1">
      <c r="A48" s="813" t="s">
        <v>280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93.666666666666657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31.222222222222221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124.88888888888889</v>
      </c>
      <c r="AE52" s="692"/>
      <c r="AF52" s="692"/>
      <c r="AG52" s="692"/>
      <c r="AH52" s="692"/>
      <c r="AI52" s="692"/>
      <c r="AJ52" s="693"/>
    </row>
    <row r="53" spans="1:36" ht="14.45" customHeight="1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4"/>
      <c r="Z53" s="124"/>
      <c r="AA53" s="124"/>
      <c r="AB53" s="124"/>
      <c r="AC53" s="124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249.7777777777778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31.222222222222225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37.466666666666669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18.733333333333334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12.488888888888889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7.4933333333333341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2.4977777777777779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99.911111111111111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459.59111111111116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108.56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453.56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124.88888888888889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459.59111111111116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453.56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1038.04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4.6833333333333336</v>
      </c>
      <c r="AE85" s="775"/>
      <c r="AF85" s="775"/>
      <c r="AG85" s="775"/>
      <c r="AH85" s="775"/>
      <c r="AI85" s="775"/>
      <c r="AJ85" s="776"/>
      <c r="AL85" s="116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0.37466666666666665</v>
      </c>
      <c r="AE86" s="775"/>
      <c r="AF86" s="775"/>
      <c r="AG86" s="775"/>
      <c r="AH86" s="775"/>
      <c r="AI86" s="775"/>
      <c r="AJ86" s="776"/>
      <c r="AL86" s="116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40.81368888888889</v>
      </c>
      <c r="AE87" s="775"/>
      <c r="AF87" s="775"/>
      <c r="AG87" s="775"/>
      <c r="AH87" s="775"/>
      <c r="AI87" s="775"/>
      <c r="AJ87" s="776"/>
      <c r="AL87" s="116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42.039666666666669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8.0428444444444462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0.69937777777777799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96.653577777777784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93.666666666666657</v>
      </c>
      <c r="AE96" s="775"/>
      <c r="AF96" s="775"/>
      <c r="AG96" s="775"/>
      <c r="AH96" s="775"/>
      <c r="AI96" s="775"/>
      <c r="AJ96" s="776"/>
      <c r="AK96" s="130"/>
      <c r="AL96" s="117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15.6236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0.2248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3.1471999999999998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1.4611999999999998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0.78679999999999994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22.05954074074074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42.286978133333335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179.25678554074074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7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7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7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179.25678554074074</v>
      </c>
      <c r="AE115" s="775"/>
      <c r="AF115" s="775"/>
      <c r="AG115" s="775"/>
      <c r="AH115" s="775"/>
      <c r="AI115" s="775"/>
      <c r="AJ115" s="776"/>
    </row>
    <row r="116" spans="1:37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7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179.25678554074074</v>
      </c>
      <c r="AE117" s="692"/>
      <c r="AF117" s="692"/>
      <c r="AG117" s="692"/>
      <c r="AH117" s="692"/>
      <c r="AI117" s="692"/>
      <c r="AJ117" s="693"/>
    </row>
    <row r="118" spans="1:37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7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7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7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'Fardamentos e EPI´s - Recepcio'!H14</f>
        <v>62.36</v>
      </c>
      <c r="AE121" s="772"/>
      <c r="AF121" s="772"/>
      <c r="AG121" s="772"/>
      <c r="AH121" s="772"/>
      <c r="AI121" s="772"/>
      <c r="AJ121" s="773"/>
    </row>
    <row r="122" spans="1:37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7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/>
      <c r="AE123" s="772"/>
      <c r="AF123" s="772"/>
      <c r="AG123" s="772"/>
      <c r="AH123" s="772"/>
      <c r="AI123" s="772"/>
      <c r="AJ123" s="773"/>
    </row>
    <row r="124" spans="1:37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62.36</v>
      </c>
      <c r="AE124" s="692"/>
      <c r="AF124" s="692"/>
      <c r="AG124" s="692"/>
      <c r="AH124" s="692"/>
      <c r="AI124" s="692"/>
      <c r="AJ124" s="693"/>
    </row>
    <row r="125" spans="1:37" ht="14.45" customHeight="1"/>
    <row r="126" spans="1:37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7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7" ht="14.45" customHeight="1">
      <c r="A128" s="736" t="s">
        <v>0</v>
      </c>
      <c r="B128" s="737"/>
      <c r="C128" s="757" t="s">
        <v>328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75.009310899555544</v>
      </c>
      <c r="AE128" s="745"/>
      <c r="AF128" s="745"/>
      <c r="AG128" s="745"/>
      <c r="AH128" s="745"/>
      <c r="AI128" s="745"/>
      <c r="AJ128" s="746"/>
      <c r="AK128" s="130"/>
    </row>
    <row r="129" spans="1:37" ht="14.45" customHeight="1">
      <c r="A129" s="736" t="s">
        <v>1</v>
      </c>
      <c r="B129" s="737"/>
      <c r="C129" s="757" t="s">
        <v>327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169.77107366932739</v>
      </c>
      <c r="AE129" s="745"/>
      <c r="AF129" s="745"/>
      <c r="AG129" s="745"/>
      <c r="AH129" s="745"/>
      <c r="AI129" s="745"/>
      <c r="AJ129" s="746"/>
      <c r="AK129" s="130"/>
    </row>
    <row r="130" spans="1:37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</row>
    <row r="131" spans="1:37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7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90.150763477418764</v>
      </c>
      <c r="AE132" s="745"/>
      <c r="AF132" s="745"/>
      <c r="AG132" s="745"/>
      <c r="AH132" s="745"/>
      <c r="AI132" s="745"/>
      <c r="AJ132" s="746"/>
      <c r="AK132" s="130"/>
    </row>
    <row r="133" spans="1:37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19.532665420107399</v>
      </c>
      <c r="AE133" s="745"/>
      <c r="AF133" s="745"/>
      <c r="AG133" s="745"/>
      <c r="AH133" s="745"/>
      <c r="AI133" s="745"/>
      <c r="AJ133" s="746"/>
      <c r="AK133" s="134"/>
    </row>
    <row r="134" spans="1:37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150.25127246236462</v>
      </c>
      <c r="AE134" s="745"/>
      <c r="AF134" s="745"/>
      <c r="AG134" s="745"/>
      <c r="AH134" s="745"/>
      <c r="AI134" s="745"/>
      <c r="AJ134" s="746"/>
      <c r="AK134" s="130"/>
    </row>
    <row r="135" spans="1:37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504.7150859287737</v>
      </c>
      <c r="AE135" s="747"/>
      <c r="AF135" s="747"/>
      <c r="AG135" s="747"/>
      <c r="AH135" s="747"/>
      <c r="AI135" s="747"/>
      <c r="AJ135" s="747"/>
      <c r="AK135" s="130"/>
    </row>
    <row r="136" spans="1:37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7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7" ht="14.4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0"/>
    </row>
    <row r="139" spans="1:37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7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1124</v>
      </c>
      <c r="AE140" s="720"/>
      <c r="AF140" s="720"/>
      <c r="AG140" s="720"/>
      <c r="AH140" s="720"/>
      <c r="AI140" s="720"/>
      <c r="AJ140" s="721"/>
      <c r="AK140" s="130"/>
    </row>
    <row r="141" spans="1:37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1038.04</v>
      </c>
      <c r="AE141" s="720"/>
      <c r="AF141" s="720"/>
      <c r="AG141" s="720"/>
      <c r="AH141" s="720"/>
      <c r="AI141" s="720"/>
      <c r="AJ141" s="721"/>
      <c r="AK141" s="130"/>
    </row>
    <row r="142" spans="1:37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96.653577777777784</v>
      </c>
      <c r="AE142" s="720"/>
      <c r="AF142" s="720"/>
      <c r="AG142" s="720"/>
      <c r="AH142" s="720"/>
      <c r="AI142" s="720"/>
      <c r="AJ142" s="721"/>
      <c r="AK142" s="130"/>
    </row>
    <row r="143" spans="1:37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179.25678554074074</v>
      </c>
      <c r="AE143" s="720"/>
      <c r="AF143" s="720"/>
      <c r="AG143" s="720"/>
      <c r="AH143" s="720"/>
      <c r="AI143" s="720"/>
      <c r="AJ143" s="721"/>
      <c r="AK143" s="130"/>
    </row>
    <row r="144" spans="1:37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62.36</v>
      </c>
      <c r="AE144" s="720"/>
      <c r="AF144" s="720"/>
      <c r="AG144" s="720"/>
      <c r="AH144" s="720"/>
      <c r="AI144" s="720"/>
      <c r="AJ144" s="721"/>
      <c r="AK144" s="130"/>
    </row>
    <row r="145" spans="1:38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2500.3103633185183</v>
      </c>
      <c r="AE145" s="720"/>
      <c r="AF145" s="720"/>
      <c r="AG145" s="720"/>
      <c r="AH145" s="720"/>
      <c r="AI145" s="720"/>
      <c r="AJ145" s="721"/>
      <c r="AK145" s="130"/>
      <c r="AL145" s="117"/>
    </row>
    <row r="146" spans="1:38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504.7150859287737</v>
      </c>
      <c r="AE146" s="720"/>
      <c r="AF146" s="720"/>
      <c r="AG146" s="720"/>
      <c r="AH146" s="720"/>
      <c r="AI146" s="720"/>
      <c r="AJ146" s="721"/>
      <c r="AK146" s="130"/>
      <c r="AL146" s="117"/>
    </row>
    <row r="147" spans="1:38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3005.0254492472923</v>
      </c>
      <c r="AE147" s="692"/>
      <c r="AF147" s="692"/>
      <c r="AG147" s="692"/>
      <c r="AH147" s="692"/>
      <c r="AI147" s="692"/>
      <c r="AJ147" s="693"/>
      <c r="AK147" s="130"/>
      <c r="AL147" s="117"/>
    </row>
    <row r="148" spans="1:38" ht="14.45" customHeight="1"/>
    <row r="149" spans="1:38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8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8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8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8" ht="34.15" customHeight="1">
      <c r="A153" s="701" t="str">
        <f>A24</f>
        <v>SERVIÇOS DE RECEPÇAO (CAMPINA GRANDE)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3005.0254492472923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3005.0254492472923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3005.0254492472923</v>
      </c>
      <c r="AF153" s="714"/>
      <c r="AG153" s="714"/>
      <c r="AH153" s="714"/>
      <c r="AI153" s="714"/>
      <c r="AJ153" s="715"/>
    </row>
    <row r="154" spans="1:38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3005.03</v>
      </c>
      <c r="AF154" s="686"/>
      <c r="AG154" s="686"/>
      <c r="AH154" s="686"/>
      <c r="AI154" s="686"/>
      <c r="AJ154" s="686"/>
    </row>
    <row r="155" spans="1:38" ht="14.45" customHeight="1"/>
    <row r="156" spans="1:38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8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8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8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3005.03</v>
      </c>
      <c r="AE159" s="700"/>
      <c r="AF159" s="700"/>
      <c r="AG159" s="700"/>
      <c r="AH159" s="700"/>
      <c r="AI159" s="700"/>
      <c r="AJ159" s="700"/>
    </row>
    <row r="160" spans="1:38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108181.08</v>
      </c>
      <c r="AE160" s="684"/>
      <c r="AF160" s="684"/>
      <c r="AG160" s="684"/>
      <c r="AH160" s="684"/>
      <c r="AI160" s="684"/>
      <c r="AJ160" s="684"/>
    </row>
  </sheetData>
  <mergeCells count="392">
    <mergeCell ref="A106:X106"/>
    <mergeCell ref="Y106:AC106"/>
    <mergeCell ref="AD106:AJ106"/>
    <mergeCell ref="A104:AC104"/>
    <mergeCell ref="AD104:AJ104"/>
    <mergeCell ref="A105:B105"/>
    <mergeCell ref="C105:X105"/>
    <mergeCell ref="Y105:AC105"/>
    <mergeCell ref="AD105:AJ105"/>
    <mergeCell ref="A102:X102"/>
    <mergeCell ref="Y102:AC102"/>
    <mergeCell ref="AD102:AJ102"/>
    <mergeCell ref="A103:B103"/>
    <mergeCell ref="C103:X103"/>
    <mergeCell ref="Y103:AC103"/>
    <mergeCell ref="AD103:AJ103"/>
    <mergeCell ref="A100:B100"/>
    <mergeCell ref="C100:X100"/>
    <mergeCell ref="Y100:AC100"/>
    <mergeCell ref="AD100:AJ100"/>
    <mergeCell ref="A101:B101"/>
    <mergeCell ref="C101:X101"/>
    <mergeCell ref="Y101:AC101"/>
    <mergeCell ref="AD101:AJ101"/>
    <mergeCell ref="A98:B98"/>
    <mergeCell ref="C98:X98"/>
    <mergeCell ref="Y98:AC98"/>
    <mergeCell ref="AD98:AJ98"/>
    <mergeCell ref="A99:B99"/>
    <mergeCell ref="C99:X99"/>
    <mergeCell ref="Y99:AC99"/>
    <mergeCell ref="AD99:AJ99"/>
    <mergeCell ref="A96:B96"/>
    <mergeCell ref="C96:X96"/>
    <mergeCell ref="Y96:AC96"/>
    <mergeCell ref="AD96:AJ96"/>
    <mergeCell ref="A97:B97"/>
    <mergeCell ref="C97:X97"/>
    <mergeCell ref="Y97:AC97"/>
    <mergeCell ref="AD97:AJ97"/>
    <mergeCell ref="A93:AJ93"/>
    <mergeCell ref="A94:AJ94"/>
    <mergeCell ref="A95:B95"/>
    <mergeCell ref="C95:X95"/>
    <mergeCell ref="Y95:AC95"/>
    <mergeCell ref="AD95:AJ95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Y84:AC84"/>
    <mergeCell ref="AD84:AJ84"/>
    <mergeCell ref="A85:B85"/>
    <mergeCell ref="C85:X85"/>
    <mergeCell ref="Y85:AC85"/>
    <mergeCell ref="AD85:AJ85"/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  <mergeCell ref="AD159:AJ159"/>
    <mergeCell ref="A153:L153"/>
    <mergeCell ref="M153:Q153"/>
    <mergeCell ref="R153:V153"/>
    <mergeCell ref="W153:AA153"/>
    <mergeCell ref="AB153:AD153"/>
    <mergeCell ref="AE153:AJ153"/>
    <mergeCell ref="A152:L152"/>
    <mergeCell ref="M152:Q152"/>
    <mergeCell ref="R152:V152"/>
    <mergeCell ref="W152:AA152"/>
    <mergeCell ref="AB152:AD152"/>
    <mergeCell ref="AE152:AJ15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A145:AC145"/>
    <mergeCell ref="AD145:AJ145"/>
    <mergeCell ref="A146:B146"/>
    <mergeCell ref="C146:AC146"/>
    <mergeCell ref="AD146:AJ146"/>
    <mergeCell ref="A147:AC147"/>
    <mergeCell ref="AD147:AJ147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37:AJ137"/>
    <mergeCell ref="A139:AC139"/>
    <mergeCell ref="AD139:AJ139"/>
    <mergeCell ref="A140:B140"/>
    <mergeCell ref="C140:AC140"/>
    <mergeCell ref="AD140:AJ140"/>
    <mergeCell ref="A134:B134"/>
    <mergeCell ref="C134:X134"/>
    <mergeCell ref="Y134:AC134"/>
    <mergeCell ref="AD134:AJ134"/>
    <mergeCell ref="A135:AC135"/>
    <mergeCell ref="AD135:AJ135"/>
    <mergeCell ref="A132:B132"/>
    <mergeCell ref="C132:X132"/>
    <mergeCell ref="Y132:AC132"/>
    <mergeCell ref="AD132:AJ132"/>
    <mergeCell ref="A133:B133"/>
    <mergeCell ref="C133:X133"/>
    <mergeCell ref="Y133:AC133"/>
    <mergeCell ref="AD133:AJ133"/>
    <mergeCell ref="A129:B129"/>
    <mergeCell ref="C129:X129"/>
    <mergeCell ref="Y129:AC129"/>
    <mergeCell ref="AD129:AJ129"/>
    <mergeCell ref="Y130:AC130"/>
    <mergeCell ref="A131:B131"/>
    <mergeCell ref="C131:X131"/>
    <mergeCell ref="Y131:AC131"/>
    <mergeCell ref="A127:B127"/>
    <mergeCell ref="C127:X127"/>
    <mergeCell ref="Y127:AC127"/>
    <mergeCell ref="AD127:AJ127"/>
    <mergeCell ref="A128:B128"/>
    <mergeCell ref="C128:X128"/>
    <mergeCell ref="Y128:AC128"/>
    <mergeCell ref="AD128:AJ128"/>
    <mergeCell ref="A124:AC124"/>
    <mergeCell ref="AD124:AJ124"/>
    <mergeCell ref="A126:AJ126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10:B110"/>
    <mergeCell ref="C110:AC110"/>
    <mergeCell ref="AD110:AJ110"/>
    <mergeCell ref="A111:AC111"/>
    <mergeCell ref="AD111:AJ111"/>
    <mergeCell ref="A112:AJ112"/>
    <mergeCell ref="A107:AJ107"/>
    <mergeCell ref="A108:AJ108"/>
    <mergeCell ref="A109:B109"/>
    <mergeCell ref="C109:X109"/>
    <mergeCell ref="Y109:AC109"/>
    <mergeCell ref="AD109:AJ109"/>
    <mergeCell ref="A92:AJ92"/>
    <mergeCell ref="A80:B80"/>
    <mergeCell ref="C80:AC80"/>
    <mergeCell ref="AD80:AJ80"/>
    <mergeCell ref="A81:AC81"/>
    <mergeCell ref="AD81:AJ81"/>
    <mergeCell ref="A82:AJ82"/>
    <mergeCell ref="A83:AJ83"/>
    <mergeCell ref="A84:B84"/>
    <mergeCell ref="C84:X84"/>
    <mergeCell ref="A78:B78"/>
    <mergeCell ref="C78:AC78"/>
    <mergeCell ref="AD78:AJ78"/>
    <mergeCell ref="A79:B79"/>
    <mergeCell ref="C79:AC79"/>
    <mergeCell ref="AD79:AJ79"/>
    <mergeCell ref="A74:AC74"/>
    <mergeCell ref="AD74:AJ74"/>
    <mergeCell ref="A75:AJ75"/>
    <mergeCell ref="A76:AJ76"/>
    <mergeCell ref="A77:B77"/>
    <mergeCell ref="C77:AC77"/>
    <mergeCell ref="AD77:AJ7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AQ160"/>
  <sheetViews>
    <sheetView showGridLines="0" topLeftCell="A67" zoomScale="115" zoomScaleNormal="115" zoomScaleSheetLayoutView="120" workbookViewId="0">
      <selection activeCell="AL154" sqref="AL154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6" width="3.85546875" style="34" customWidth="1"/>
    <col min="37" max="37" width="2.42578125" style="34" customWidth="1"/>
    <col min="38" max="38" width="13" style="34" customWidth="1"/>
    <col min="39" max="42" width="2.42578125" style="34"/>
    <col min="43" max="43" width="3.5703125" style="34" customWidth="1"/>
    <col min="44" max="16384" width="2.42578125" style="34"/>
  </cols>
  <sheetData>
    <row r="1" spans="1:36" ht="15" customHeight="1">
      <c r="A1" s="854"/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  <c r="AI1" s="854"/>
      <c r="AJ1" s="854"/>
    </row>
    <row r="2" spans="1:36" ht="15" customHeight="1">
      <c r="A2" s="855" t="s">
        <v>26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  <c r="S2" s="855"/>
      <c r="T2" s="855"/>
      <c r="U2" s="855"/>
      <c r="V2" s="855"/>
      <c r="W2" s="855"/>
      <c r="X2" s="855"/>
      <c r="Y2" s="855"/>
      <c r="Z2" s="855"/>
      <c r="AA2" s="855"/>
      <c r="AB2" s="855"/>
      <c r="AC2" s="855"/>
      <c r="AD2" s="855"/>
      <c r="AE2" s="855"/>
      <c r="AF2" s="855"/>
      <c r="AG2" s="855"/>
      <c r="AH2" s="855"/>
      <c r="AI2" s="855"/>
      <c r="AJ2" s="855"/>
    </row>
    <row r="3" spans="1:36" ht="15" customHeight="1">
      <c r="A3" s="855" t="s">
        <v>27</v>
      </c>
      <c r="B3" s="855"/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  <c r="AB3" s="855"/>
      <c r="AC3" s="855"/>
      <c r="AD3" s="855"/>
      <c r="AE3" s="855"/>
      <c r="AF3" s="855"/>
      <c r="AG3" s="855"/>
      <c r="AH3" s="855"/>
      <c r="AI3" s="855"/>
      <c r="AJ3" s="855"/>
    </row>
    <row r="4" spans="1:36" ht="15" customHeight="1">
      <c r="A4" s="855" t="s">
        <v>329</v>
      </c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B4" s="855"/>
      <c r="AC4" s="855"/>
      <c r="AD4" s="855"/>
      <c r="AE4" s="855"/>
      <c r="AF4" s="855"/>
      <c r="AG4" s="855"/>
      <c r="AH4" s="855"/>
      <c r="AI4" s="855"/>
      <c r="AJ4" s="855"/>
    </row>
    <row r="5" spans="1:36" ht="15" customHeight="1">
      <c r="A5" s="854"/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854"/>
      <c r="W5" s="854"/>
      <c r="X5" s="854"/>
      <c r="Y5" s="854"/>
      <c r="Z5" s="854"/>
      <c r="AA5" s="854"/>
      <c r="AB5" s="854"/>
      <c r="AC5" s="854"/>
      <c r="AD5" s="854"/>
      <c r="AE5" s="854"/>
      <c r="AF5" s="854"/>
      <c r="AG5" s="854"/>
      <c r="AH5" s="854"/>
      <c r="AI5" s="854"/>
      <c r="AJ5" s="854"/>
    </row>
    <row r="6" spans="1:36" ht="15" customHeight="1">
      <c r="A6" s="854"/>
      <c r="B6" s="854"/>
      <c r="C6" s="854"/>
      <c r="D6" s="854"/>
      <c r="E6" s="854"/>
      <c r="F6" s="854"/>
      <c r="G6" s="854"/>
      <c r="H6" s="854"/>
      <c r="I6" s="854"/>
      <c r="J6" s="854"/>
      <c r="K6" s="854"/>
      <c r="L6" s="854"/>
      <c r="M6" s="854"/>
      <c r="N6" s="854"/>
      <c r="O6" s="854"/>
      <c r="P6" s="854"/>
      <c r="Q6" s="854"/>
      <c r="R6" s="854"/>
      <c r="S6" s="854"/>
      <c r="T6" s="854"/>
      <c r="U6" s="854"/>
      <c r="V6" s="854"/>
      <c r="W6" s="854"/>
      <c r="X6" s="854"/>
      <c r="Y6" s="854"/>
      <c r="Z6" s="854"/>
      <c r="AA6" s="854"/>
      <c r="AB6" s="854"/>
      <c r="AC6" s="854"/>
      <c r="AD6" s="854"/>
      <c r="AE6" s="854"/>
      <c r="AF6" s="854"/>
      <c r="AG6" s="854"/>
      <c r="AH6" s="854"/>
      <c r="AI6" s="854"/>
      <c r="AJ6" s="854"/>
    </row>
    <row r="7" spans="1:36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</row>
    <row r="8" spans="1:36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</row>
    <row r="9" spans="1:36" s="35" customFormat="1" ht="14.45" customHeight="1">
      <c r="A9" s="856" t="s">
        <v>373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</row>
    <row r="10" spans="1:36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</row>
    <row r="11" spans="1:36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</row>
    <row r="12" spans="1:36" s="35" customFormat="1" ht="14.45" customHeight="1">
      <c r="A12" s="860" t="s">
        <v>144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  <c r="R12" s="861"/>
      <c r="S12" s="861"/>
      <c r="T12" s="861"/>
      <c r="U12" s="861"/>
      <c r="V12" s="861"/>
      <c r="W12" s="861"/>
      <c r="X12" s="861"/>
      <c r="Y12" s="861"/>
      <c r="Z12" s="861"/>
      <c r="AA12" s="861"/>
      <c r="AB12" s="861"/>
      <c r="AC12" s="861"/>
      <c r="AD12" s="861"/>
      <c r="AE12" s="861"/>
      <c r="AF12" s="861"/>
      <c r="AG12" s="861"/>
      <c r="AH12" s="861"/>
      <c r="AI12" s="861"/>
      <c r="AJ12" s="862"/>
    </row>
    <row r="13" spans="1:36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</row>
    <row r="14" spans="1:36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</row>
    <row r="15" spans="1:36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</row>
    <row r="16" spans="1:36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</row>
    <row r="17" spans="1:36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</row>
    <row r="18" spans="1:36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</row>
    <row r="19" spans="1:36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</row>
    <row r="20" spans="1:36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</row>
    <row r="21" spans="1:36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</row>
    <row r="22" spans="1:36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335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</row>
    <row r="23" spans="1:36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</row>
    <row r="24" spans="1:36" s="35" customFormat="1" ht="14.45" customHeight="1">
      <c r="A24" s="832" t="s">
        <v>374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</row>
    <row r="25" spans="1:36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</row>
    <row r="26" spans="1:36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</row>
    <row r="27" spans="1:36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</row>
    <row r="29" spans="1:36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</row>
    <row r="30" spans="1:36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819" t="s">
        <v>220</v>
      </c>
      <c r="AE30" s="819"/>
      <c r="AF30" s="819"/>
      <c r="AG30" s="819"/>
      <c r="AH30" s="819"/>
      <c r="AI30" s="819"/>
      <c r="AJ30" s="819"/>
    </row>
    <row r="31" spans="1:36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819" t="s">
        <v>223</v>
      </c>
      <c r="AE31" s="819"/>
      <c r="AF31" s="819"/>
      <c r="AG31" s="819"/>
      <c r="AH31" s="819"/>
      <c r="AI31" s="819"/>
      <c r="AJ31" s="819"/>
    </row>
    <row r="32" spans="1:36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f>'Recepcionista JPA'!AD32</f>
        <v>1124</v>
      </c>
      <c r="AE32" s="820"/>
      <c r="AF32" s="820"/>
      <c r="AG32" s="820"/>
      <c r="AH32" s="820"/>
      <c r="AI32" s="820"/>
      <c r="AJ32" s="820"/>
    </row>
    <row r="33" spans="1:36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19" t="s">
        <v>220</v>
      </c>
      <c r="AE33" s="819"/>
      <c r="AF33" s="819"/>
      <c r="AG33" s="819"/>
      <c r="AH33" s="819"/>
      <c r="AI33" s="819"/>
      <c r="AJ33" s="819"/>
    </row>
    <row r="34" spans="1:36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</row>
    <row r="35" spans="1:36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6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</row>
    <row r="38" spans="1:36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1124</v>
      </c>
      <c r="AE38" s="775"/>
      <c r="AF38" s="775"/>
      <c r="AG38" s="775"/>
      <c r="AH38" s="775"/>
      <c r="AI38" s="775"/>
      <c r="AJ38" s="776"/>
    </row>
    <row r="39" spans="1:36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6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41"/>
      <c r="Z40" s="742"/>
      <c r="AA40" s="742"/>
      <c r="AB40" s="742"/>
      <c r="AC40" s="743"/>
      <c r="AD40" s="744"/>
      <c r="AE40" s="745"/>
      <c r="AF40" s="745"/>
      <c r="AG40" s="745"/>
      <c r="AH40" s="745"/>
      <c r="AI40" s="745"/>
      <c r="AJ40" s="746"/>
    </row>
    <row r="41" spans="1:36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6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6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6" ht="14.45" customHeight="1">
      <c r="A44" s="722" t="s">
        <v>8</v>
      </c>
      <c r="B44" s="723"/>
      <c r="C44" s="724" t="s">
        <v>381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14"/>
      <c r="Z44" s="811"/>
      <c r="AA44" s="811"/>
      <c r="AB44" s="811"/>
      <c r="AC44" s="812"/>
      <c r="AD44" s="744">
        <v>220</v>
      </c>
      <c r="AE44" s="745"/>
      <c r="AF44" s="745"/>
      <c r="AG44" s="745"/>
      <c r="AH44" s="745"/>
      <c r="AI44" s="745"/>
      <c r="AJ44" s="746"/>
    </row>
    <row r="45" spans="1:36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1344</v>
      </c>
      <c r="AE45" s="692"/>
      <c r="AF45" s="692"/>
      <c r="AG45" s="692"/>
      <c r="AH45" s="692"/>
      <c r="AI45" s="692"/>
      <c r="AJ45" s="693"/>
    </row>
    <row r="46" spans="1:36" ht="14.45" customHeight="1">
      <c r="A46" s="331"/>
      <c r="B46" s="331"/>
      <c r="C46" s="331"/>
      <c r="D46" s="331"/>
      <c r="E46" s="331"/>
      <c r="F46" s="331"/>
      <c r="G46" s="331"/>
      <c r="H46" s="331"/>
      <c r="I46" s="331"/>
      <c r="J46" s="331"/>
      <c r="K46" s="331"/>
      <c r="L46" s="331"/>
      <c r="M46" s="331"/>
      <c r="N46" s="331"/>
      <c r="O46" s="331"/>
      <c r="P46" s="331"/>
      <c r="Q46" s="331"/>
      <c r="R46" s="331"/>
      <c r="S46" s="331"/>
      <c r="T46" s="331"/>
      <c r="U46" s="331"/>
      <c r="V46" s="331"/>
      <c r="W46" s="331"/>
      <c r="X46" s="331"/>
      <c r="Y46" s="332"/>
      <c r="Z46" s="332"/>
      <c r="AA46" s="332"/>
      <c r="AB46" s="332"/>
      <c r="AC46" s="332"/>
      <c r="AD46" s="61"/>
      <c r="AE46" s="61"/>
      <c r="AF46" s="61"/>
      <c r="AG46" s="61"/>
      <c r="AH46" s="61"/>
      <c r="AI46" s="61"/>
      <c r="AJ46" s="61"/>
    </row>
    <row r="47" spans="1:36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6" ht="14.45" customHeight="1">
      <c r="A48" s="813" t="s">
        <v>280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112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37.333333333333329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149.33333333333331</v>
      </c>
      <c r="AE52" s="692"/>
      <c r="AF52" s="692"/>
      <c r="AG52" s="692"/>
      <c r="AH52" s="692"/>
      <c r="AI52" s="692"/>
      <c r="AJ52" s="693"/>
    </row>
    <row r="53" spans="1:36" ht="14.45" customHeight="1">
      <c r="A53" s="331"/>
      <c r="B53" s="331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1"/>
      <c r="N53" s="331"/>
      <c r="O53" s="331"/>
      <c r="P53" s="331"/>
      <c r="Q53" s="331"/>
      <c r="R53" s="331"/>
      <c r="S53" s="331"/>
      <c r="T53" s="331"/>
      <c r="U53" s="331"/>
      <c r="V53" s="331"/>
      <c r="W53" s="331"/>
      <c r="X53" s="331"/>
      <c r="Y53" s="332"/>
      <c r="Z53" s="332"/>
      <c r="AA53" s="332"/>
      <c r="AB53" s="332"/>
      <c r="AC53" s="332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298.66666666666669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37.333333333333336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44.8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22.4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14.933333333333334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8.9599999999999991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2.9866666666666664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119.46666666666667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549.54666666666662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108.56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453.56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149.33333333333331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549.54666666666662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453.56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1152.4399999999998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5.6</v>
      </c>
      <c r="AE85" s="775"/>
      <c r="AF85" s="775"/>
      <c r="AG85" s="775"/>
      <c r="AH85" s="775"/>
      <c r="AI85" s="775"/>
      <c r="AJ85" s="776"/>
      <c r="AL85" s="116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0.44800000000000001</v>
      </c>
      <c r="AE86" s="775"/>
      <c r="AF86" s="775"/>
      <c r="AG86" s="775"/>
      <c r="AH86" s="775"/>
      <c r="AI86" s="775"/>
      <c r="AJ86" s="776"/>
      <c r="AL86" s="116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48.802133333333337</v>
      </c>
      <c r="AE87" s="775"/>
      <c r="AF87" s="775"/>
      <c r="AG87" s="775"/>
      <c r="AH87" s="775"/>
      <c r="AI87" s="775"/>
      <c r="AJ87" s="776"/>
      <c r="AL87" s="116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48.541888888888884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9.617066666666668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0.83626666666666682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113.84535555555556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112</v>
      </c>
      <c r="AE96" s="775"/>
      <c r="AF96" s="775"/>
      <c r="AG96" s="775"/>
      <c r="AH96" s="775"/>
      <c r="AI96" s="775"/>
      <c r="AJ96" s="776"/>
      <c r="AK96" s="130"/>
      <c r="AL96" s="117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18.6816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0.26880000000000004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3.7631999999999999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1.7471999999999999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0.94079999999999997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26.377244444444443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50.563788800000005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214.34263324444444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7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7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7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214.34263324444444</v>
      </c>
      <c r="AE115" s="775"/>
      <c r="AF115" s="775"/>
      <c r="AG115" s="775"/>
      <c r="AH115" s="775"/>
      <c r="AI115" s="775"/>
      <c r="AJ115" s="776"/>
    </row>
    <row r="116" spans="1:37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7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214.34263324444444</v>
      </c>
      <c r="AE117" s="692"/>
      <c r="AF117" s="692"/>
      <c r="AG117" s="692"/>
      <c r="AH117" s="692"/>
      <c r="AI117" s="692"/>
      <c r="AJ117" s="693"/>
    </row>
    <row r="118" spans="1:37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7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7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7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'Fardamentos e EPI´s - Recepcio'!H14</f>
        <v>62.36</v>
      </c>
      <c r="AE121" s="772"/>
      <c r="AF121" s="772"/>
      <c r="AG121" s="772"/>
      <c r="AH121" s="772"/>
      <c r="AI121" s="772"/>
      <c r="AJ121" s="773"/>
    </row>
    <row r="122" spans="1:37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7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/>
      <c r="AE123" s="772"/>
      <c r="AF123" s="772"/>
      <c r="AG123" s="772"/>
      <c r="AH123" s="772"/>
      <c r="AI123" s="772"/>
      <c r="AJ123" s="773"/>
    </row>
    <row r="124" spans="1:37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62.36</v>
      </c>
      <c r="AE124" s="692"/>
      <c r="AF124" s="692"/>
      <c r="AG124" s="692"/>
      <c r="AH124" s="692"/>
      <c r="AI124" s="692"/>
      <c r="AJ124" s="693"/>
    </row>
    <row r="125" spans="1:37" ht="14.45" customHeight="1"/>
    <row r="126" spans="1:37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7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7" ht="14.45" customHeight="1">
      <c r="A128" s="736" t="s">
        <v>0</v>
      </c>
      <c r="B128" s="737"/>
      <c r="C128" s="757" t="s">
        <v>328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86.609639663999985</v>
      </c>
      <c r="AE128" s="745"/>
      <c r="AF128" s="745"/>
      <c r="AG128" s="745"/>
      <c r="AH128" s="745"/>
      <c r="AI128" s="745"/>
      <c r="AJ128" s="746"/>
      <c r="AK128" s="130"/>
    </row>
    <row r="129" spans="1:37" ht="14.45" customHeight="1">
      <c r="A129" s="736" t="s">
        <v>1</v>
      </c>
      <c r="B129" s="737"/>
      <c r="C129" s="757" t="s">
        <v>327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196.02648443951998</v>
      </c>
      <c r="AE129" s="745"/>
      <c r="AF129" s="745"/>
      <c r="AG129" s="745"/>
      <c r="AH129" s="745"/>
      <c r="AI129" s="745"/>
      <c r="AJ129" s="746"/>
      <c r="AK129" s="130"/>
    </row>
    <row r="130" spans="1:37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</row>
    <row r="131" spans="1:37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7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104.09274590816159</v>
      </c>
      <c r="AE132" s="745"/>
      <c r="AF132" s="745"/>
      <c r="AG132" s="745"/>
      <c r="AH132" s="745"/>
      <c r="AI132" s="745"/>
      <c r="AJ132" s="746"/>
      <c r="AK132" s="130"/>
    </row>
    <row r="133" spans="1:37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22.553428280101677</v>
      </c>
      <c r="AE133" s="745"/>
      <c r="AF133" s="745"/>
      <c r="AG133" s="745"/>
      <c r="AH133" s="745"/>
      <c r="AI133" s="745"/>
      <c r="AJ133" s="746"/>
      <c r="AK133" s="134"/>
    </row>
    <row r="134" spans="1:37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173.48790984693599</v>
      </c>
      <c r="AE134" s="745"/>
      <c r="AF134" s="745"/>
      <c r="AG134" s="745"/>
      <c r="AH134" s="745"/>
      <c r="AI134" s="745"/>
      <c r="AJ134" s="746"/>
      <c r="AK134" s="130"/>
    </row>
    <row r="135" spans="1:37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582.77020813871923</v>
      </c>
      <c r="AE135" s="747"/>
      <c r="AF135" s="747"/>
      <c r="AG135" s="747"/>
      <c r="AH135" s="747"/>
      <c r="AI135" s="747"/>
      <c r="AJ135" s="747"/>
      <c r="AK135" s="130"/>
    </row>
    <row r="136" spans="1:37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7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7" ht="14.45" customHeight="1">
      <c r="A138" s="330"/>
      <c r="B138" s="330"/>
      <c r="C138" s="330"/>
      <c r="D138" s="330"/>
      <c r="E138" s="330"/>
      <c r="F138" s="330"/>
      <c r="G138" s="330"/>
      <c r="H138" s="330"/>
      <c r="I138" s="330"/>
      <c r="J138" s="330"/>
      <c r="K138" s="330"/>
      <c r="L138" s="330"/>
      <c r="M138" s="330"/>
      <c r="N138" s="330"/>
      <c r="O138" s="330"/>
      <c r="P138" s="330"/>
      <c r="Q138" s="330"/>
      <c r="R138" s="330"/>
      <c r="S138" s="330"/>
      <c r="T138" s="330"/>
      <c r="U138" s="330"/>
      <c r="V138" s="330"/>
      <c r="W138" s="330"/>
      <c r="X138" s="330"/>
      <c r="Y138" s="330"/>
      <c r="Z138" s="330"/>
      <c r="AA138" s="330"/>
      <c r="AB138" s="330"/>
      <c r="AC138" s="330"/>
      <c r="AD138" s="330"/>
      <c r="AE138" s="330"/>
      <c r="AF138" s="330"/>
      <c r="AG138" s="330"/>
      <c r="AH138" s="330"/>
      <c r="AI138" s="330"/>
      <c r="AJ138" s="330"/>
      <c r="AK138" s="130"/>
    </row>
    <row r="139" spans="1:37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7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1344</v>
      </c>
      <c r="AE140" s="720"/>
      <c r="AF140" s="720"/>
      <c r="AG140" s="720"/>
      <c r="AH140" s="720"/>
      <c r="AI140" s="720"/>
      <c r="AJ140" s="721"/>
      <c r="AK140" s="130"/>
    </row>
    <row r="141" spans="1:37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1152.4399999999998</v>
      </c>
      <c r="AE141" s="720"/>
      <c r="AF141" s="720"/>
      <c r="AG141" s="720"/>
      <c r="AH141" s="720"/>
      <c r="AI141" s="720"/>
      <c r="AJ141" s="721"/>
      <c r="AK141" s="130"/>
    </row>
    <row r="142" spans="1:37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113.84535555555556</v>
      </c>
      <c r="AE142" s="720"/>
      <c r="AF142" s="720"/>
      <c r="AG142" s="720"/>
      <c r="AH142" s="720"/>
      <c r="AI142" s="720"/>
      <c r="AJ142" s="721"/>
      <c r="AK142" s="130"/>
    </row>
    <row r="143" spans="1:37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214.34263324444444</v>
      </c>
      <c r="AE143" s="720"/>
      <c r="AF143" s="720"/>
      <c r="AG143" s="720"/>
      <c r="AH143" s="720"/>
      <c r="AI143" s="720"/>
      <c r="AJ143" s="721"/>
      <c r="AK143" s="130"/>
    </row>
    <row r="144" spans="1:37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62.36</v>
      </c>
      <c r="AE144" s="720"/>
      <c r="AF144" s="720"/>
      <c r="AG144" s="720"/>
      <c r="AH144" s="720"/>
      <c r="AI144" s="720"/>
      <c r="AJ144" s="721"/>
      <c r="AK144" s="130"/>
    </row>
    <row r="145" spans="1:38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2886.9879888</v>
      </c>
      <c r="AE145" s="720"/>
      <c r="AF145" s="720"/>
      <c r="AG145" s="720"/>
      <c r="AH145" s="720"/>
      <c r="AI145" s="720"/>
      <c r="AJ145" s="721"/>
      <c r="AK145" s="130"/>
      <c r="AL145" s="117"/>
    </row>
    <row r="146" spans="1:38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582.77020813871923</v>
      </c>
      <c r="AE146" s="720"/>
      <c r="AF146" s="720"/>
      <c r="AG146" s="720"/>
      <c r="AH146" s="720"/>
      <c r="AI146" s="720"/>
      <c r="AJ146" s="721"/>
      <c r="AK146" s="130"/>
      <c r="AL146" s="117"/>
    </row>
    <row r="147" spans="1:38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3469.7581969387197</v>
      </c>
      <c r="AE147" s="692"/>
      <c r="AF147" s="692"/>
      <c r="AG147" s="692"/>
      <c r="AH147" s="692"/>
      <c r="AI147" s="692"/>
      <c r="AJ147" s="693"/>
      <c r="AK147" s="130"/>
      <c r="AL147" s="117"/>
    </row>
    <row r="148" spans="1:38" ht="14.45" customHeight="1"/>
    <row r="149" spans="1:38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8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8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8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8" ht="34.15" customHeight="1">
      <c r="A153" s="701" t="str">
        <f>A24</f>
        <v>SERVIÇOS DE RECEPÇAO (CAMPINA GRANDE)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3469.7581969387197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3469.7581969387197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3469.7581969387197</v>
      </c>
      <c r="AF153" s="714"/>
      <c r="AG153" s="714"/>
      <c r="AH153" s="714"/>
      <c r="AI153" s="714"/>
      <c r="AJ153" s="715"/>
    </row>
    <row r="154" spans="1:38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3469.76</v>
      </c>
      <c r="AF154" s="686"/>
      <c r="AG154" s="686"/>
      <c r="AH154" s="686"/>
      <c r="AI154" s="686"/>
      <c r="AJ154" s="686"/>
    </row>
    <row r="155" spans="1:38" ht="14.45" customHeight="1"/>
    <row r="156" spans="1:38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8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8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8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3469.76</v>
      </c>
      <c r="AE159" s="700"/>
      <c r="AF159" s="700"/>
      <c r="AG159" s="700"/>
      <c r="AH159" s="700"/>
      <c r="AI159" s="700"/>
      <c r="AJ159" s="700"/>
    </row>
    <row r="160" spans="1:38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124911.36000000002</v>
      </c>
      <c r="AE160" s="684"/>
      <c r="AF160" s="684"/>
      <c r="AG160" s="684"/>
      <c r="AH160" s="684"/>
      <c r="AI160" s="684"/>
      <c r="AJ160" s="684"/>
    </row>
  </sheetData>
  <mergeCells count="392"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  <mergeCell ref="AD159:AJ159"/>
    <mergeCell ref="A153:L153"/>
    <mergeCell ref="M153:Q153"/>
    <mergeCell ref="R153:V153"/>
    <mergeCell ref="W153:AA153"/>
    <mergeCell ref="AB153:AD153"/>
    <mergeCell ref="AE153:AJ153"/>
    <mergeCell ref="A152:L152"/>
    <mergeCell ref="M152:Q152"/>
    <mergeCell ref="R152:V152"/>
    <mergeCell ref="W152:AA152"/>
    <mergeCell ref="AB152:AD152"/>
    <mergeCell ref="AE152:AJ15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A145:AC145"/>
    <mergeCell ref="AD145:AJ145"/>
    <mergeCell ref="A146:B146"/>
    <mergeCell ref="C146:AC146"/>
    <mergeCell ref="AD146:AJ146"/>
    <mergeCell ref="A147:AC147"/>
    <mergeCell ref="AD147:AJ147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35:AC135"/>
    <mergeCell ref="AD135:AJ135"/>
    <mergeCell ref="A137:AJ137"/>
    <mergeCell ref="A139:AC139"/>
    <mergeCell ref="AD139:AJ139"/>
    <mergeCell ref="A140:B140"/>
    <mergeCell ref="C140:AC140"/>
    <mergeCell ref="AD140:AJ140"/>
    <mergeCell ref="AD132:AJ132"/>
    <mergeCell ref="A133:B133"/>
    <mergeCell ref="C133:X133"/>
    <mergeCell ref="Y133:AC133"/>
    <mergeCell ref="AD133:AJ133"/>
    <mergeCell ref="A134:B134"/>
    <mergeCell ref="C134:X134"/>
    <mergeCell ref="Y134:AC134"/>
    <mergeCell ref="AD134:AJ134"/>
    <mergeCell ref="Y130:AC130"/>
    <mergeCell ref="A131:B131"/>
    <mergeCell ref="C131:X131"/>
    <mergeCell ref="Y131:AC131"/>
    <mergeCell ref="A132:B132"/>
    <mergeCell ref="C132:X132"/>
    <mergeCell ref="Y132:AC132"/>
    <mergeCell ref="A128:B128"/>
    <mergeCell ref="C128:X128"/>
    <mergeCell ref="Y128:AC128"/>
    <mergeCell ref="AD128:AJ128"/>
    <mergeCell ref="A129:B129"/>
    <mergeCell ref="C129:X129"/>
    <mergeCell ref="Y129:AC129"/>
    <mergeCell ref="AD129:AJ129"/>
    <mergeCell ref="A124:AC124"/>
    <mergeCell ref="AD124:AJ124"/>
    <mergeCell ref="A126:AJ126"/>
    <mergeCell ref="A127:B127"/>
    <mergeCell ref="C127:X127"/>
    <mergeCell ref="Y127:AC127"/>
    <mergeCell ref="AD127:AJ127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10:B110"/>
    <mergeCell ref="C110:AC110"/>
    <mergeCell ref="AD110:AJ110"/>
    <mergeCell ref="A111:AC111"/>
    <mergeCell ref="AD111:AJ111"/>
    <mergeCell ref="A112:AJ112"/>
    <mergeCell ref="A106:X106"/>
    <mergeCell ref="Y106:AC106"/>
    <mergeCell ref="AD106:AJ106"/>
    <mergeCell ref="A107:AJ107"/>
    <mergeCell ref="A108:AJ108"/>
    <mergeCell ref="A109:B109"/>
    <mergeCell ref="C109:X109"/>
    <mergeCell ref="Y109:AC109"/>
    <mergeCell ref="AD109:AJ109"/>
    <mergeCell ref="A104:AC104"/>
    <mergeCell ref="AD104:AJ104"/>
    <mergeCell ref="A105:B105"/>
    <mergeCell ref="C105:X105"/>
    <mergeCell ref="Y105:AC105"/>
    <mergeCell ref="AD105:AJ105"/>
    <mergeCell ref="A102:X102"/>
    <mergeCell ref="Y102:AC102"/>
    <mergeCell ref="AD102:AJ102"/>
    <mergeCell ref="A103:B103"/>
    <mergeCell ref="C103:X103"/>
    <mergeCell ref="Y103:AC103"/>
    <mergeCell ref="AD103:AJ103"/>
    <mergeCell ref="A100:B100"/>
    <mergeCell ref="C100:X100"/>
    <mergeCell ref="Y100:AC100"/>
    <mergeCell ref="AD100:AJ100"/>
    <mergeCell ref="A101:B101"/>
    <mergeCell ref="C101:X101"/>
    <mergeCell ref="Y101:AC101"/>
    <mergeCell ref="AD101:AJ101"/>
    <mergeCell ref="A98:B98"/>
    <mergeCell ref="C98:X98"/>
    <mergeCell ref="Y98:AC98"/>
    <mergeCell ref="AD98:AJ98"/>
    <mergeCell ref="A99:B99"/>
    <mergeCell ref="C99:X99"/>
    <mergeCell ref="Y99:AC99"/>
    <mergeCell ref="AD99:AJ99"/>
    <mergeCell ref="A96:B96"/>
    <mergeCell ref="C96:X96"/>
    <mergeCell ref="Y96:AC96"/>
    <mergeCell ref="AD96:AJ96"/>
    <mergeCell ref="A97:B97"/>
    <mergeCell ref="C97:X97"/>
    <mergeCell ref="Y97:AC97"/>
    <mergeCell ref="AD97:AJ97"/>
    <mergeCell ref="A92:AJ92"/>
    <mergeCell ref="A93:AJ93"/>
    <mergeCell ref="A94:AJ94"/>
    <mergeCell ref="A95:B95"/>
    <mergeCell ref="C95:X95"/>
    <mergeCell ref="Y95:AC95"/>
    <mergeCell ref="AD95:AJ95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A83:AJ83"/>
    <mergeCell ref="A84:B84"/>
    <mergeCell ref="C84:X84"/>
    <mergeCell ref="Y84:AC84"/>
    <mergeCell ref="AD84:AJ84"/>
    <mergeCell ref="A85:B85"/>
    <mergeCell ref="C85:X85"/>
    <mergeCell ref="Y85:AC85"/>
    <mergeCell ref="AD85:AJ85"/>
    <mergeCell ref="A80:B80"/>
    <mergeCell ref="C80:AC80"/>
    <mergeCell ref="AD80:AJ80"/>
    <mergeCell ref="A81:AC81"/>
    <mergeCell ref="AD81:AJ81"/>
    <mergeCell ref="A82:AJ82"/>
    <mergeCell ref="A78:B78"/>
    <mergeCell ref="C78:AC78"/>
    <mergeCell ref="AD78:AJ78"/>
    <mergeCell ref="A79:B79"/>
    <mergeCell ref="C79:AC79"/>
    <mergeCell ref="AD79:AJ79"/>
    <mergeCell ref="A74:AC74"/>
    <mergeCell ref="AD74:AJ74"/>
    <mergeCell ref="A75:AJ75"/>
    <mergeCell ref="A76:AJ76"/>
    <mergeCell ref="A77:B77"/>
    <mergeCell ref="C77:AC77"/>
    <mergeCell ref="AD77:AJ7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AQ160"/>
  <sheetViews>
    <sheetView showGridLines="0" topLeftCell="A61" zoomScale="115" zoomScaleNormal="115" zoomScaleSheetLayoutView="120" workbookViewId="0">
      <selection activeCell="AD32" sqref="AD32:AJ32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6" width="3.85546875" style="34" customWidth="1"/>
    <col min="37" max="37" width="2.42578125" style="34" customWidth="1"/>
    <col min="38" max="38" width="13" style="34" customWidth="1"/>
    <col min="39" max="42" width="2.42578125" style="34"/>
    <col min="43" max="43" width="3.5703125" style="34" customWidth="1"/>
    <col min="44" max="16384" width="2.42578125" style="34"/>
  </cols>
  <sheetData>
    <row r="1" spans="1:36" ht="15" customHeight="1">
      <c r="A1" s="854"/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  <c r="AI1" s="854"/>
      <c r="AJ1" s="854"/>
    </row>
    <row r="2" spans="1:36" ht="15" customHeight="1">
      <c r="A2" s="855" t="s">
        <v>26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  <c r="S2" s="855"/>
      <c r="T2" s="855"/>
      <c r="U2" s="855"/>
      <c r="V2" s="855"/>
      <c r="W2" s="855"/>
      <c r="X2" s="855"/>
      <c r="Y2" s="855"/>
      <c r="Z2" s="855"/>
      <c r="AA2" s="855"/>
      <c r="AB2" s="855"/>
      <c r="AC2" s="855"/>
      <c r="AD2" s="855"/>
      <c r="AE2" s="855"/>
      <c r="AF2" s="855"/>
      <c r="AG2" s="855"/>
      <c r="AH2" s="855"/>
      <c r="AI2" s="855"/>
      <c r="AJ2" s="855"/>
    </row>
    <row r="3" spans="1:36" ht="15" customHeight="1">
      <c r="A3" s="855" t="s">
        <v>27</v>
      </c>
      <c r="B3" s="855"/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  <c r="AB3" s="855"/>
      <c r="AC3" s="855"/>
      <c r="AD3" s="855"/>
      <c r="AE3" s="855"/>
      <c r="AF3" s="855"/>
      <c r="AG3" s="855"/>
      <c r="AH3" s="855"/>
      <c r="AI3" s="855"/>
      <c r="AJ3" s="855"/>
    </row>
    <row r="4" spans="1:36" ht="15" customHeight="1">
      <c r="A4" s="855" t="s">
        <v>329</v>
      </c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B4" s="855"/>
      <c r="AC4" s="855"/>
      <c r="AD4" s="855"/>
      <c r="AE4" s="855"/>
      <c r="AF4" s="855"/>
      <c r="AG4" s="855"/>
      <c r="AH4" s="855"/>
      <c r="AI4" s="855"/>
      <c r="AJ4" s="855"/>
    </row>
    <row r="5" spans="1:36" ht="15" customHeight="1">
      <c r="A5" s="854"/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854"/>
      <c r="W5" s="854"/>
      <c r="X5" s="854"/>
      <c r="Y5" s="854"/>
      <c r="Z5" s="854"/>
      <c r="AA5" s="854"/>
      <c r="AB5" s="854"/>
      <c r="AC5" s="854"/>
      <c r="AD5" s="854"/>
      <c r="AE5" s="854"/>
      <c r="AF5" s="854"/>
      <c r="AG5" s="854"/>
      <c r="AH5" s="854"/>
      <c r="AI5" s="854"/>
      <c r="AJ5" s="854"/>
    </row>
    <row r="6" spans="1:36" ht="15" customHeight="1">
      <c r="A6" s="854"/>
      <c r="B6" s="854"/>
      <c r="C6" s="854"/>
      <c r="D6" s="854"/>
      <c r="E6" s="854"/>
      <c r="F6" s="854"/>
      <c r="G6" s="854"/>
      <c r="H6" s="854"/>
      <c r="I6" s="854"/>
      <c r="J6" s="854"/>
      <c r="K6" s="854"/>
      <c r="L6" s="854"/>
      <c r="M6" s="854"/>
      <c r="N6" s="854"/>
      <c r="O6" s="854"/>
      <c r="P6" s="854"/>
      <c r="Q6" s="854"/>
      <c r="R6" s="854"/>
      <c r="S6" s="854"/>
      <c r="T6" s="854"/>
      <c r="U6" s="854"/>
      <c r="V6" s="854"/>
      <c r="W6" s="854"/>
      <c r="X6" s="854"/>
      <c r="Y6" s="854"/>
      <c r="Z6" s="854"/>
      <c r="AA6" s="854"/>
      <c r="AB6" s="854"/>
      <c r="AC6" s="854"/>
      <c r="AD6" s="854"/>
      <c r="AE6" s="854"/>
      <c r="AF6" s="854"/>
      <c r="AG6" s="854"/>
      <c r="AH6" s="854"/>
      <c r="AI6" s="854"/>
      <c r="AJ6" s="854"/>
    </row>
    <row r="7" spans="1:36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</row>
    <row r="8" spans="1:36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</row>
    <row r="9" spans="1:36" s="35" customFormat="1" ht="14.45" customHeight="1">
      <c r="A9" s="856" t="s">
        <v>376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</row>
    <row r="10" spans="1:36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</row>
    <row r="11" spans="1:36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</row>
    <row r="12" spans="1:36" s="35" customFormat="1" ht="14.45" customHeight="1">
      <c r="A12" s="860" t="s">
        <v>144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  <c r="R12" s="861"/>
      <c r="S12" s="861"/>
      <c r="T12" s="861"/>
      <c r="U12" s="861"/>
      <c r="V12" s="861"/>
      <c r="W12" s="861"/>
      <c r="X12" s="861"/>
      <c r="Y12" s="861"/>
      <c r="Z12" s="861"/>
      <c r="AA12" s="861"/>
      <c r="AB12" s="861"/>
      <c r="AC12" s="861"/>
      <c r="AD12" s="861"/>
      <c r="AE12" s="861"/>
      <c r="AF12" s="861"/>
      <c r="AG12" s="861"/>
      <c r="AH12" s="861"/>
      <c r="AI12" s="861"/>
      <c r="AJ12" s="862"/>
    </row>
    <row r="13" spans="1:36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</row>
    <row r="14" spans="1:36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</row>
    <row r="15" spans="1:36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</row>
    <row r="16" spans="1:36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</row>
    <row r="17" spans="1:36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</row>
    <row r="18" spans="1:36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</row>
    <row r="19" spans="1:36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</row>
    <row r="20" spans="1:36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</row>
    <row r="21" spans="1:36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</row>
    <row r="22" spans="1:36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334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</row>
    <row r="23" spans="1:36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</row>
    <row r="24" spans="1:36" s="35" customFormat="1" ht="14.45" customHeight="1">
      <c r="A24" s="832" t="s">
        <v>375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</row>
    <row r="25" spans="1:36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</row>
    <row r="26" spans="1:36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</row>
    <row r="27" spans="1:36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</row>
    <row r="29" spans="1:36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</row>
    <row r="30" spans="1:36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819" t="s">
        <v>220</v>
      </c>
      <c r="AE30" s="819"/>
      <c r="AF30" s="819"/>
      <c r="AG30" s="819"/>
      <c r="AH30" s="819"/>
      <c r="AI30" s="819"/>
      <c r="AJ30" s="819"/>
    </row>
    <row r="31" spans="1:36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819" t="s">
        <v>223</v>
      </c>
      <c r="AE31" s="819"/>
      <c r="AF31" s="819"/>
      <c r="AG31" s="819"/>
      <c r="AH31" s="819"/>
      <c r="AI31" s="819"/>
      <c r="AJ31" s="819"/>
    </row>
    <row r="32" spans="1:36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v>1124</v>
      </c>
      <c r="AE32" s="820"/>
      <c r="AF32" s="820"/>
      <c r="AG32" s="820"/>
      <c r="AH32" s="820"/>
      <c r="AI32" s="820"/>
      <c r="AJ32" s="820"/>
    </row>
    <row r="33" spans="1:36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19" t="s">
        <v>220</v>
      </c>
      <c r="AE33" s="819"/>
      <c r="AF33" s="819"/>
      <c r="AG33" s="819"/>
      <c r="AH33" s="819"/>
      <c r="AI33" s="819"/>
      <c r="AJ33" s="819"/>
    </row>
    <row r="34" spans="1:36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</row>
    <row r="35" spans="1:36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6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</row>
    <row r="38" spans="1:36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1124</v>
      </c>
      <c r="AE38" s="775"/>
      <c r="AF38" s="775"/>
      <c r="AG38" s="775"/>
      <c r="AH38" s="775"/>
      <c r="AI38" s="775"/>
      <c r="AJ38" s="776"/>
    </row>
    <row r="39" spans="1:36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6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41"/>
      <c r="Z40" s="742"/>
      <c r="AA40" s="742"/>
      <c r="AB40" s="742"/>
      <c r="AC40" s="743"/>
      <c r="AD40" s="744"/>
      <c r="AE40" s="745"/>
      <c r="AF40" s="745"/>
      <c r="AG40" s="745"/>
      <c r="AH40" s="745"/>
      <c r="AI40" s="745"/>
      <c r="AJ40" s="746"/>
    </row>
    <row r="41" spans="1:36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6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6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6" ht="14.45" customHeight="1">
      <c r="A44" s="722" t="s">
        <v>8</v>
      </c>
      <c r="B44" s="723"/>
      <c r="C44" s="724" t="s">
        <v>381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14"/>
      <c r="Z44" s="811"/>
      <c r="AA44" s="811"/>
      <c r="AB44" s="811"/>
      <c r="AC44" s="812"/>
      <c r="AD44" s="744">
        <v>220</v>
      </c>
      <c r="AE44" s="745"/>
      <c r="AF44" s="745"/>
      <c r="AG44" s="745"/>
      <c r="AH44" s="745"/>
      <c r="AI44" s="745"/>
      <c r="AJ44" s="746"/>
    </row>
    <row r="45" spans="1:36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1344</v>
      </c>
      <c r="AE45" s="692"/>
      <c r="AF45" s="692"/>
      <c r="AG45" s="692"/>
      <c r="AH45" s="692"/>
      <c r="AI45" s="692"/>
      <c r="AJ45" s="693"/>
    </row>
    <row r="46" spans="1:36" ht="14.45" customHeight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7"/>
      <c r="Z46" s="157"/>
      <c r="AA46" s="157"/>
      <c r="AB46" s="157"/>
      <c r="AC46" s="157"/>
      <c r="AD46" s="61"/>
      <c r="AE46" s="61"/>
      <c r="AF46" s="61"/>
      <c r="AG46" s="61"/>
      <c r="AH46" s="61"/>
      <c r="AI46" s="61"/>
      <c r="AJ46" s="61"/>
    </row>
    <row r="47" spans="1:36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6" ht="14.45" customHeight="1">
      <c r="A48" s="813" t="s">
        <v>280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112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37.333333333333329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149.33333333333331</v>
      </c>
      <c r="AE52" s="692"/>
      <c r="AF52" s="692"/>
      <c r="AG52" s="692"/>
      <c r="AH52" s="692"/>
      <c r="AI52" s="692"/>
      <c r="AJ52" s="693"/>
    </row>
    <row r="53" spans="1:36" ht="14.45" customHeight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7"/>
      <c r="Z53" s="157"/>
      <c r="AA53" s="157"/>
      <c r="AB53" s="157"/>
      <c r="AC53" s="157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298.66666666666669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37.333333333333336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44.8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22.4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14.933333333333334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8.9599999999999991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2.9866666666666664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119.46666666666667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549.54666666666662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108.56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453.56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149.33333333333331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549.54666666666662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453.56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1152.4399999999998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5.6</v>
      </c>
      <c r="AE85" s="775"/>
      <c r="AF85" s="775"/>
      <c r="AG85" s="775"/>
      <c r="AH85" s="775"/>
      <c r="AI85" s="775"/>
      <c r="AJ85" s="776"/>
      <c r="AL85" s="116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0.44800000000000001</v>
      </c>
      <c r="AE86" s="775"/>
      <c r="AF86" s="775"/>
      <c r="AG86" s="775"/>
      <c r="AH86" s="775"/>
      <c r="AI86" s="775"/>
      <c r="AJ86" s="776"/>
      <c r="AL86" s="116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48.802133333333337</v>
      </c>
      <c r="AE87" s="775"/>
      <c r="AF87" s="775"/>
      <c r="AG87" s="775"/>
      <c r="AH87" s="775"/>
      <c r="AI87" s="775"/>
      <c r="AJ87" s="776"/>
      <c r="AL87" s="116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48.541888888888884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9.617066666666668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0.83626666666666682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113.84535555555556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112</v>
      </c>
      <c r="AE96" s="775"/>
      <c r="AF96" s="775"/>
      <c r="AG96" s="775"/>
      <c r="AH96" s="775"/>
      <c r="AI96" s="775"/>
      <c r="AJ96" s="776"/>
      <c r="AK96" s="130"/>
      <c r="AL96" s="117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18.6816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0.26880000000000004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3.7631999999999999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1.7471999999999999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0.94079999999999997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26.377244444444443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50.563788800000005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214.34263324444444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7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7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7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214.34263324444444</v>
      </c>
      <c r="AE115" s="775"/>
      <c r="AF115" s="775"/>
      <c r="AG115" s="775"/>
      <c r="AH115" s="775"/>
      <c r="AI115" s="775"/>
      <c r="AJ115" s="776"/>
    </row>
    <row r="116" spans="1:37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7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214.34263324444444</v>
      </c>
      <c r="AE117" s="692"/>
      <c r="AF117" s="692"/>
      <c r="AG117" s="692"/>
      <c r="AH117" s="692"/>
      <c r="AI117" s="692"/>
      <c r="AJ117" s="693"/>
    </row>
    <row r="118" spans="1:37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7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7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7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'Fardamentos e EPI´s - Recepcio'!H14</f>
        <v>62.36</v>
      </c>
      <c r="AE121" s="772"/>
      <c r="AF121" s="772"/>
      <c r="AG121" s="772"/>
      <c r="AH121" s="772"/>
      <c r="AI121" s="772"/>
      <c r="AJ121" s="773"/>
    </row>
    <row r="122" spans="1:37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7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/>
      <c r="AE123" s="772"/>
      <c r="AF123" s="772"/>
      <c r="AG123" s="772"/>
      <c r="AH123" s="772"/>
      <c r="AI123" s="772"/>
      <c r="AJ123" s="773"/>
    </row>
    <row r="124" spans="1:37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62.36</v>
      </c>
      <c r="AE124" s="692"/>
      <c r="AF124" s="692"/>
      <c r="AG124" s="692"/>
      <c r="AH124" s="692"/>
      <c r="AI124" s="692"/>
      <c r="AJ124" s="693"/>
    </row>
    <row r="125" spans="1:37" ht="14.45" customHeight="1"/>
    <row r="126" spans="1:37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7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7" ht="14.45" customHeight="1">
      <c r="A128" s="736" t="s">
        <v>0</v>
      </c>
      <c r="B128" s="737"/>
      <c r="C128" s="757" t="s">
        <v>328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86.609639663999985</v>
      </c>
      <c r="AE128" s="745"/>
      <c r="AF128" s="745"/>
      <c r="AG128" s="745"/>
      <c r="AH128" s="745"/>
      <c r="AI128" s="745"/>
      <c r="AJ128" s="746"/>
      <c r="AK128" s="130"/>
    </row>
    <row r="129" spans="1:38" ht="14.45" customHeight="1">
      <c r="A129" s="736" t="s">
        <v>1</v>
      </c>
      <c r="B129" s="737"/>
      <c r="C129" s="757" t="s">
        <v>327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196.02648443951998</v>
      </c>
      <c r="AE129" s="745"/>
      <c r="AF129" s="745"/>
      <c r="AG129" s="745"/>
      <c r="AH129" s="745"/>
      <c r="AI129" s="745"/>
      <c r="AJ129" s="746"/>
      <c r="AK129" s="130"/>
    </row>
    <row r="130" spans="1:38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</row>
    <row r="131" spans="1:38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8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104.09274590816159</v>
      </c>
      <c r="AE132" s="745"/>
      <c r="AF132" s="745"/>
      <c r="AG132" s="745"/>
      <c r="AH132" s="745"/>
      <c r="AI132" s="745"/>
      <c r="AJ132" s="746"/>
      <c r="AK132" s="130"/>
    </row>
    <row r="133" spans="1:38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22.553428280101677</v>
      </c>
      <c r="AE133" s="745"/>
      <c r="AF133" s="745"/>
      <c r="AG133" s="745"/>
      <c r="AH133" s="745"/>
      <c r="AI133" s="745"/>
      <c r="AJ133" s="746"/>
      <c r="AK133" s="134"/>
    </row>
    <row r="134" spans="1:38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173.48790984693599</v>
      </c>
      <c r="AE134" s="745"/>
      <c r="AF134" s="745"/>
      <c r="AG134" s="745"/>
      <c r="AH134" s="745"/>
      <c r="AI134" s="745"/>
      <c r="AJ134" s="746"/>
      <c r="AK134" s="130"/>
    </row>
    <row r="135" spans="1:38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582.77020813871923</v>
      </c>
      <c r="AE135" s="747"/>
      <c r="AF135" s="747"/>
      <c r="AG135" s="747"/>
      <c r="AH135" s="747"/>
      <c r="AI135" s="747"/>
      <c r="AJ135" s="747"/>
      <c r="AK135" s="130"/>
    </row>
    <row r="136" spans="1:38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8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8" ht="14.45" customHeight="1">
      <c r="A138" s="155"/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30"/>
    </row>
    <row r="139" spans="1:38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8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1344</v>
      </c>
      <c r="AE140" s="720"/>
      <c r="AF140" s="720"/>
      <c r="AG140" s="720"/>
      <c r="AH140" s="720"/>
      <c r="AI140" s="720"/>
      <c r="AJ140" s="721"/>
      <c r="AK140" s="130"/>
    </row>
    <row r="141" spans="1:38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1152.4399999999998</v>
      </c>
      <c r="AE141" s="720"/>
      <c r="AF141" s="720"/>
      <c r="AG141" s="720"/>
      <c r="AH141" s="720"/>
      <c r="AI141" s="720"/>
      <c r="AJ141" s="721"/>
      <c r="AK141" s="130"/>
    </row>
    <row r="142" spans="1:38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113.84535555555556</v>
      </c>
      <c r="AE142" s="720"/>
      <c r="AF142" s="720"/>
      <c r="AG142" s="720"/>
      <c r="AH142" s="720"/>
      <c r="AI142" s="720"/>
      <c r="AJ142" s="721"/>
      <c r="AK142" s="130"/>
    </row>
    <row r="143" spans="1:38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214.34263324444444</v>
      </c>
      <c r="AE143" s="720"/>
      <c r="AF143" s="720"/>
      <c r="AG143" s="720"/>
      <c r="AH143" s="720"/>
      <c r="AI143" s="720"/>
      <c r="AJ143" s="721"/>
      <c r="AK143" s="130"/>
    </row>
    <row r="144" spans="1:38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62.36</v>
      </c>
      <c r="AE144" s="720"/>
      <c r="AF144" s="720"/>
      <c r="AG144" s="720"/>
      <c r="AH144" s="720"/>
      <c r="AI144" s="720"/>
      <c r="AJ144" s="721"/>
      <c r="AK144" s="130"/>
      <c r="AL144" s="117"/>
    </row>
    <row r="145" spans="1:38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2886.9879888</v>
      </c>
      <c r="AE145" s="720"/>
      <c r="AF145" s="720"/>
      <c r="AG145" s="720"/>
      <c r="AH145" s="720"/>
      <c r="AI145" s="720"/>
      <c r="AJ145" s="721"/>
      <c r="AK145" s="130"/>
      <c r="AL145" s="117"/>
    </row>
    <row r="146" spans="1:38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582.77020813871923</v>
      </c>
      <c r="AE146" s="720"/>
      <c r="AF146" s="720"/>
      <c r="AG146" s="720"/>
      <c r="AH146" s="720"/>
      <c r="AI146" s="720"/>
      <c r="AJ146" s="721"/>
      <c r="AK146" s="130"/>
    </row>
    <row r="147" spans="1:38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3469.7581969387197</v>
      </c>
      <c r="AE147" s="692"/>
      <c r="AF147" s="692"/>
      <c r="AG147" s="692"/>
      <c r="AH147" s="692"/>
      <c r="AI147" s="692"/>
      <c r="AJ147" s="693"/>
      <c r="AK147" s="130"/>
    </row>
    <row r="148" spans="1:38" ht="14.45" customHeight="1"/>
    <row r="149" spans="1:38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8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8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8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8" ht="34.15" customHeight="1">
      <c r="A153" s="701" t="str">
        <f>A24</f>
        <v>SERVIÇOS DE RECEPÇÃO (GUARABIRA)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3469.7581969387197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3469.7581969387197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3469.7581969387197</v>
      </c>
      <c r="AF153" s="714"/>
      <c r="AG153" s="714"/>
      <c r="AH153" s="714"/>
      <c r="AI153" s="714"/>
      <c r="AJ153" s="715"/>
    </row>
    <row r="154" spans="1:38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3469.76</v>
      </c>
      <c r="AF154" s="686"/>
      <c r="AG154" s="686"/>
      <c r="AH154" s="686"/>
      <c r="AI154" s="686"/>
      <c r="AJ154" s="686"/>
    </row>
    <row r="155" spans="1:38" ht="14.45" customHeight="1"/>
    <row r="156" spans="1:38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8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8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8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3469.76</v>
      </c>
      <c r="AE159" s="700"/>
      <c r="AF159" s="700"/>
      <c r="AG159" s="700"/>
      <c r="AH159" s="700"/>
      <c r="AI159" s="700"/>
      <c r="AJ159" s="700"/>
    </row>
    <row r="160" spans="1:38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124911.36000000002</v>
      </c>
      <c r="AE160" s="684"/>
      <c r="AF160" s="684"/>
      <c r="AG160" s="684"/>
      <c r="AH160" s="684"/>
      <c r="AI160" s="684"/>
      <c r="AJ160" s="684"/>
    </row>
  </sheetData>
  <mergeCells count="392"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  <mergeCell ref="AD159:AJ159"/>
    <mergeCell ref="A153:L153"/>
    <mergeCell ref="M153:Q153"/>
    <mergeCell ref="R153:V153"/>
    <mergeCell ref="W153:AA153"/>
    <mergeCell ref="AB153:AD153"/>
    <mergeCell ref="AE153:AJ153"/>
    <mergeCell ref="A152:L152"/>
    <mergeCell ref="M152:Q152"/>
    <mergeCell ref="R152:V152"/>
    <mergeCell ref="W152:AA152"/>
    <mergeCell ref="AB152:AD152"/>
    <mergeCell ref="AE152:AJ15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A145:AC145"/>
    <mergeCell ref="AD145:AJ145"/>
    <mergeCell ref="A146:B146"/>
    <mergeCell ref="C146:AC146"/>
    <mergeCell ref="AD146:AJ146"/>
    <mergeCell ref="A147:AC147"/>
    <mergeCell ref="AD147:AJ147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35:AC135"/>
    <mergeCell ref="AD135:AJ135"/>
    <mergeCell ref="A137:AJ137"/>
    <mergeCell ref="A139:AC139"/>
    <mergeCell ref="AD139:AJ139"/>
    <mergeCell ref="A140:B140"/>
    <mergeCell ref="C140:AC140"/>
    <mergeCell ref="AD140:AJ140"/>
    <mergeCell ref="AD132:AJ132"/>
    <mergeCell ref="A133:B133"/>
    <mergeCell ref="C133:X133"/>
    <mergeCell ref="Y133:AC133"/>
    <mergeCell ref="AD133:AJ133"/>
    <mergeCell ref="A134:B134"/>
    <mergeCell ref="C134:X134"/>
    <mergeCell ref="Y134:AC134"/>
    <mergeCell ref="AD134:AJ134"/>
    <mergeCell ref="Y130:AC130"/>
    <mergeCell ref="A131:B131"/>
    <mergeCell ref="C131:X131"/>
    <mergeCell ref="Y131:AC131"/>
    <mergeCell ref="A132:B132"/>
    <mergeCell ref="C132:X132"/>
    <mergeCell ref="Y132:AC132"/>
    <mergeCell ref="A128:B128"/>
    <mergeCell ref="C128:X128"/>
    <mergeCell ref="Y128:AC128"/>
    <mergeCell ref="AD128:AJ128"/>
    <mergeCell ref="A129:B129"/>
    <mergeCell ref="C129:X129"/>
    <mergeCell ref="Y129:AC129"/>
    <mergeCell ref="AD129:AJ129"/>
    <mergeCell ref="A124:AC124"/>
    <mergeCell ref="AD124:AJ124"/>
    <mergeCell ref="A126:AJ126"/>
    <mergeCell ref="A127:B127"/>
    <mergeCell ref="C127:X127"/>
    <mergeCell ref="Y127:AC127"/>
    <mergeCell ref="AD127:AJ127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10:B110"/>
    <mergeCell ref="C110:AC110"/>
    <mergeCell ref="AD110:AJ110"/>
    <mergeCell ref="A111:AC111"/>
    <mergeCell ref="AD111:AJ111"/>
    <mergeCell ref="A112:AJ112"/>
    <mergeCell ref="A106:X106"/>
    <mergeCell ref="Y106:AC106"/>
    <mergeCell ref="AD106:AJ106"/>
    <mergeCell ref="A107:AJ107"/>
    <mergeCell ref="A108:AJ108"/>
    <mergeCell ref="A109:B109"/>
    <mergeCell ref="C109:X109"/>
    <mergeCell ref="Y109:AC109"/>
    <mergeCell ref="AD109:AJ109"/>
    <mergeCell ref="A104:AC104"/>
    <mergeCell ref="AD104:AJ104"/>
    <mergeCell ref="A105:B105"/>
    <mergeCell ref="C105:X105"/>
    <mergeCell ref="Y105:AC105"/>
    <mergeCell ref="AD105:AJ105"/>
    <mergeCell ref="A102:X102"/>
    <mergeCell ref="Y102:AC102"/>
    <mergeCell ref="AD102:AJ102"/>
    <mergeCell ref="A103:B103"/>
    <mergeCell ref="C103:X103"/>
    <mergeCell ref="Y103:AC103"/>
    <mergeCell ref="AD103:AJ103"/>
    <mergeCell ref="A100:B100"/>
    <mergeCell ref="C100:X100"/>
    <mergeCell ref="Y100:AC100"/>
    <mergeCell ref="AD100:AJ100"/>
    <mergeCell ref="A101:B101"/>
    <mergeCell ref="C101:X101"/>
    <mergeCell ref="Y101:AC101"/>
    <mergeCell ref="AD101:AJ101"/>
    <mergeCell ref="A98:B98"/>
    <mergeCell ref="C98:X98"/>
    <mergeCell ref="Y98:AC98"/>
    <mergeCell ref="AD98:AJ98"/>
    <mergeCell ref="A99:B99"/>
    <mergeCell ref="C99:X99"/>
    <mergeCell ref="Y99:AC99"/>
    <mergeCell ref="AD99:AJ99"/>
    <mergeCell ref="A96:B96"/>
    <mergeCell ref="C96:X96"/>
    <mergeCell ref="Y96:AC96"/>
    <mergeCell ref="AD96:AJ96"/>
    <mergeCell ref="A97:B97"/>
    <mergeCell ref="C97:X97"/>
    <mergeCell ref="Y97:AC97"/>
    <mergeCell ref="AD97:AJ97"/>
    <mergeCell ref="A92:AJ92"/>
    <mergeCell ref="A93:AJ93"/>
    <mergeCell ref="A94:AJ94"/>
    <mergeCell ref="A95:B95"/>
    <mergeCell ref="C95:X95"/>
    <mergeCell ref="Y95:AC95"/>
    <mergeCell ref="AD95:AJ95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A83:AJ83"/>
    <mergeCell ref="A84:B84"/>
    <mergeCell ref="C84:X84"/>
    <mergeCell ref="Y84:AC84"/>
    <mergeCell ref="AD84:AJ84"/>
    <mergeCell ref="A85:B85"/>
    <mergeCell ref="C85:X85"/>
    <mergeCell ref="Y85:AC85"/>
    <mergeCell ref="AD85:AJ85"/>
    <mergeCell ref="A80:B80"/>
    <mergeCell ref="C80:AC80"/>
    <mergeCell ref="AD80:AJ80"/>
    <mergeCell ref="A81:AC81"/>
    <mergeCell ref="AD81:AJ81"/>
    <mergeCell ref="A82:AJ82"/>
    <mergeCell ref="A78:B78"/>
    <mergeCell ref="C78:AC78"/>
    <mergeCell ref="AD78:AJ78"/>
    <mergeCell ref="A79:B79"/>
    <mergeCell ref="C79:AC79"/>
    <mergeCell ref="AD79:AJ79"/>
    <mergeCell ref="A74:AC74"/>
    <mergeCell ref="AD74:AJ74"/>
    <mergeCell ref="A75:AJ75"/>
    <mergeCell ref="A76:AJ76"/>
    <mergeCell ref="A77:B77"/>
    <mergeCell ref="C77:AC77"/>
    <mergeCell ref="AD77:AJ7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AQ160"/>
  <sheetViews>
    <sheetView showGridLines="0" topLeftCell="A61" zoomScale="115" zoomScaleNormal="115" zoomScaleSheetLayoutView="120" workbookViewId="0">
      <selection activeCell="C44" sqref="C44:X44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6" width="3.85546875" style="34" customWidth="1"/>
    <col min="37" max="37" width="2.42578125" style="34" customWidth="1"/>
    <col min="38" max="38" width="13" style="34" customWidth="1"/>
    <col min="39" max="42" width="2.42578125" style="34"/>
    <col min="43" max="43" width="3.5703125" style="34" customWidth="1"/>
    <col min="44" max="16384" width="2.42578125" style="34"/>
  </cols>
  <sheetData>
    <row r="1" spans="1:36" ht="15" customHeight="1">
      <c r="A1" s="854"/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  <c r="AI1" s="854"/>
      <c r="AJ1" s="854"/>
    </row>
    <row r="2" spans="1:36" ht="15" customHeight="1">
      <c r="A2" s="855" t="s">
        <v>26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  <c r="S2" s="855"/>
      <c r="T2" s="855"/>
      <c r="U2" s="855"/>
      <c r="V2" s="855"/>
      <c r="W2" s="855"/>
      <c r="X2" s="855"/>
      <c r="Y2" s="855"/>
      <c r="Z2" s="855"/>
      <c r="AA2" s="855"/>
      <c r="AB2" s="855"/>
      <c r="AC2" s="855"/>
      <c r="AD2" s="855"/>
      <c r="AE2" s="855"/>
      <c r="AF2" s="855"/>
      <c r="AG2" s="855"/>
      <c r="AH2" s="855"/>
      <c r="AI2" s="855"/>
      <c r="AJ2" s="855"/>
    </row>
    <row r="3" spans="1:36" ht="15" customHeight="1">
      <c r="A3" s="855" t="s">
        <v>27</v>
      </c>
      <c r="B3" s="855"/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  <c r="AB3" s="855"/>
      <c r="AC3" s="855"/>
      <c r="AD3" s="855"/>
      <c r="AE3" s="855"/>
      <c r="AF3" s="855"/>
      <c r="AG3" s="855"/>
      <c r="AH3" s="855"/>
      <c r="AI3" s="855"/>
      <c r="AJ3" s="855"/>
    </row>
    <row r="4" spans="1:36" ht="15" customHeight="1">
      <c r="A4" s="855" t="s">
        <v>329</v>
      </c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B4" s="855"/>
      <c r="AC4" s="855"/>
      <c r="AD4" s="855"/>
      <c r="AE4" s="855"/>
      <c r="AF4" s="855"/>
      <c r="AG4" s="855"/>
      <c r="AH4" s="855"/>
      <c r="AI4" s="855"/>
      <c r="AJ4" s="855"/>
    </row>
    <row r="5" spans="1:36" ht="15" customHeight="1">
      <c r="A5" s="854"/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854"/>
      <c r="W5" s="854"/>
      <c r="X5" s="854"/>
      <c r="Y5" s="854"/>
      <c r="Z5" s="854"/>
      <c r="AA5" s="854"/>
      <c r="AB5" s="854"/>
      <c r="AC5" s="854"/>
      <c r="AD5" s="854"/>
      <c r="AE5" s="854"/>
      <c r="AF5" s="854"/>
      <c r="AG5" s="854"/>
      <c r="AH5" s="854"/>
      <c r="AI5" s="854"/>
      <c r="AJ5" s="854"/>
    </row>
    <row r="6" spans="1:36" ht="15" customHeight="1">
      <c r="A6" s="854"/>
      <c r="B6" s="854"/>
      <c r="C6" s="854"/>
      <c r="D6" s="854"/>
      <c r="E6" s="854"/>
      <c r="F6" s="854"/>
      <c r="G6" s="854"/>
      <c r="H6" s="854"/>
      <c r="I6" s="854"/>
      <c r="J6" s="854"/>
      <c r="K6" s="854"/>
      <c r="L6" s="854"/>
      <c r="M6" s="854"/>
      <c r="N6" s="854"/>
      <c r="O6" s="854"/>
      <c r="P6" s="854"/>
      <c r="Q6" s="854"/>
      <c r="R6" s="854"/>
      <c r="S6" s="854"/>
      <c r="T6" s="854"/>
      <c r="U6" s="854"/>
      <c r="V6" s="854"/>
      <c r="W6" s="854"/>
      <c r="X6" s="854"/>
      <c r="Y6" s="854"/>
      <c r="Z6" s="854"/>
      <c r="AA6" s="854"/>
      <c r="AB6" s="854"/>
      <c r="AC6" s="854"/>
      <c r="AD6" s="854"/>
      <c r="AE6" s="854"/>
      <c r="AF6" s="854"/>
      <c r="AG6" s="854"/>
      <c r="AH6" s="854"/>
      <c r="AI6" s="854"/>
      <c r="AJ6" s="854"/>
    </row>
    <row r="7" spans="1:36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</row>
    <row r="8" spans="1:36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</row>
    <row r="9" spans="1:36" s="35" customFormat="1" ht="14.45" customHeight="1">
      <c r="A9" s="856" t="s">
        <v>371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</row>
    <row r="10" spans="1:36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</row>
    <row r="11" spans="1:36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</row>
    <row r="12" spans="1:36" s="35" customFormat="1" ht="14.45" customHeight="1">
      <c r="A12" s="860" t="s">
        <v>144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  <c r="R12" s="861"/>
      <c r="S12" s="861"/>
      <c r="T12" s="861"/>
      <c r="U12" s="861"/>
      <c r="V12" s="861"/>
      <c r="W12" s="861"/>
      <c r="X12" s="861"/>
      <c r="Y12" s="861"/>
      <c r="Z12" s="861"/>
      <c r="AA12" s="861"/>
      <c r="AB12" s="861"/>
      <c r="AC12" s="861"/>
      <c r="AD12" s="861"/>
      <c r="AE12" s="861"/>
      <c r="AF12" s="861"/>
      <c r="AG12" s="861"/>
      <c r="AH12" s="861"/>
      <c r="AI12" s="861"/>
      <c r="AJ12" s="862"/>
    </row>
    <row r="13" spans="1:36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</row>
    <row r="14" spans="1:36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</row>
    <row r="15" spans="1:36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</row>
    <row r="16" spans="1:36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</row>
    <row r="17" spans="1:36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</row>
    <row r="18" spans="1:36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</row>
    <row r="19" spans="1:36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</row>
    <row r="20" spans="1:36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</row>
    <row r="21" spans="1:36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</row>
    <row r="22" spans="1:36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336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</row>
    <row r="23" spans="1:36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</row>
    <row r="24" spans="1:36" s="35" customFormat="1" ht="14.45" customHeight="1">
      <c r="A24" s="832" t="s">
        <v>372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</row>
    <row r="25" spans="1:36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</row>
    <row r="26" spans="1:36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</row>
    <row r="27" spans="1:36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</row>
    <row r="29" spans="1:36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</row>
    <row r="30" spans="1:36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819" t="s">
        <v>220</v>
      </c>
      <c r="AE30" s="819"/>
      <c r="AF30" s="819"/>
      <c r="AG30" s="819"/>
      <c r="AH30" s="819"/>
      <c r="AI30" s="819"/>
      <c r="AJ30" s="819"/>
    </row>
    <row r="31" spans="1:36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819" t="s">
        <v>223</v>
      </c>
      <c r="AE31" s="819"/>
      <c r="AF31" s="819"/>
      <c r="AG31" s="819"/>
      <c r="AH31" s="819"/>
      <c r="AI31" s="819"/>
      <c r="AJ31" s="819"/>
    </row>
    <row r="32" spans="1:36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f>'Recepcionista JPA'!AD32</f>
        <v>1124</v>
      </c>
      <c r="AE32" s="820"/>
      <c r="AF32" s="820"/>
      <c r="AG32" s="820"/>
      <c r="AH32" s="820"/>
      <c r="AI32" s="820"/>
      <c r="AJ32" s="820"/>
    </row>
    <row r="33" spans="1:36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19" t="s">
        <v>220</v>
      </c>
      <c r="AE33" s="819"/>
      <c r="AF33" s="819"/>
      <c r="AG33" s="819"/>
      <c r="AH33" s="819"/>
      <c r="AI33" s="819"/>
      <c r="AJ33" s="819"/>
    </row>
    <row r="34" spans="1:36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</row>
    <row r="35" spans="1:36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6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</row>
    <row r="38" spans="1:36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1124</v>
      </c>
      <c r="AE38" s="775"/>
      <c r="AF38" s="775"/>
      <c r="AG38" s="775"/>
      <c r="AH38" s="775"/>
      <c r="AI38" s="775"/>
      <c r="AJ38" s="776"/>
    </row>
    <row r="39" spans="1:36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6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41"/>
      <c r="Z40" s="742"/>
      <c r="AA40" s="742"/>
      <c r="AB40" s="742"/>
      <c r="AC40" s="743"/>
      <c r="AD40" s="744"/>
      <c r="AE40" s="745"/>
      <c r="AF40" s="745"/>
      <c r="AG40" s="745"/>
      <c r="AH40" s="745"/>
      <c r="AI40" s="745"/>
      <c r="AJ40" s="746"/>
    </row>
    <row r="41" spans="1:36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6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6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6" ht="14.45" customHeight="1">
      <c r="A44" s="722" t="s">
        <v>8</v>
      </c>
      <c r="B44" s="723"/>
      <c r="C44" s="724" t="s">
        <v>381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14"/>
      <c r="Z44" s="811"/>
      <c r="AA44" s="811"/>
      <c r="AB44" s="811"/>
      <c r="AC44" s="812"/>
      <c r="AD44" s="744">
        <v>220</v>
      </c>
      <c r="AE44" s="745"/>
      <c r="AF44" s="745"/>
      <c r="AG44" s="745"/>
      <c r="AH44" s="745"/>
      <c r="AI44" s="745"/>
      <c r="AJ44" s="746"/>
    </row>
    <row r="45" spans="1:36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1344</v>
      </c>
      <c r="AE45" s="692"/>
      <c r="AF45" s="692"/>
      <c r="AG45" s="692"/>
      <c r="AH45" s="692"/>
      <c r="AI45" s="692"/>
      <c r="AJ45" s="693"/>
    </row>
    <row r="46" spans="1:36" ht="14.45" customHeight="1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7"/>
      <c r="Z46" s="127"/>
      <c r="AA46" s="127"/>
      <c r="AB46" s="127"/>
      <c r="AC46" s="127"/>
      <c r="AD46" s="61"/>
      <c r="AE46" s="61"/>
      <c r="AF46" s="61"/>
      <c r="AG46" s="61"/>
      <c r="AH46" s="61"/>
      <c r="AI46" s="61"/>
      <c r="AJ46" s="61"/>
    </row>
    <row r="47" spans="1:36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6" ht="14.45" customHeight="1">
      <c r="A48" s="813" t="s">
        <v>280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112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37.333333333333329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149.33333333333331</v>
      </c>
      <c r="AE52" s="692"/>
      <c r="AF52" s="692"/>
      <c r="AG52" s="692"/>
      <c r="AH52" s="692"/>
      <c r="AI52" s="692"/>
      <c r="AJ52" s="693"/>
    </row>
    <row r="53" spans="1:36" ht="14.45" customHeight="1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7"/>
      <c r="Z53" s="127"/>
      <c r="AA53" s="127"/>
      <c r="AB53" s="127"/>
      <c r="AC53" s="127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298.66666666666669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37.333333333333336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44.8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22.4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14.933333333333334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8.9599999999999991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2.9866666666666664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119.46666666666667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549.54666666666662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108.56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453.56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149.33333333333331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549.54666666666662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453.56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1152.4399999999998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5.6</v>
      </c>
      <c r="AE85" s="775"/>
      <c r="AF85" s="775"/>
      <c r="AG85" s="775"/>
      <c r="AH85" s="775"/>
      <c r="AI85" s="775"/>
      <c r="AJ85" s="776"/>
      <c r="AL85" s="116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0.44800000000000001</v>
      </c>
      <c r="AE86" s="775"/>
      <c r="AF86" s="775"/>
      <c r="AG86" s="775"/>
      <c r="AH86" s="775"/>
      <c r="AI86" s="775"/>
      <c r="AJ86" s="776"/>
      <c r="AL86" s="116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48.802133333333337</v>
      </c>
      <c r="AE87" s="775"/>
      <c r="AF87" s="775"/>
      <c r="AG87" s="775"/>
      <c r="AH87" s="775"/>
      <c r="AI87" s="775"/>
      <c r="AJ87" s="776"/>
      <c r="AL87" s="116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48.541888888888884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9.617066666666668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0.83626666666666682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113.84535555555556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112</v>
      </c>
      <c r="AE96" s="775"/>
      <c r="AF96" s="775"/>
      <c r="AG96" s="775"/>
      <c r="AH96" s="775"/>
      <c r="AI96" s="775"/>
      <c r="AJ96" s="776"/>
      <c r="AK96" s="130"/>
      <c r="AL96" s="117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18.6816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0.26880000000000004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3.7631999999999999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1.7471999999999999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0.94079999999999997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26.377244444444443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50.563788800000005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214.34263324444444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7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7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7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214.34263324444444</v>
      </c>
      <c r="AE115" s="775"/>
      <c r="AF115" s="775"/>
      <c r="AG115" s="775"/>
      <c r="AH115" s="775"/>
      <c r="AI115" s="775"/>
      <c r="AJ115" s="776"/>
    </row>
    <row r="116" spans="1:37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7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214.34263324444444</v>
      </c>
      <c r="AE117" s="692"/>
      <c r="AF117" s="692"/>
      <c r="AG117" s="692"/>
      <c r="AH117" s="692"/>
      <c r="AI117" s="692"/>
      <c r="AJ117" s="693"/>
    </row>
    <row r="118" spans="1:37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7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7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7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'Fardamentos e EPI´s - Recepcio'!H14</f>
        <v>62.36</v>
      </c>
      <c r="AE121" s="772"/>
      <c r="AF121" s="772"/>
      <c r="AG121" s="772"/>
      <c r="AH121" s="772"/>
      <c r="AI121" s="772"/>
      <c r="AJ121" s="773"/>
    </row>
    <row r="122" spans="1:37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7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/>
      <c r="AE123" s="772"/>
      <c r="AF123" s="772"/>
      <c r="AG123" s="772"/>
      <c r="AH123" s="772"/>
      <c r="AI123" s="772"/>
      <c r="AJ123" s="773"/>
    </row>
    <row r="124" spans="1:37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62.36</v>
      </c>
      <c r="AE124" s="692"/>
      <c r="AF124" s="692"/>
      <c r="AG124" s="692"/>
      <c r="AH124" s="692"/>
      <c r="AI124" s="692"/>
      <c r="AJ124" s="693"/>
    </row>
    <row r="125" spans="1:37" ht="14.45" customHeight="1"/>
    <row r="126" spans="1:37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7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7" ht="14.45" customHeight="1">
      <c r="A128" s="736" t="s">
        <v>0</v>
      </c>
      <c r="B128" s="737"/>
      <c r="C128" s="757" t="s">
        <v>328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86.609639663999985</v>
      </c>
      <c r="AE128" s="745"/>
      <c r="AF128" s="745"/>
      <c r="AG128" s="745"/>
      <c r="AH128" s="745"/>
      <c r="AI128" s="745"/>
      <c r="AJ128" s="746"/>
      <c r="AK128" s="130"/>
    </row>
    <row r="129" spans="1:37" ht="14.45" customHeight="1">
      <c r="A129" s="736" t="s">
        <v>1</v>
      </c>
      <c r="B129" s="737"/>
      <c r="C129" s="757" t="s">
        <v>327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196.02648443951998</v>
      </c>
      <c r="AE129" s="745"/>
      <c r="AF129" s="745"/>
      <c r="AG129" s="745"/>
      <c r="AH129" s="745"/>
      <c r="AI129" s="745"/>
      <c r="AJ129" s="746"/>
      <c r="AK129" s="130"/>
    </row>
    <row r="130" spans="1:37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</row>
    <row r="131" spans="1:37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7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104.09274590816159</v>
      </c>
      <c r="AE132" s="745"/>
      <c r="AF132" s="745"/>
      <c r="AG132" s="745"/>
      <c r="AH132" s="745"/>
      <c r="AI132" s="745"/>
      <c r="AJ132" s="746"/>
      <c r="AK132" s="130"/>
    </row>
    <row r="133" spans="1:37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22.553428280101677</v>
      </c>
      <c r="AE133" s="745"/>
      <c r="AF133" s="745"/>
      <c r="AG133" s="745"/>
      <c r="AH133" s="745"/>
      <c r="AI133" s="745"/>
      <c r="AJ133" s="746"/>
      <c r="AK133" s="134"/>
    </row>
    <row r="134" spans="1:37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173.48790984693599</v>
      </c>
      <c r="AE134" s="745"/>
      <c r="AF134" s="745"/>
      <c r="AG134" s="745"/>
      <c r="AH134" s="745"/>
      <c r="AI134" s="745"/>
      <c r="AJ134" s="746"/>
      <c r="AK134" s="130"/>
    </row>
    <row r="135" spans="1:37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582.77020813871923</v>
      </c>
      <c r="AE135" s="747"/>
      <c r="AF135" s="747"/>
      <c r="AG135" s="747"/>
      <c r="AH135" s="747"/>
      <c r="AI135" s="747"/>
      <c r="AJ135" s="747"/>
      <c r="AK135" s="130"/>
    </row>
    <row r="136" spans="1:37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7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7" ht="14.4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0"/>
    </row>
    <row r="139" spans="1:37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7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1344</v>
      </c>
      <c r="AE140" s="720"/>
      <c r="AF140" s="720"/>
      <c r="AG140" s="720"/>
      <c r="AH140" s="720"/>
      <c r="AI140" s="720"/>
      <c r="AJ140" s="721"/>
      <c r="AK140" s="130"/>
    </row>
    <row r="141" spans="1:37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1152.4399999999998</v>
      </c>
      <c r="AE141" s="720"/>
      <c r="AF141" s="720"/>
      <c r="AG141" s="720"/>
      <c r="AH141" s="720"/>
      <c r="AI141" s="720"/>
      <c r="AJ141" s="721"/>
      <c r="AK141" s="130"/>
    </row>
    <row r="142" spans="1:37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113.84535555555556</v>
      </c>
      <c r="AE142" s="720"/>
      <c r="AF142" s="720"/>
      <c r="AG142" s="720"/>
      <c r="AH142" s="720"/>
      <c r="AI142" s="720"/>
      <c r="AJ142" s="721"/>
      <c r="AK142" s="130"/>
    </row>
    <row r="143" spans="1:37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214.34263324444444</v>
      </c>
      <c r="AE143" s="720"/>
      <c r="AF143" s="720"/>
      <c r="AG143" s="720"/>
      <c r="AH143" s="720"/>
      <c r="AI143" s="720"/>
      <c r="AJ143" s="721"/>
      <c r="AK143" s="130"/>
    </row>
    <row r="144" spans="1:37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62.36</v>
      </c>
      <c r="AE144" s="720"/>
      <c r="AF144" s="720"/>
      <c r="AG144" s="720"/>
      <c r="AH144" s="720"/>
      <c r="AI144" s="720"/>
      <c r="AJ144" s="721"/>
      <c r="AK144" s="130"/>
    </row>
    <row r="145" spans="1:38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2886.9879888</v>
      </c>
      <c r="AE145" s="720"/>
      <c r="AF145" s="720"/>
      <c r="AG145" s="720"/>
      <c r="AH145" s="720"/>
      <c r="AI145" s="720"/>
      <c r="AJ145" s="721"/>
      <c r="AK145" s="130"/>
      <c r="AL145" s="117"/>
    </row>
    <row r="146" spans="1:38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582.77020813871923</v>
      </c>
      <c r="AE146" s="720"/>
      <c r="AF146" s="720"/>
      <c r="AG146" s="720"/>
      <c r="AH146" s="720"/>
      <c r="AI146" s="720"/>
      <c r="AJ146" s="721"/>
      <c r="AK146" s="130"/>
      <c r="AL146" s="117"/>
    </row>
    <row r="147" spans="1:38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3469.7581969387197</v>
      </c>
      <c r="AE147" s="692"/>
      <c r="AF147" s="692"/>
      <c r="AG147" s="692"/>
      <c r="AH147" s="692"/>
      <c r="AI147" s="692"/>
      <c r="AJ147" s="693"/>
      <c r="AK147" s="130"/>
    </row>
    <row r="148" spans="1:38" ht="14.45" customHeight="1"/>
    <row r="149" spans="1:38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8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8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8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8" ht="34.15" customHeight="1">
      <c r="A153" s="701" t="str">
        <f>A24</f>
        <v>SERVIÇOS DE RECEPÇÃO (MONTEIRO)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3469.7581969387197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3469.7581969387197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3469.7581969387197</v>
      </c>
      <c r="AF153" s="714"/>
      <c r="AG153" s="714"/>
      <c r="AH153" s="714"/>
      <c r="AI153" s="714"/>
      <c r="AJ153" s="715"/>
    </row>
    <row r="154" spans="1:38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3469.76</v>
      </c>
      <c r="AF154" s="686"/>
      <c r="AG154" s="686"/>
      <c r="AH154" s="686"/>
      <c r="AI154" s="686"/>
      <c r="AJ154" s="686"/>
    </row>
    <row r="155" spans="1:38" ht="14.45" customHeight="1"/>
    <row r="156" spans="1:38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8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8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8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3469.76</v>
      </c>
      <c r="AE159" s="700"/>
      <c r="AF159" s="700"/>
      <c r="AG159" s="700"/>
      <c r="AH159" s="700"/>
      <c r="AI159" s="700"/>
      <c r="AJ159" s="700"/>
    </row>
    <row r="160" spans="1:38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124911.36000000002</v>
      </c>
      <c r="AE160" s="684"/>
      <c r="AF160" s="684"/>
      <c r="AG160" s="684"/>
      <c r="AH160" s="684"/>
      <c r="AI160" s="684"/>
      <c r="AJ160" s="684"/>
    </row>
  </sheetData>
  <mergeCells count="392">
    <mergeCell ref="A106:X106"/>
    <mergeCell ref="Y106:AC106"/>
    <mergeCell ref="AD106:AJ106"/>
    <mergeCell ref="A104:AC104"/>
    <mergeCell ref="AD104:AJ104"/>
    <mergeCell ref="A105:B105"/>
    <mergeCell ref="C105:X105"/>
    <mergeCell ref="Y105:AC105"/>
    <mergeCell ref="AD105:AJ105"/>
    <mergeCell ref="A102:X102"/>
    <mergeCell ref="Y102:AC102"/>
    <mergeCell ref="AD102:AJ102"/>
    <mergeCell ref="A103:B103"/>
    <mergeCell ref="C103:X103"/>
    <mergeCell ref="Y103:AC103"/>
    <mergeCell ref="AD103:AJ103"/>
    <mergeCell ref="A100:B100"/>
    <mergeCell ref="C100:X100"/>
    <mergeCell ref="Y100:AC100"/>
    <mergeCell ref="AD100:AJ100"/>
    <mergeCell ref="A101:B101"/>
    <mergeCell ref="C101:X101"/>
    <mergeCell ref="Y101:AC101"/>
    <mergeCell ref="AD101:AJ101"/>
    <mergeCell ref="A98:B98"/>
    <mergeCell ref="C98:X98"/>
    <mergeCell ref="Y98:AC98"/>
    <mergeCell ref="AD98:AJ98"/>
    <mergeCell ref="A99:B99"/>
    <mergeCell ref="C99:X99"/>
    <mergeCell ref="Y99:AC99"/>
    <mergeCell ref="AD99:AJ99"/>
    <mergeCell ref="A96:B96"/>
    <mergeCell ref="C96:X96"/>
    <mergeCell ref="Y96:AC96"/>
    <mergeCell ref="AD96:AJ96"/>
    <mergeCell ref="A97:B97"/>
    <mergeCell ref="C97:X97"/>
    <mergeCell ref="Y97:AC97"/>
    <mergeCell ref="AD97:AJ97"/>
    <mergeCell ref="A93:AJ93"/>
    <mergeCell ref="A94:AJ94"/>
    <mergeCell ref="A95:B95"/>
    <mergeCell ref="C95:X95"/>
    <mergeCell ref="Y95:AC95"/>
    <mergeCell ref="AD95:AJ95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Y84:AC84"/>
    <mergeCell ref="AD84:AJ84"/>
    <mergeCell ref="A85:B85"/>
    <mergeCell ref="C85:X85"/>
    <mergeCell ref="Y85:AC85"/>
    <mergeCell ref="AD85:AJ85"/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  <mergeCell ref="AD159:AJ159"/>
    <mergeCell ref="A153:L153"/>
    <mergeCell ref="M153:Q153"/>
    <mergeCell ref="R153:V153"/>
    <mergeCell ref="W153:AA153"/>
    <mergeCell ref="AB153:AD153"/>
    <mergeCell ref="AE153:AJ153"/>
    <mergeCell ref="A152:L152"/>
    <mergeCell ref="M152:Q152"/>
    <mergeCell ref="R152:V152"/>
    <mergeCell ref="W152:AA152"/>
    <mergeCell ref="AB152:AD152"/>
    <mergeCell ref="AE152:AJ15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A145:AC145"/>
    <mergeCell ref="AD145:AJ145"/>
    <mergeCell ref="A146:B146"/>
    <mergeCell ref="C146:AC146"/>
    <mergeCell ref="AD146:AJ146"/>
    <mergeCell ref="A147:AC147"/>
    <mergeCell ref="AD147:AJ147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37:AJ137"/>
    <mergeCell ref="A139:AC139"/>
    <mergeCell ref="AD139:AJ139"/>
    <mergeCell ref="A140:B140"/>
    <mergeCell ref="C140:AC140"/>
    <mergeCell ref="AD140:AJ140"/>
    <mergeCell ref="A134:B134"/>
    <mergeCell ref="C134:X134"/>
    <mergeCell ref="Y134:AC134"/>
    <mergeCell ref="AD134:AJ134"/>
    <mergeCell ref="A135:AC135"/>
    <mergeCell ref="AD135:AJ135"/>
    <mergeCell ref="A132:B132"/>
    <mergeCell ref="C132:X132"/>
    <mergeCell ref="Y132:AC132"/>
    <mergeCell ref="AD132:AJ132"/>
    <mergeCell ref="A133:B133"/>
    <mergeCell ref="C133:X133"/>
    <mergeCell ref="Y133:AC133"/>
    <mergeCell ref="AD133:AJ133"/>
    <mergeCell ref="A129:B129"/>
    <mergeCell ref="C129:X129"/>
    <mergeCell ref="Y129:AC129"/>
    <mergeCell ref="AD129:AJ129"/>
    <mergeCell ref="Y130:AC130"/>
    <mergeCell ref="A131:B131"/>
    <mergeCell ref="C131:X131"/>
    <mergeCell ref="Y131:AC131"/>
    <mergeCell ref="A127:B127"/>
    <mergeCell ref="C127:X127"/>
    <mergeCell ref="Y127:AC127"/>
    <mergeCell ref="AD127:AJ127"/>
    <mergeCell ref="A128:B128"/>
    <mergeCell ref="C128:X128"/>
    <mergeCell ref="Y128:AC128"/>
    <mergeCell ref="AD128:AJ128"/>
    <mergeCell ref="A124:AC124"/>
    <mergeCell ref="AD124:AJ124"/>
    <mergeCell ref="A126:AJ126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10:B110"/>
    <mergeCell ref="C110:AC110"/>
    <mergeCell ref="AD110:AJ110"/>
    <mergeCell ref="A111:AC111"/>
    <mergeCell ref="AD111:AJ111"/>
    <mergeCell ref="A112:AJ112"/>
    <mergeCell ref="A107:AJ107"/>
    <mergeCell ref="A108:AJ108"/>
    <mergeCell ref="A109:B109"/>
    <mergeCell ref="C109:X109"/>
    <mergeCell ref="Y109:AC109"/>
    <mergeCell ref="AD109:AJ109"/>
    <mergeCell ref="A92:AJ92"/>
    <mergeCell ref="A80:B80"/>
    <mergeCell ref="C80:AC80"/>
    <mergeCell ref="AD80:AJ80"/>
    <mergeCell ref="A81:AC81"/>
    <mergeCell ref="AD81:AJ81"/>
    <mergeCell ref="A82:AJ82"/>
    <mergeCell ref="A83:AJ83"/>
    <mergeCell ref="A84:B84"/>
    <mergeCell ref="C84:X84"/>
    <mergeCell ref="A78:B78"/>
    <mergeCell ref="C78:AC78"/>
    <mergeCell ref="AD78:AJ78"/>
    <mergeCell ref="A79:B79"/>
    <mergeCell ref="C79:AC79"/>
    <mergeCell ref="AD79:AJ79"/>
    <mergeCell ref="A74:AC74"/>
    <mergeCell ref="AD74:AJ74"/>
    <mergeCell ref="A75:AJ75"/>
    <mergeCell ref="A76:AJ76"/>
    <mergeCell ref="A77:B77"/>
    <mergeCell ref="C77:AC77"/>
    <mergeCell ref="AD77:AJ7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AQ160"/>
  <sheetViews>
    <sheetView showGridLines="0" topLeftCell="B61" zoomScale="115" zoomScaleNormal="115" zoomScaleSheetLayoutView="120" workbookViewId="0">
      <selection activeCell="C44" sqref="C44:X44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6" width="3.85546875" style="34" customWidth="1"/>
    <col min="37" max="37" width="2.42578125" style="34" customWidth="1"/>
    <col min="38" max="38" width="13" style="34" customWidth="1"/>
    <col min="39" max="42" width="2.42578125" style="34"/>
    <col min="43" max="43" width="3.5703125" style="34" customWidth="1"/>
    <col min="44" max="16384" width="2.42578125" style="34"/>
  </cols>
  <sheetData>
    <row r="1" spans="1:36" ht="15" customHeight="1">
      <c r="A1" s="854"/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  <c r="AI1" s="854"/>
      <c r="AJ1" s="854"/>
    </row>
    <row r="2" spans="1:36" ht="15" customHeight="1">
      <c r="A2" s="855" t="s">
        <v>26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  <c r="S2" s="855"/>
      <c r="T2" s="855"/>
      <c r="U2" s="855"/>
      <c r="V2" s="855"/>
      <c r="W2" s="855"/>
      <c r="X2" s="855"/>
      <c r="Y2" s="855"/>
      <c r="Z2" s="855"/>
      <c r="AA2" s="855"/>
      <c r="AB2" s="855"/>
      <c r="AC2" s="855"/>
      <c r="AD2" s="855"/>
      <c r="AE2" s="855"/>
      <c r="AF2" s="855"/>
      <c r="AG2" s="855"/>
      <c r="AH2" s="855"/>
      <c r="AI2" s="855"/>
      <c r="AJ2" s="855"/>
    </row>
    <row r="3" spans="1:36" ht="15" customHeight="1">
      <c r="A3" s="855" t="s">
        <v>27</v>
      </c>
      <c r="B3" s="855"/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  <c r="AB3" s="855"/>
      <c r="AC3" s="855"/>
      <c r="AD3" s="855"/>
      <c r="AE3" s="855"/>
      <c r="AF3" s="855"/>
      <c r="AG3" s="855"/>
      <c r="AH3" s="855"/>
      <c r="AI3" s="855"/>
      <c r="AJ3" s="855"/>
    </row>
    <row r="4" spans="1:36" ht="15" customHeight="1">
      <c r="A4" s="855" t="s">
        <v>329</v>
      </c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B4" s="855"/>
      <c r="AC4" s="855"/>
      <c r="AD4" s="855"/>
      <c r="AE4" s="855"/>
      <c r="AF4" s="855"/>
      <c r="AG4" s="855"/>
      <c r="AH4" s="855"/>
      <c r="AI4" s="855"/>
      <c r="AJ4" s="855"/>
    </row>
    <row r="5" spans="1:36" ht="15" customHeight="1">
      <c r="A5" s="854"/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854"/>
      <c r="W5" s="854"/>
      <c r="X5" s="854"/>
      <c r="Y5" s="854"/>
      <c r="Z5" s="854"/>
      <c r="AA5" s="854"/>
      <c r="AB5" s="854"/>
      <c r="AC5" s="854"/>
      <c r="AD5" s="854"/>
      <c r="AE5" s="854"/>
      <c r="AF5" s="854"/>
      <c r="AG5" s="854"/>
      <c r="AH5" s="854"/>
      <c r="AI5" s="854"/>
      <c r="AJ5" s="854"/>
    </row>
    <row r="6" spans="1:36" ht="15" customHeight="1">
      <c r="A6" s="854"/>
      <c r="B6" s="854"/>
      <c r="C6" s="854"/>
      <c r="D6" s="854"/>
      <c r="E6" s="854"/>
      <c r="F6" s="854"/>
      <c r="G6" s="854"/>
      <c r="H6" s="854"/>
      <c r="I6" s="854"/>
      <c r="J6" s="854"/>
      <c r="K6" s="854"/>
      <c r="L6" s="854"/>
      <c r="M6" s="854"/>
      <c r="N6" s="854"/>
      <c r="O6" s="854"/>
      <c r="P6" s="854"/>
      <c r="Q6" s="854"/>
      <c r="R6" s="854"/>
      <c r="S6" s="854"/>
      <c r="T6" s="854"/>
      <c r="U6" s="854"/>
      <c r="V6" s="854"/>
      <c r="W6" s="854"/>
      <c r="X6" s="854"/>
      <c r="Y6" s="854"/>
      <c r="Z6" s="854"/>
      <c r="AA6" s="854"/>
      <c r="AB6" s="854"/>
      <c r="AC6" s="854"/>
      <c r="AD6" s="854"/>
      <c r="AE6" s="854"/>
      <c r="AF6" s="854"/>
      <c r="AG6" s="854"/>
      <c r="AH6" s="854"/>
      <c r="AI6" s="854"/>
      <c r="AJ6" s="854"/>
    </row>
    <row r="7" spans="1:36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</row>
    <row r="8" spans="1:36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</row>
    <row r="9" spans="1:36" s="35" customFormat="1" ht="14.45" customHeight="1">
      <c r="A9" s="856" t="s">
        <v>378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</row>
    <row r="10" spans="1:36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</row>
    <row r="11" spans="1:36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</row>
    <row r="12" spans="1:36" s="35" customFormat="1" ht="14.45" customHeight="1">
      <c r="A12" s="860" t="s">
        <v>144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  <c r="R12" s="861"/>
      <c r="S12" s="861"/>
      <c r="T12" s="861"/>
      <c r="U12" s="861"/>
      <c r="V12" s="861"/>
      <c r="W12" s="861"/>
      <c r="X12" s="861"/>
      <c r="Y12" s="861"/>
      <c r="Z12" s="861"/>
      <c r="AA12" s="861"/>
      <c r="AB12" s="861"/>
      <c r="AC12" s="861"/>
      <c r="AD12" s="861"/>
      <c r="AE12" s="861"/>
      <c r="AF12" s="861"/>
      <c r="AG12" s="861"/>
      <c r="AH12" s="861"/>
      <c r="AI12" s="861"/>
      <c r="AJ12" s="862"/>
    </row>
    <row r="13" spans="1:36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</row>
    <row r="14" spans="1:36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</row>
    <row r="15" spans="1:36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</row>
    <row r="16" spans="1:36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</row>
    <row r="17" spans="1:36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</row>
    <row r="18" spans="1:36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</row>
    <row r="19" spans="1:36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</row>
    <row r="20" spans="1:36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</row>
    <row r="21" spans="1:36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</row>
    <row r="22" spans="1:36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337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</row>
    <row r="23" spans="1:36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</row>
    <row r="24" spans="1:36" s="35" customFormat="1" ht="14.45" customHeight="1">
      <c r="A24" s="832" t="s">
        <v>379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</row>
    <row r="25" spans="1:36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</row>
    <row r="26" spans="1:36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</row>
    <row r="27" spans="1:36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</row>
    <row r="29" spans="1:36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</row>
    <row r="30" spans="1:36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819" t="s">
        <v>220</v>
      </c>
      <c r="AE30" s="819"/>
      <c r="AF30" s="819"/>
      <c r="AG30" s="819"/>
      <c r="AH30" s="819"/>
      <c r="AI30" s="819"/>
      <c r="AJ30" s="819"/>
    </row>
    <row r="31" spans="1:36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819" t="s">
        <v>223</v>
      </c>
      <c r="AE31" s="819"/>
      <c r="AF31" s="819"/>
      <c r="AG31" s="819"/>
      <c r="AH31" s="819"/>
      <c r="AI31" s="819"/>
      <c r="AJ31" s="819"/>
    </row>
    <row r="32" spans="1:36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f>'Recepcionista JPA'!AD32</f>
        <v>1124</v>
      </c>
      <c r="AE32" s="820"/>
      <c r="AF32" s="820"/>
      <c r="AG32" s="820"/>
      <c r="AH32" s="820"/>
      <c r="AI32" s="820"/>
      <c r="AJ32" s="820"/>
    </row>
    <row r="33" spans="1:36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19" t="s">
        <v>220</v>
      </c>
      <c r="AE33" s="819"/>
      <c r="AF33" s="819"/>
      <c r="AG33" s="819"/>
      <c r="AH33" s="819"/>
      <c r="AI33" s="819"/>
      <c r="AJ33" s="819"/>
    </row>
    <row r="34" spans="1:36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</row>
    <row r="35" spans="1:36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6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</row>
    <row r="38" spans="1:36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1124</v>
      </c>
      <c r="AE38" s="775"/>
      <c r="AF38" s="775"/>
      <c r="AG38" s="775"/>
      <c r="AH38" s="775"/>
      <c r="AI38" s="775"/>
      <c r="AJ38" s="776"/>
    </row>
    <row r="39" spans="1:36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6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41"/>
      <c r="Z40" s="742"/>
      <c r="AA40" s="742"/>
      <c r="AB40" s="742"/>
      <c r="AC40" s="743"/>
      <c r="AD40" s="744"/>
      <c r="AE40" s="745"/>
      <c r="AF40" s="745"/>
      <c r="AG40" s="745"/>
      <c r="AH40" s="745"/>
      <c r="AI40" s="745"/>
      <c r="AJ40" s="746"/>
    </row>
    <row r="41" spans="1:36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6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6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6" ht="14.45" customHeight="1">
      <c r="A44" s="722" t="s">
        <v>8</v>
      </c>
      <c r="B44" s="723"/>
      <c r="C44" s="724" t="s">
        <v>381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14"/>
      <c r="Z44" s="811"/>
      <c r="AA44" s="811"/>
      <c r="AB44" s="811"/>
      <c r="AC44" s="812"/>
      <c r="AD44" s="744">
        <v>220</v>
      </c>
      <c r="AE44" s="745"/>
      <c r="AF44" s="745"/>
      <c r="AG44" s="745"/>
      <c r="AH44" s="745"/>
      <c r="AI44" s="745"/>
      <c r="AJ44" s="746"/>
    </row>
    <row r="45" spans="1:36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1344</v>
      </c>
      <c r="AE45" s="692"/>
      <c r="AF45" s="692"/>
      <c r="AG45" s="692"/>
      <c r="AH45" s="692"/>
      <c r="AI45" s="692"/>
      <c r="AJ45" s="693"/>
    </row>
    <row r="46" spans="1:36" ht="14.45" customHeight="1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7"/>
      <c r="Z46" s="127"/>
      <c r="AA46" s="127"/>
      <c r="AB46" s="127"/>
      <c r="AC46" s="127"/>
      <c r="AD46" s="61"/>
      <c r="AE46" s="61"/>
      <c r="AF46" s="61"/>
      <c r="AG46" s="61"/>
      <c r="AH46" s="61"/>
      <c r="AI46" s="61"/>
      <c r="AJ46" s="61"/>
    </row>
    <row r="47" spans="1:36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6" ht="14.45" customHeight="1">
      <c r="A48" s="813" t="s">
        <v>280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112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37.333333333333329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149.33333333333331</v>
      </c>
      <c r="AE52" s="692"/>
      <c r="AF52" s="692"/>
      <c r="AG52" s="692"/>
      <c r="AH52" s="692"/>
      <c r="AI52" s="692"/>
      <c r="AJ52" s="693"/>
    </row>
    <row r="53" spans="1:36" ht="14.45" customHeight="1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7"/>
      <c r="Z53" s="127"/>
      <c r="AA53" s="127"/>
      <c r="AB53" s="127"/>
      <c r="AC53" s="127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298.66666666666669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37.333333333333336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44.8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22.4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14.933333333333334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8.9599999999999991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2.9866666666666664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119.46666666666667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549.54666666666662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108.56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453.56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149.33333333333331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549.54666666666662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453.56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1152.4399999999998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5.6</v>
      </c>
      <c r="AE85" s="775"/>
      <c r="AF85" s="775"/>
      <c r="AG85" s="775"/>
      <c r="AH85" s="775"/>
      <c r="AI85" s="775"/>
      <c r="AJ85" s="776"/>
      <c r="AL85" s="116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0.44800000000000001</v>
      </c>
      <c r="AE86" s="775"/>
      <c r="AF86" s="775"/>
      <c r="AG86" s="775"/>
      <c r="AH86" s="775"/>
      <c r="AI86" s="775"/>
      <c r="AJ86" s="776"/>
      <c r="AL86" s="116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48.802133333333337</v>
      </c>
      <c r="AE87" s="775"/>
      <c r="AF87" s="775"/>
      <c r="AG87" s="775"/>
      <c r="AH87" s="775"/>
      <c r="AI87" s="775"/>
      <c r="AJ87" s="776"/>
      <c r="AL87" s="116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48.541888888888884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9.617066666666668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0.83626666666666682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113.84535555555556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112</v>
      </c>
      <c r="AE96" s="775"/>
      <c r="AF96" s="775"/>
      <c r="AG96" s="775"/>
      <c r="AH96" s="775"/>
      <c r="AI96" s="775"/>
      <c r="AJ96" s="776"/>
      <c r="AK96" s="130"/>
      <c r="AL96" s="117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18.6816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0.26880000000000004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3.7631999999999999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1.7471999999999999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0.94079999999999997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26.377244444444443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50.563788800000005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214.34263324444444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7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7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7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214.34263324444444</v>
      </c>
      <c r="AE115" s="775"/>
      <c r="AF115" s="775"/>
      <c r="AG115" s="775"/>
      <c r="AH115" s="775"/>
      <c r="AI115" s="775"/>
      <c r="AJ115" s="776"/>
    </row>
    <row r="116" spans="1:37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7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214.34263324444444</v>
      </c>
      <c r="AE117" s="692"/>
      <c r="AF117" s="692"/>
      <c r="AG117" s="692"/>
      <c r="AH117" s="692"/>
      <c r="AI117" s="692"/>
      <c r="AJ117" s="693"/>
    </row>
    <row r="118" spans="1:37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7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7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7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'Fardamentos e EPI´s - Recepcio'!H14</f>
        <v>62.36</v>
      </c>
      <c r="AE121" s="772"/>
      <c r="AF121" s="772"/>
      <c r="AG121" s="772"/>
      <c r="AH121" s="772"/>
      <c r="AI121" s="772"/>
      <c r="AJ121" s="773"/>
    </row>
    <row r="122" spans="1:37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7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/>
      <c r="AE123" s="772"/>
      <c r="AF123" s="772"/>
      <c r="AG123" s="772"/>
      <c r="AH123" s="772"/>
      <c r="AI123" s="772"/>
      <c r="AJ123" s="773"/>
    </row>
    <row r="124" spans="1:37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62.36</v>
      </c>
      <c r="AE124" s="692"/>
      <c r="AF124" s="692"/>
      <c r="AG124" s="692"/>
      <c r="AH124" s="692"/>
      <c r="AI124" s="692"/>
      <c r="AJ124" s="693"/>
    </row>
    <row r="125" spans="1:37" ht="14.45" customHeight="1"/>
    <row r="126" spans="1:37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7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7" ht="14.45" customHeight="1">
      <c r="A128" s="736" t="s">
        <v>0</v>
      </c>
      <c r="B128" s="737"/>
      <c r="C128" s="757" t="s">
        <v>328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86.609639663999985</v>
      </c>
      <c r="AE128" s="745"/>
      <c r="AF128" s="745"/>
      <c r="AG128" s="745"/>
      <c r="AH128" s="745"/>
      <c r="AI128" s="745"/>
      <c r="AJ128" s="746"/>
      <c r="AK128" s="130"/>
    </row>
    <row r="129" spans="1:37" ht="14.45" customHeight="1">
      <c r="A129" s="736" t="s">
        <v>1</v>
      </c>
      <c r="B129" s="737"/>
      <c r="C129" s="757" t="s">
        <v>327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196.02648443951998</v>
      </c>
      <c r="AE129" s="745"/>
      <c r="AF129" s="745"/>
      <c r="AG129" s="745"/>
      <c r="AH129" s="745"/>
      <c r="AI129" s="745"/>
      <c r="AJ129" s="746"/>
      <c r="AK129" s="130"/>
    </row>
    <row r="130" spans="1:37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</row>
    <row r="131" spans="1:37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7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104.09274590816159</v>
      </c>
      <c r="AE132" s="745"/>
      <c r="AF132" s="745"/>
      <c r="AG132" s="745"/>
      <c r="AH132" s="745"/>
      <c r="AI132" s="745"/>
      <c r="AJ132" s="746"/>
      <c r="AK132" s="130"/>
    </row>
    <row r="133" spans="1:37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22.553428280101677</v>
      </c>
      <c r="AE133" s="745"/>
      <c r="AF133" s="745"/>
      <c r="AG133" s="745"/>
      <c r="AH133" s="745"/>
      <c r="AI133" s="745"/>
      <c r="AJ133" s="746"/>
      <c r="AK133" s="134"/>
    </row>
    <row r="134" spans="1:37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173.48790984693599</v>
      </c>
      <c r="AE134" s="745"/>
      <c r="AF134" s="745"/>
      <c r="AG134" s="745"/>
      <c r="AH134" s="745"/>
      <c r="AI134" s="745"/>
      <c r="AJ134" s="746"/>
      <c r="AK134" s="130"/>
    </row>
    <row r="135" spans="1:37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582.77020813871923</v>
      </c>
      <c r="AE135" s="747"/>
      <c r="AF135" s="747"/>
      <c r="AG135" s="747"/>
      <c r="AH135" s="747"/>
      <c r="AI135" s="747"/>
      <c r="AJ135" s="747"/>
      <c r="AK135" s="130"/>
    </row>
    <row r="136" spans="1:37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7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7" ht="14.4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0"/>
    </row>
    <row r="139" spans="1:37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7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1344</v>
      </c>
      <c r="AE140" s="720"/>
      <c r="AF140" s="720"/>
      <c r="AG140" s="720"/>
      <c r="AH140" s="720"/>
      <c r="AI140" s="720"/>
      <c r="AJ140" s="721"/>
      <c r="AK140" s="130"/>
    </row>
    <row r="141" spans="1:37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1152.4399999999998</v>
      </c>
      <c r="AE141" s="720"/>
      <c r="AF141" s="720"/>
      <c r="AG141" s="720"/>
      <c r="AH141" s="720"/>
      <c r="AI141" s="720"/>
      <c r="AJ141" s="721"/>
      <c r="AK141" s="130"/>
    </row>
    <row r="142" spans="1:37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113.84535555555556</v>
      </c>
      <c r="AE142" s="720"/>
      <c r="AF142" s="720"/>
      <c r="AG142" s="720"/>
      <c r="AH142" s="720"/>
      <c r="AI142" s="720"/>
      <c r="AJ142" s="721"/>
      <c r="AK142" s="130"/>
    </row>
    <row r="143" spans="1:37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214.34263324444444</v>
      </c>
      <c r="AE143" s="720"/>
      <c r="AF143" s="720"/>
      <c r="AG143" s="720"/>
      <c r="AH143" s="720"/>
      <c r="AI143" s="720"/>
      <c r="AJ143" s="721"/>
      <c r="AK143" s="130"/>
    </row>
    <row r="144" spans="1:37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62.36</v>
      </c>
      <c r="AE144" s="720"/>
      <c r="AF144" s="720"/>
      <c r="AG144" s="720"/>
      <c r="AH144" s="720"/>
      <c r="AI144" s="720"/>
      <c r="AJ144" s="721"/>
      <c r="AK144" s="130"/>
    </row>
    <row r="145" spans="1:38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2886.9879888</v>
      </c>
      <c r="AE145" s="720"/>
      <c r="AF145" s="720"/>
      <c r="AG145" s="720"/>
      <c r="AH145" s="720"/>
      <c r="AI145" s="720"/>
      <c r="AJ145" s="721"/>
      <c r="AK145" s="130"/>
      <c r="AL145" s="117"/>
    </row>
    <row r="146" spans="1:38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582.77020813871923</v>
      </c>
      <c r="AE146" s="720"/>
      <c r="AF146" s="720"/>
      <c r="AG146" s="720"/>
      <c r="AH146" s="720"/>
      <c r="AI146" s="720"/>
      <c r="AJ146" s="721"/>
      <c r="AK146" s="130"/>
      <c r="AL146" s="117"/>
    </row>
    <row r="147" spans="1:38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3469.7581969387197</v>
      </c>
      <c r="AE147" s="692"/>
      <c r="AF147" s="692"/>
      <c r="AG147" s="692"/>
      <c r="AH147" s="692"/>
      <c r="AI147" s="692"/>
      <c r="AJ147" s="693"/>
      <c r="AK147" s="130"/>
    </row>
    <row r="148" spans="1:38" ht="14.45" customHeight="1"/>
    <row r="149" spans="1:38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8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8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8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8" ht="34.15" customHeight="1">
      <c r="A153" s="701" t="str">
        <f>A24</f>
        <v>SERVIÇOS DE RECEPÇÃO (PATOS)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3469.7581969387197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3469.7581969387197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3469.7581969387197</v>
      </c>
      <c r="AF153" s="714"/>
      <c r="AG153" s="714"/>
      <c r="AH153" s="714"/>
      <c r="AI153" s="714"/>
      <c r="AJ153" s="715"/>
    </row>
    <row r="154" spans="1:38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3469.76</v>
      </c>
      <c r="AF154" s="686"/>
      <c r="AG154" s="686"/>
      <c r="AH154" s="686"/>
      <c r="AI154" s="686"/>
      <c r="AJ154" s="686"/>
    </row>
    <row r="155" spans="1:38" ht="14.45" customHeight="1"/>
    <row r="156" spans="1:38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8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8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8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3469.76</v>
      </c>
      <c r="AE159" s="700"/>
      <c r="AF159" s="700"/>
      <c r="AG159" s="700"/>
      <c r="AH159" s="700"/>
      <c r="AI159" s="700"/>
      <c r="AJ159" s="700"/>
    </row>
    <row r="160" spans="1:38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124911.36000000002</v>
      </c>
      <c r="AE160" s="684"/>
      <c r="AF160" s="684"/>
      <c r="AG160" s="684"/>
      <c r="AH160" s="684"/>
      <c r="AI160" s="684"/>
      <c r="AJ160" s="684"/>
    </row>
  </sheetData>
  <mergeCells count="392">
    <mergeCell ref="A106:X106"/>
    <mergeCell ref="Y106:AC106"/>
    <mergeCell ref="AD106:AJ106"/>
    <mergeCell ref="A104:AC104"/>
    <mergeCell ref="AD104:AJ104"/>
    <mergeCell ref="A105:B105"/>
    <mergeCell ref="C105:X105"/>
    <mergeCell ref="Y105:AC105"/>
    <mergeCell ref="AD105:AJ105"/>
    <mergeCell ref="A102:X102"/>
    <mergeCell ref="Y102:AC102"/>
    <mergeCell ref="AD102:AJ102"/>
    <mergeCell ref="A103:B103"/>
    <mergeCell ref="C103:X103"/>
    <mergeCell ref="Y103:AC103"/>
    <mergeCell ref="AD103:AJ103"/>
    <mergeCell ref="A100:B100"/>
    <mergeCell ref="C100:X100"/>
    <mergeCell ref="Y100:AC100"/>
    <mergeCell ref="AD100:AJ100"/>
    <mergeCell ref="A101:B101"/>
    <mergeCell ref="C101:X101"/>
    <mergeCell ref="Y101:AC101"/>
    <mergeCell ref="AD101:AJ101"/>
    <mergeCell ref="A98:B98"/>
    <mergeCell ref="C98:X98"/>
    <mergeCell ref="Y98:AC98"/>
    <mergeCell ref="AD98:AJ98"/>
    <mergeCell ref="A99:B99"/>
    <mergeCell ref="C99:X99"/>
    <mergeCell ref="Y99:AC99"/>
    <mergeCell ref="AD99:AJ99"/>
    <mergeCell ref="A96:B96"/>
    <mergeCell ref="C96:X96"/>
    <mergeCell ref="Y96:AC96"/>
    <mergeCell ref="AD96:AJ96"/>
    <mergeCell ref="A97:B97"/>
    <mergeCell ref="C97:X97"/>
    <mergeCell ref="Y97:AC97"/>
    <mergeCell ref="AD97:AJ97"/>
    <mergeCell ref="A93:AJ93"/>
    <mergeCell ref="A94:AJ94"/>
    <mergeCell ref="A95:B95"/>
    <mergeCell ref="C95:X95"/>
    <mergeCell ref="Y95:AC95"/>
    <mergeCell ref="AD95:AJ95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Y84:AC84"/>
    <mergeCell ref="AD84:AJ84"/>
    <mergeCell ref="A85:B85"/>
    <mergeCell ref="C85:X85"/>
    <mergeCell ref="Y85:AC85"/>
    <mergeCell ref="AD85:AJ85"/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  <mergeCell ref="AD159:AJ159"/>
    <mergeCell ref="A153:L153"/>
    <mergeCell ref="M153:Q153"/>
    <mergeCell ref="R153:V153"/>
    <mergeCell ref="W153:AA153"/>
    <mergeCell ref="AB153:AD153"/>
    <mergeCell ref="AE153:AJ153"/>
    <mergeCell ref="A152:L152"/>
    <mergeCell ref="M152:Q152"/>
    <mergeCell ref="R152:V152"/>
    <mergeCell ref="W152:AA152"/>
    <mergeCell ref="AB152:AD152"/>
    <mergeCell ref="AE152:AJ15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A145:AC145"/>
    <mergeCell ref="AD145:AJ145"/>
    <mergeCell ref="A146:B146"/>
    <mergeCell ref="C146:AC146"/>
    <mergeCell ref="AD146:AJ146"/>
    <mergeCell ref="A147:AC147"/>
    <mergeCell ref="AD147:AJ147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37:AJ137"/>
    <mergeCell ref="A139:AC139"/>
    <mergeCell ref="AD139:AJ139"/>
    <mergeCell ref="A140:B140"/>
    <mergeCell ref="C140:AC140"/>
    <mergeCell ref="AD140:AJ140"/>
    <mergeCell ref="A134:B134"/>
    <mergeCell ref="C134:X134"/>
    <mergeCell ref="Y134:AC134"/>
    <mergeCell ref="AD134:AJ134"/>
    <mergeCell ref="A135:AC135"/>
    <mergeCell ref="AD135:AJ135"/>
    <mergeCell ref="A132:B132"/>
    <mergeCell ref="C132:X132"/>
    <mergeCell ref="Y132:AC132"/>
    <mergeCell ref="AD132:AJ132"/>
    <mergeCell ref="A133:B133"/>
    <mergeCell ref="C133:X133"/>
    <mergeCell ref="Y133:AC133"/>
    <mergeCell ref="AD133:AJ133"/>
    <mergeCell ref="A129:B129"/>
    <mergeCell ref="C129:X129"/>
    <mergeCell ref="Y129:AC129"/>
    <mergeCell ref="AD129:AJ129"/>
    <mergeCell ref="Y130:AC130"/>
    <mergeCell ref="A131:B131"/>
    <mergeCell ref="C131:X131"/>
    <mergeCell ref="Y131:AC131"/>
    <mergeCell ref="A127:B127"/>
    <mergeCell ref="C127:X127"/>
    <mergeCell ref="Y127:AC127"/>
    <mergeCell ref="AD127:AJ127"/>
    <mergeCell ref="A128:B128"/>
    <mergeCell ref="C128:X128"/>
    <mergeCell ref="Y128:AC128"/>
    <mergeCell ref="AD128:AJ128"/>
    <mergeCell ref="A124:AC124"/>
    <mergeCell ref="AD124:AJ124"/>
    <mergeCell ref="A126:AJ126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10:B110"/>
    <mergeCell ref="C110:AC110"/>
    <mergeCell ref="AD110:AJ110"/>
    <mergeCell ref="A111:AC111"/>
    <mergeCell ref="AD111:AJ111"/>
    <mergeCell ref="A112:AJ112"/>
    <mergeCell ref="A107:AJ107"/>
    <mergeCell ref="A108:AJ108"/>
    <mergeCell ref="A109:B109"/>
    <mergeCell ref="C109:X109"/>
    <mergeCell ref="Y109:AC109"/>
    <mergeCell ref="AD109:AJ109"/>
    <mergeCell ref="A92:AJ92"/>
    <mergeCell ref="A80:B80"/>
    <mergeCell ref="C80:AC80"/>
    <mergeCell ref="AD80:AJ80"/>
    <mergeCell ref="A81:AC81"/>
    <mergeCell ref="AD81:AJ81"/>
    <mergeCell ref="A82:AJ82"/>
    <mergeCell ref="A83:AJ83"/>
    <mergeCell ref="A84:B84"/>
    <mergeCell ref="C84:X84"/>
    <mergeCell ref="A78:B78"/>
    <mergeCell ref="C78:AC78"/>
    <mergeCell ref="AD78:AJ78"/>
    <mergeCell ref="A79:B79"/>
    <mergeCell ref="C79:AC79"/>
    <mergeCell ref="AD79:AJ79"/>
    <mergeCell ref="A74:AC74"/>
    <mergeCell ref="AD74:AJ74"/>
    <mergeCell ref="A75:AJ75"/>
    <mergeCell ref="A76:AJ76"/>
    <mergeCell ref="A77:B77"/>
    <mergeCell ref="C77:AC77"/>
    <mergeCell ref="AD77:AJ7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AQ160"/>
  <sheetViews>
    <sheetView showGridLines="0" topLeftCell="A61" zoomScale="115" zoomScaleNormal="115" zoomScaleSheetLayoutView="120" workbookViewId="0">
      <selection activeCell="A74" sqref="A74:AC74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6" width="3.85546875" style="34" customWidth="1"/>
    <col min="37" max="37" width="2.42578125" style="34" customWidth="1"/>
    <col min="38" max="38" width="13" style="34" customWidth="1"/>
    <col min="39" max="42" width="2.42578125" style="34"/>
    <col min="43" max="43" width="3.5703125" style="34" customWidth="1"/>
    <col min="44" max="16384" width="2.42578125" style="34"/>
  </cols>
  <sheetData>
    <row r="1" spans="1:36" ht="15" customHeight="1">
      <c r="A1" s="854"/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  <c r="AI1" s="854"/>
      <c r="AJ1" s="854"/>
    </row>
    <row r="2" spans="1:36" ht="15" customHeight="1">
      <c r="A2" s="855" t="s">
        <v>26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  <c r="S2" s="855"/>
      <c r="T2" s="855"/>
      <c r="U2" s="855"/>
      <c r="V2" s="855"/>
      <c r="W2" s="855"/>
      <c r="X2" s="855"/>
      <c r="Y2" s="855"/>
      <c r="Z2" s="855"/>
      <c r="AA2" s="855"/>
      <c r="AB2" s="855"/>
      <c r="AC2" s="855"/>
      <c r="AD2" s="855"/>
      <c r="AE2" s="855"/>
      <c r="AF2" s="855"/>
      <c r="AG2" s="855"/>
      <c r="AH2" s="855"/>
      <c r="AI2" s="855"/>
      <c r="AJ2" s="855"/>
    </row>
    <row r="3" spans="1:36" ht="15" customHeight="1">
      <c r="A3" s="855" t="s">
        <v>27</v>
      </c>
      <c r="B3" s="855"/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  <c r="AB3" s="855"/>
      <c r="AC3" s="855"/>
      <c r="AD3" s="855"/>
      <c r="AE3" s="855"/>
      <c r="AF3" s="855"/>
      <c r="AG3" s="855"/>
      <c r="AH3" s="855"/>
      <c r="AI3" s="855"/>
      <c r="AJ3" s="855"/>
    </row>
    <row r="4" spans="1:36" ht="15" customHeight="1">
      <c r="A4" s="855" t="s">
        <v>329</v>
      </c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B4" s="855"/>
      <c r="AC4" s="855"/>
      <c r="AD4" s="855"/>
      <c r="AE4" s="855"/>
      <c r="AF4" s="855"/>
      <c r="AG4" s="855"/>
      <c r="AH4" s="855"/>
      <c r="AI4" s="855"/>
      <c r="AJ4" s="855"/>
    </row>
    <row r="5" spans="1:36" ht="15" customHeight="1">
      <c r="A5" s="854"/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854"/>
      <c r="W5" s="854"/>
      <c r="X5" s="854"/>
      <c r="Y5" s="854"/>
      <c r="Z5" s="854"/>
      <c r="AA5" s="854"/>
      <c r="AB5" s="854"/>
      <c r="AC5" s="854"/>
      <c r="AD5" s="854"/>
      <c r="AE5" s="854"/>
      <c r="AF5" s="854"/>
      <c r="AG5" s="854"/>
      <c r="AH5" s="854"/>
      <c r="AI5" s="854"/>
      <c r="AJ5" s="854"/>
    </row>
    <row r="6" spans="1:36" ht="15" customHeight="1">
      <c r="A6" s="854"/>
      <c r="B6" s="854"/>
      <c r="C6" s="854"/>
      <c r="D6" s="854"/>
      <c r="E6" s="854"/>
      <c r="F6" s="854"/>
      <c r="G6" s="854"/>
      <c r="H6" s="854"/>
      <c r="I6" s="854"/>
      <c r="J6" s="854"/>
      <c r="K6" s="854"/>
      <c r="L6" s="854"/>
      <c r="M6" s="854"/>
      <c r="N6" s="854"/>
      <c r="O6" s="854"/>
      <c r="P6" s="854"/>
      <c r="Q6" s="854"/>
      <c r="R6" s="854"/>
      <c r="S6" s="854"/>
      <c r="T6" s="854"/>
      <c r="U6" s="854"/>
      <c r="V6" s="854"/>
      <c r="W6" s="854"/>
      <c r="X6" s="854"/>
      <c r="Y6" s="854"/>
      <c r="Z6" s="854"/>
      <c r="AA6" s="854"/>
      <c r="AB6" s="854"/>
      <c r="AC6" s="854"/>
      <c r="AD6" s="854"/>
      <c r="AE6" s="854"/>
      <c r="AF6" s="854"/>
      <c r="AG6" s="854"/>
      <c r="AH6" s="854"/>
      <c r="AI6" s="854"/>
      <c r="AJ6" s="854"/>
    </row>
    <row r="7" spans="1:36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</row>
    <row r="8" spans="1:36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</row>
    <row r="9" spans="1:36" s="35" customFormat="1" ht="14.45" customHeight="1">
      <c r="A9" s="856" t="s">
        <v>283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</row>
    <row r="10" spans="1:36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</row>
    <row r="11" spans="1:36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</row>
    <row r="12" spans="1:36" s="35" customFormat="1" ht="14.45" customHeight="1">
      <c r="A12" s="860" t="s">
        <v>144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  <c r="R12" s="861"/>
      <c r="S12" s="861"/>
      <c r="T12" s="861"/>
      <c r="U12" s="861"/>
      <c r="V12" s="861"/>
      <c r="W12" s="861"/>
      <c r="X12" s="861"/>
      <c r="Y12" s="861"/>
      <c r="Z12" s="861"/>
      <c r="AA12" s="861"/>
      <c r="AB12" s="861"/>
      <c r="AC12" s="861"/>
      <c r="AD12" s="861"/>
      <c r="AE12" s="861"/>
      <c r="AF12" s="861"/>
      <c r="AG12" s="861"/>
      <c r="AH12" s="861"/>
      <c r="AI12" s="861"/>
      <c r="AJ12" s="862"/>
    </row>
    <row r="13" spans="1:36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</row>
    <row r="14" spans="1:36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</row>
    <row r="15" spans="1:36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</row>
    <row r="16" spans="1:36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</row>
    <row r="17" spans="1:36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</row>
    <row r="18" spans="1:36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</row>
    <row r="19" spans="1:36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</row>
    <row r="20" spans="1:36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</row>
    <row r="21" spans="1:36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</row>
    <row r="22" spans="1:36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333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</row>
    <row r="23" spans="1:36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</row>
    <row r="24" spans="1:36" s="35" customFormat="1" ht="14.45" customHeight="1">
      <c r="A24" s="832" t="s">
        <v>262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</row>
    <row r="25" spans="1:36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</row>
    <row r="26" spans="1:36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</row>
    <row r="27" spans="1:36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</row>
    <row r="29" spans="1:36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</row>
    <row r="30" spans="1:36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819" t="s">
        <v>220</v>
      </c>
      <c r="AE30" s="819"/>
      <c r="AF30" s="819"/>
      <c r="AG30" s="819"/>
      <c r="AH30" s="819"/>
      <c r="AI30" s="819"/>
      <c r="AJ30" s="819"/>
    </row>
    <row r="31" spans="1:36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819" t="s">
        <v>223</v>
      </c>
      <c r="AE31" s="819"/>
      <c r="AF31" s="819"/>
      <c r="AG31" s="819"/>
      <c r="AH31" s="819"/>
      <c r="AI31" s="819"/>
      <c r="AJ31" s="819"/>
    </row>
    <row r="32" spans="1:36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f>'Recepcionista JPA'!AD32</f>
        <v>1124</v>
      </c>
      <c r="AE32" s="820"/>
      <c r="AF32" s="820"/>
      <c r="AG32" s="820"/>
      <c r="AH32" s="820"/>
      <c r="AI32" s="820"/>
      <c r="AJ32" s="820"/>
    </row>
    <row r="33" spans="1:36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19" t="s">
        <v>220</v>
      </c>
      <c r="AE33" s="819"/>
      <c r="AF33" s="819"/>
      <c r="AG33" s="819"/>
      <c r="AH33" s="819"/>
      <c r="AI33" s="819"/>
      <c r="AJ33" s="819"/>
    </row>
    <row r="34" spans="1:36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</row>
    <row r="35" spans="1:36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6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</row>
    <row r="38" spans="1:36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1124</v>
      </c>
      <c r="AE38" s="775"/>
      <c r="AF38" s="775"/>
      <c r="AG38" s="775"/>
      <c r="AH38" s="775"/>
      <c r="AI38" s="775"/>
      <c r="AJ38" s="776"/>
    </row>
    <row r="39" spans="1:36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6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41"/>
      <c r="Z40" s="742"/>
      <c r="AA40" s="742"/>
      <c r="AB40" s="742"/>
      <c r="AC40" s="743"/>
      <c r="AD40" s="744"/>
      <c r="AE40" s="745"/>
      <c r="AF40" s="745"/>
      <c r="AG40" s="745"/>
      <c r="AH40" s="745"/>
      <c r="AI40" s="745"/>
      <c r="AJ40" s="746"/>
    </row>
    <row r="41" spans="1:36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6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6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6" ht="14.45" customHeight="1">
      <c r="A44" s="722" t="s">
        <v>8</v>
      </c>
      <c r="B44" s="723"/>
      <c r="C44" s="724" t="s">
        <v>381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14"/>
      <c r="Z44" s="811"/>
      <c r="AA44" s="811"/>
      <c r="AB44" s="811"/>
      <c r="AC44" s="812"/>
      <c r="AD44" s="744">
        <v>220</v>
      </c>
      <c r="AE44" s="745"/>
      <c r="AF44" s="745"/>
      <c r="AG44" s="745"/>
      <c r="AH44" s="745"/>
      <c r="AI44" s="745"/>
      <c r="AJ44" s="746"/>
    </row>
    <row r="45" spans="1:36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1344</v>
      </c>
      <c r="AE45" s="692"/>
      <c r="AF45" s="692"/>
      <c r="AG45" s="692"/>
      <c r="AH45" s="692"/>
      <c r="AI45" s="692"/>
      <c r="AJ45" s="693"/>
    </row>
    <row r="46" spans="1:36" ht="14.45" customHeight="1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60"/>
      <c r="Z46" s="60"/>
      <c r="AA46" s="60"/>
      <c r="AB46" s="60"/>
      <c r="AC46" s="60"/>
      <c r="AD46" s="61"/>
      <c r="AE46" s="61"/>
      <c r="AF46" s="61"/>
      <c r="AG46" s="61"/>
      <c r="AH46" s="61"/>
      <c r="AI46" s="61"/>
      <c r="AJ46" s="61"/>
    </row>
    <row r="47" spans="1:36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6" ht="14.45" customHeight="1">
      <c r="A48" s="813" t="s">
        <v>280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112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37.333333333333329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149.33333333333331</v>
      </c>
      <c r="AE52" s="692"/>
      <c r="AF52" s="692"/>
      <c r="AG52" s="692"/>
      <c r="AH52" s="692"/>
      <c r="AI52" s="692"/>
      <c r="AJ52" s="693"/>
    </row>
    <row r="53" spans="1:36" ht="14.45" customHeight="1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60"/>
      <c r="Z53" s="60"/>
      <c r="AA53" s="60"/>
      <c r="AB53" s="60"/>
      <c r="AC53" s="60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298.66666666666669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37.333333333333336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44.8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22.4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14.933333333333334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8.9599999999999991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2.9866666666666664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119.46666666666667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549.54666666666662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108.56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453.56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149.33333333333331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549.54666666666662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453.56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1152.4399999999998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5.6</v>
      </c>
      <c r="AE85" s="775"/>
      <c r="AF85" s="775"/>
      <c r="AG85" s="775"/>
      <c r="AH85" s="775"/>
      <c r="AI85" s="775"/>
      <c r="AJ85" s="776"/>
      <c r="AL85" s="116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0.44800000000000001</v>
      </c>
      <c r="AE86" s="775"/>
      <c r="AF86" s="775"/>
      <c r="AG86" s="775"/>
      <c r="AH86" s="775"/>
      <c r="AI86" s="775"/>
      <c r="AJ86" s="776"/>
      <c r="AL86" s="116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48.802133333333337</v>
      </c>
      <c r="AE87" s="775"/>
      <c r="AF87" s="775"/>
      <c r="AG87" s="775"/>
      <c r="AH87" s="775"/>
      <c r="AI87" s="775"/>
      <c r="AJ87" s="776"/>
      <c r="AL87" s="116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48.541888888888884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9.617066666666668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0.83626666666666682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113.84535555555556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112</v>
      </c>
      <c r="AE96" s="775"/>
      <c r="AF96" s="775"/>
      <c r="AG96" s="775"/>
      <c r="AH96" s="775"/>
      <c r="AI96" s="775"/>
      <c r="AJ96" s="776"/>
      <c r="AK96" s="130"/>
      <c r="AL96" s="117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18.6816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0.26880000000000004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3.7631999999999999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1.7471999999999999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0.94079999999999997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26.377244444444443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50.563788800000005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214.34263324444444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7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7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7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214.34263324444444</v>
      </c>
      <c r="AE115" s="775"/>
      <c r="AF115" s="775"/>
      <c r="AG115" s="775"/>
      <c r="AH115" s="775"/>
      <c r="AI115" s="775"/>
      <c r="AJ115" s="776"/>
    </row>
    <row r="116" spans="1:37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7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214.34263324444444</v>
      </c>
      <c r="AE117" s="692"/>
      <c r="AF117" s="692"/>
      <c r="AG117" s="692"/>
      <c r="AH117" s="692"/>
      <c r="AI117" s="692"/>
      <c r="AJ117" s="693"/>
    </row>
    <row r="118" spans="1:37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7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7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7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'Fardamentos e EPI´s - Recepcio'!H14</f>
        <v>62.36</v>
      </c>
      <c r="AE121" s="772"/>
      <c r="AF121" s="772"/>
      <c r="AG121" s="772"/>
      <c r="AH121" s="772"/>
      <c r="AI121" s="772"/>
      <c r="AJ121" s="773"/>
    </row>
    <row r="122" spans="1:37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7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/>
      <c r="AE123" s="772"/>
      <c r="AF123" s="772"/>
      <c r="AG123" s="772"/>
      <c r="AH123" s="772"/>
      <c r="AI123" s="772"/>
      <c r="AJ123" s="773"/>
    </row>
    <row r="124" spans="1:37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62.36</v>
      </c>
      <c r="AE124" s="692"/>
      <c r="AF124" s="692"/>
      <c r="AG124" s="692"/>
      <c r="AH124" s="692"/>
      <c r="AI124" s="692"/>
      <c r="AJ124" s="693"/>
    </row>
    <row r="125" spans="1:37" ht="14.45" customHeight="1"/>
    <row r="126" spans="1:37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7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7" ht="14.45" customHeight="1">
      <c r="A128" s="736" t="s">
        <v>0</v>
      </c>
      <c r="B128" s="737"/>
      <c r="C128" s="757" t="s">
        <v>326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86.609639663999985</v>
      </c>
      <c r="AE128" s="745"/>
      <c r="AF128" s="745"/>
      <c r="AG128" s="745"/>
      <c r="AH128" s="745"/>
      <c r="AI128" s="745"/>
      <c r="AJ128" s="746"/>
      <c r="AK128" s="130"/>
    </row>
    <row r="129" spans="1:37" ht="14.45" customHeight="1">
      <c r="A129" s="736" t="s">
        <v>1</v>
      </c>
      <c r="B129" s="737"/>
      <c r="C129" s="757" t="s">
        <v>327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196.02648443951998</v>
      </c>
      <c r="AE129" s="745"/>
      <c r="AF129" s="745"/>
      <c r="AG129" s="745"/>
      <c r="AH129" s="745"/>
      <c r="AI129" s="745"/>
      <c r="AJ129" s="746"/>
      <c r="AK129" s="130"/>
    </row>
    <row r="130" spans="1:37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</row>
    <row r="131" spans="1:37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7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104.09274590816159</v>
      </c>
      <c r="AE132" s="745"/>
      <c r="AF132" s="745"/>
      <c r="AG132" s="745"/>
      <c r="AH132" s="745"/>
      <c r="AI132" s="745"/>
      <c r="AJ132" s="746"/>
      <c r="AK132" s="130"/>
    </row>
    <row r="133" spans="1:37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22.553428280101677</v>
      </c>
      <c r="AE133" s="745"/>
      <c r="AF133" s="745"/>
      <c r="AG133" s="745"/>
      <c r="AH133" s="745"/>
      <c r="AI133" s="745"/>
      <c r="AJ133" s="746"/>
      <c r="AK133" s="134"/>
    </row>
    <row r="134" spans="1:37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173.48790984693599</v>
      </c>
      <c r="AE134" s="745"/>
      <c r="AF134" s="745"/>
      <c r="AG134" s="745"/>
      <c r="AH134" s="745"/>
      <c r="AI134" s="745"/>
      <c r="AJ134" s="746"/>
      <c r="AK134" s="130"/>
    </row>
    <row r="135" spans="1:37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582.77020813871923</v>
      </c>
      <c r="AE135" s="747"/>
      <c r="AF135" s="747"/>
      <c r="AG135" s="747"/>
      <c r="AH135" s="747"/>
      <c r="AI135" s="747"/>
      <c r="AJ135" s="747"/>
      <c r="AK135" s="130"/>
    </row>
    <row r="136" spans="1:37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7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7" ht="14.4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0"/>
    </row>
    <row r="139" spans="1:37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7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1344</v>
      </c>
      <c r="AE140" s="720"/>
      <c r="AF140" s="720"/>
      <c r="AG140" s="720"/>
      <c r="AH140" s="720"/>
      <c r="AI140" s="720"/>
      <c r="AJ140" s="721"/>
      <c r="AK140" s="130"/>
    </row>
    <row r="141" spans="1:37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1152.4399999999998</v>
      </c>
      <c r="AE141" s="720"/>
      <c r="AF141" s="720"/>
      <c r="AG141" s="720"/>
      <c r="AH141" s="720"/>
      <c r="AI141" s="720"/>
      <c r="AJ141" s="721"/>
      <c r="AK141" s="130"/>
    </row>
    <row r="142" spans="1:37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113.84535555555556</v>
      </c>
      <c r="AE142" s="720"/>
      <c r="AF142" s="720"/>
      <c r="AG142" s="720"/>
      <c r="AH142" s="720"/>
      <c r="AI142" s="720"/>
      <c r="AJ142" s="721"/>
      <c r="AK142" s="130"/>
    </row>
    <row r="143" spans="1:37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214.34263324444444</v>
      </c>
      <c r="AE143" s="720"/>
      <c r="AF143" s="720"/>
      <c r="AG143" s="720"/>
      <c r="AH143" s="720"/>
      <c r="AI143" s="720"/>
      <c r="AJ143" s="721"/>
      <c r="AK143" s="130"/>
    </row>
    <row r="144" spans="1:37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62.36</v>
      </c>
      <c r="AE144" s="720"/>
      <c r="AF144" s="720"/>
      <c r="AG144" s="720"/>
      <c r="AH144" s="720"/>
      <c r="AI144" s="720"/>
      <c r="AJ144" s="721"/>
      <c r="AK144" s="130"/>
    </row>
    <row r="145" spans="1:37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2886.9879888</v>
      </c>
      <c r="AE145" s="720"/>
      <c r="AF145" s="720"/>
      <c r="AG145" s="720"/>
      <c r="AH145" s="720"/>
      <c r="AI145" s="720"/>
      <c r="AJ145" s="721"/>
      <c r="AK145" s="130"/>
    </row>
    <row r="146" spans="1:37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582.77020813871923</v>
      </c>
      <c r="AE146" s="720"/>
      <c r="AF146" s="720"/>
      <c r="AG146" s="720"/>
      <c r="AH146" s="720"/>
      <c r="AI146" s="720"/>
      <c r="AJ146" s="721"/>
      <c r="AK146" s="130"/>
    </row>
    <row r="147" spans="1:37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3469.7581969387197</v>
      </c>
      <c r="AE147" s="692"/>
      <c r="AF147" s="692"/>
      <c r="AG147" s="692"/>
      <c r="AH147" s="692"/>
      <c r="AI147" s="692"/>
      <c r="AJ147" s="693"/>
      <c r="AK147" s="130"/>
    </row>
    <row r="148" spans="1:37" ht="14.45" customHeight="1"/>
    <row r="149" spans="1:37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7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7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7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7" ht="34.15" customHeight="1">
      <c r="A153" s="701" t="str">
        <f>A24</f>
        <v>SERVIÇOS DE SUPERVISOR DE LIMPEZA (NATAL)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3469.7581969387197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3469.7581969387197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3469.7581969387197</v>
      </c>
      <c r="AF153" s="714"/>
      <c r="AG153" s="714"/>
      <c r="AH153" s="714"/>
      <c r="AI153" s="714"/>
      <c r="AJ153" s="715"/>
    </row>
    <row r="154" spans="1:37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3469.76</v>
      </c>
      <c r="AF154" s="686"/>
      <c r="AG154" s="686"/>
      <c r="AH154" s="686"/>
      <c r="AI154" s="686"/>
      <c r="AJ154" s="686"/>
    </row>
    <row r="155" spans="1:37" ht="14.45" customHeight="1"/>
    <row r="156" spans="1:37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7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7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7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3469.76</v>
      </c>
      <c r="AE159" s="700"/>
      <c r="AF159" s="700"/>
      <c r="AG159" s="700"/>
      <c r="AH159" s="700"/>
      <c r="AI159" s="700"/>
      <c r="AJ159" s="700"/>
    </row>
    <row r="160" spans="1:37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124911.36000000002</v>
      </c>
      <c r="AE160" s="684"/>
      <c r="AF160" s="684"/>
      <c r="AG160" s="684"/>
      <c r="AH160" s="684"/>
      <c r="AI160" s="684"/>
      <c r="AJ160" s="684"/>
    </row>
  </sheetData>
  <mergeCells count="392">
    <mergeCell ref="A103:B103"/>
    <mergeCell ref="C103:X103"/>
    <mergeCell ref="Y103:AC103"/>
    <mergeCell ref="AD103:AJ103"/>
    <mergeCell ref="A106:X106"/>
    <mergeCell ref="Y106:AC106"/>
    <mergeCell ref="AD106:AJ106"/>
    <mergeCell ref="A104:AC104"/>
    <mergeCell ref="AD104:AJ104"/>
    <mergeCell ref="A105:B105"/>
    <mergeCell ref="C105:X105"/>
    <mergeCell ref="Y105:AC105"/>
    <mergeCell ref="AD105:AJ105"/>
    <mergeCell ref="A101:B101"/>
    <mergeCell ref="C101:X101"/>
    <mergeCell ref="Y101:AC101"/>
    <mergeCell ref="AD101:AJ101"/>
    <mergeCell ref="A102:X102"/>
    <mergeCell ref="Y102:AC102"/>
    <mergeCell ref="AD102:AJ102"/>
    <mergeCell ref="A99:B99"/>
    <mergeCell ref="C99:X99"/>
    <mergeCell ref="Y99:AC99"/>
    <mergeCell ref="AD99:AJ99"/>
    <mergeCell ref="A100:B100"/>
    <mergeCell ref="C100:X100"/>
    <mergeCell ref="Y100:AC100"/>
    <mergeCell ref="AD100:AJ100"/>
    <mergeCell ref="A97:B97"/>
    <mergeCell ref="C97:X97"/>
    <mergeCell ref="Y97:AC97"/>
    <mergeCell ref="AD97:AJ97"/>
    <mergeCell ref="A98:B98"/>
    <mergeCell ref="C98:X98"/>
    <mergeCell ref="Y98:AC98"/>
    <mergeCell ref="AD98:AJ98"/>
    <mergeCell ref="Y95:AC95"/>
    <mergeCell ref="AD95:AJ95"/>
    <mergeCell ref="A96:B96"/>
    <mergeCell ref="C96:X96"/>
    <mergeCell ref="Y96:AC96"/>
    <mergeCell ref="AD96:AJ96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A83:AJ83"/>
    <mergeCell ref="A84:B84"/>
    <mergeCell ref="C84:X84"/>
    <mergeCell ref="Y84:AC84"/>
    <mergeCell ref="AD84:AJ84"/>
    <mergeCell ref="A85:B85"/>
    <mergeCell ref="C85:X85"/>
    <mergeCell ref="Y85:AC85"/>
    <mergeCell ref="AD85:AJ85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74:AC74"/>
    <mergeCell ref="AD74:AJ74"/>
    <mergeCell ref="A75:AJ75"/>
    <mergeCell ref="A76:AJ76"/>
    <mergeCell ref="A77:B77"/>
    <mergeCell ref="C77:AC77"/>
    <mergeCell ref="AD77:AJ77"/>
    <mergeCell ref="A80:B80"/>
    <mergeCell ref="C80:AC80"/>
    <mergeCell ref="AD80:AJ80"/>
    <mergeCell ref="A81:AC81"/>
    <mergeCell ref="AD81:AJ81"/>
    <mergeCell ref="A82:AJ82"/>
    <mergeCell ref="A78:B78"/>
    <mergeCell ref="C78:AC78"/>
    <mergeCell ref="AD78:AJ78"/>
    <mergeCell ref="A79:B79"/>
    <mergeCell ref="C79:AC79"/>
    <mergeCell ref="AD79:AJ79"/>
    <mergeCell ref="A92:AJ92"/>
    <mergeCell ref="A110:B110"/>
    <mergeCell ref="C110:AC110"/>
    <mergeCell ref="AD110:AJ110"/>
    <mergeCell ref="A111:AC111"/>
    <mergeCell ref="AD111:AJ111"/>
    <mergeCell ref="A93:AJ93"/>
    <mergeCell ref="A94:AJ94"/>
    <mergeCell ref="A95:B95"/>
    <mergeCell ref="C95:X95"/>
    <mergeCell ref="A112:AJ112"/>
    <mergeCell ref="A107:AJ107"/>
    <mergeCell ref="A108:AJ108"/>
    <mergeCell ref="A109:B109"/>
    <mergeCell ref="C109:X109"/>
    <mergeCell ref="Y109:AC109"/>
    <mergeCell ref="AD109:AJ109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C127:X127"/>
    <mergeCell ref="Y127:AC127"/>
    <mergeCell ref="AD127:AJ127"/>
    <mergeCell ref="A128:B128"/>
    <mergeCell ref="C128:X128"/>
    <mergeCell ref="Y128:AC128"/>
    <mergeCell ref="AD128:AJ128"/>
    <mergeCell ref="A124:AC124"/>
    <mergeCell ref="AD124:AJ124"/>
    <mergeCell ref="A126:AJ126"/>
    <mergeCell ref="A132:B132"/>
    <mergeCell ref="C132:X132"/>
    <mergeCell ref="Y132:AC132"/>
    <mergeCell ref="AD132:AJ132"/>
    <mergeCell ref="C131:X131"/>
    <mergeCell ref="Y131:AC131"/>
    <mergeCell ref="A127:B127"/>
    <mergeCell ref="A133:B133"/>
    <mergeCell ref="C133:X133"/>
    <mergeCell ref="Y133:AC133"/>
    <mergeCell ref="AD133:AJ133"/>
    <mergeCell ref="A129:B129"/>
    <mergeCell ref="C129:X129"/>
    <mergeCell ref="Y129:AC129"/>
    <mergeCell ref="AD129:AJ129"/>
    <mergeCell ref="Y130:AC130"/>
    <mergeCell ref="A131:B131"/>
    <mergeCell ref="A137:AJ137"/>
    <mergeCell ref="A139:AC139"/>
    <mergeCell ref="AD139:AJ139"/>
    <mergeCell ref="A140:B140"/>
    <mergeCell ref="C140:AC140"/>
    <mergeCell ref="AD140:AJ140"/>
    <mergeCell ref="A134:B134"/>
    <mergeCell ref="C134:X134"/>
    <mergeCell ref="Y134:AC134"/>
    <mergeCell ref="AD134:AJ134"/>
    <mergeCell ref="A135:AC135"/>
    <mergeCell ref="AD135:AJ135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W153:AA153"/>
    <mergeCell ref="AB153:AD153"/>
    <mergeCell ref="AE153:AJ153"/>
    <mergeCell ref="A145:AC145"/>
    <mergeCell ref="AD145:AJ145"/>
    <mergeCell ref="A146:B146"/>
    <mergeCell ref="C146:AC146"/>
    <mergeCell ref="AD146:AJ146"/>
    <mergeCell ref="A147:AC147"/>
    <mergeCell ref="AD147:AJ147"/>
    <mergeCell ref="A152:L152"/>
    <mergeCell ref="M152:Q152"/>
    <mergeCell ref="R152:V152"/>
    <mergeCell ref="W152:AA152"/>
    <mergeCell ref="AB152:AD152"/>
    <mergeCell ref="AD159:AJ159"/>
    <mergeCell ref="AE152:AJ152"/>
    <mergeCell ref="A153:L153"/>
    <mergeCell ref="M153:Q153"/>
    <mergeCell ref="R153:V153"/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2" tint="-0.499984740745262"/>
    <pageSetUpPr fitToPage="1"/>
  </sheetPr>
  <dimension ref="A1:Z1000"/>
  <sheetViews>
    <sheetView showGridLines="0" topLeftCell="A40" workbookViewId="0">
      <selection activeCell="A59" sqref="A59"/>
    </sheetView>
  </sheetViews>
  <sheetFormatPr defaultColWidth="15.140625" defaultRowHeight="15"/>
  <cols>
    <col min="1" max="11" width="8" style="24" customWidth="1"/>
    <col min="12" max="26" width="7" style="24" customWidth="1"/>
    <col min="27" max="16384" width="15.140625" style="24"/>
  </cols>
  <sheetData>
    <row r="1" spans="1:26" ht="12.75" customHeight="1">
      <c r="A1" s="20"/>
      <c r="B1" s="21"/>
      <c r="C1" s="21"/>
      <c r="D1" s="21"/>
      <c r="E1" s="21"/>
      <c r="F1" s="21"/>
      <c r="G1" s="21"/>
      <c r="H1" s="21"/>
      <c r="I1" s="21"/>
      <c r="J1" s="22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ht="12.75" customHeight="1">
      <c r="A2" s="25"/>
      <c r="B2" s="26"/>
      <c r="C2" s="26"/>
      <c r="D2" s="26"/>
      <c r="E2" s="26"/>
      <c r="F2" s="26"/>
      <c r="G2" s="26"/>
      <c r="H2" s="26"/>
      <c r="I2" s="26"/>
      <c r="J2" s="27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>
      <c r="A3" s="25"/>
      <c r="B3" s="26"/>
      <c r="C3" s="26"/>
      <c r="D3" s="26"/>
      <c r="E3" s="26"/>
      <c r="F3" s="26"/>
      <c r="G3" s="26"/>
      <c r="H3" s="26"/>
      <c r="I3" s="26"/>
      <c r="J3" s="27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2.75" customHeight="1">
      <c r="A4" s="25"/>
      <c r="B4" s="26"/>
      <c r="C4" s="26"/>
      <c r="D4" s="26"/>
      <c r="E4" s="26"/>
      <c r="F4" s="26"/>
      <c r="G4" s="26"/>
      <c r="H4" s="26"/>
      <c r="I4" s="26"/>
      <c r="J4" s="27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ht="12.75" customHeight="1">
      <c r="A5" s="25"/>
      <c r="B5" s="26"/>
      <c r="C5" s="26"/>
      <c r="D5" s="26"/>
      <c r="E5" s="26"/>
      <c r="F5" s="26"/>
      <c r="G5" s="26"/>
      <c r="H5" s="26"/>
      <c r="I5" s="26"/>
      <c r="J5" s="27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ht="12.75" customHeight="1">
      <c r="A6" s="25"/>
      <c r="B6" s="26"/>
      <c r="C6" s="26"/>
      <c r="D6" s="26"/>
      <c r="E6" s="26"/>
      <c r="F6" s="26"/>
      <c r="G6" s="26"/>
      <c r="H6" s="26"/>
      <c r="I6" s="26"/>
      <c r="J6" s="27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4.5" customHeight="1">
      <c r="A7" s="679"/>
      <c r="B7" s="672"/>
      <c r="C7" s="672"/>
      <c r="D7" s="672"/>
      <c r="E7" s="672"/>
      <c r="F7" s="672"/>
      <c r="G7" s="672"/>
      <c r="H7" s="672"/>
      <c r="I7" s="672"/>
      <c r="J7" s="67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2.75" customHeight="1">
      <c r="A8" s="25"/>
      <c r="B8" s="26"/>
      <c r="C8" s="26"/>
      <c r="D8" s="26"/>
      <c r="E8" s="26"/>
      <c r="F8" s="26"/>
      <c r="G8" s="26"/>
      <c r="H8" s="26"/>
      <c r="I8" s="26"/>
      <c r="J8" s="27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2.75" customHeight="1">
      <c r="A9" s="25"/>
      <c r="B9" s="26"/>
      <c r="C9" s="26"/>
      <c r="D9" s="26"/>
      <c r="E9" s="26"/>
      <c r="F9" s="26"/>
      <c r="G9" s="26"/>
      <c r="H9" s="26"/>
      <c r="I9" s="26"/>
      <c r="J9" s="27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2.75" customHeight="1">
      <c r="A10" s="25"/>
      <c r="B10" s="26"/>
      <c r="C10" s="26"/>
      <c r="D10" s="26"/>
      <c r="E10" s="26"/>
      <c r="F10" s="26"/>
      <c r="G10" s="26"/>
      <c r="H10" s="26"/>
      <c r="I10" s="26"/>
      <c r="J10" s="27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2.75" customHeight="1">
      <c r="A11" s="25"/>
      <c r="B11" s="26"/>
      <c r="C11" s="26"/>
      <c r="D11" s="26"/>
      <c r="E11" s="26"/>
      <c r="F11" s="26"/>
      <c r="G11" s="26"/>
      <c r="H11" s="26"/>
      <c r="I11" s="26"/>
      <c r="J11" s="27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2.75" customHeight="1">
      <c r="A12" s="25"/>
      <c r="B12" s="26"/>
      <c r="C12" s="26"/>
      <c r="D12" s="26"/>
      <c r="E12" s="26"/>
      <c r="F12" s="26"/>
      <c r="G12" s="26"/>
      <c r="H12" s="26"/>
      <c r="I12" s="26"/>
      <c r="J12" s="27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2.75" customHeight="1">
      <c r="A13" s="25"/>
      <c r="B13" s="26"/>
      <c r="C13" s="26"/>
      <c r="D13" s="26"/>
      <c r="E13" s="26"/>
      <c r="F13" s="26"/>
      <c r="G13" s="26"/>
      <c r="H13" s="26"/>
      <c r="I13" s="26"/>
      <c r="J13" s="27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2.75" customHeight="1">
      <c r="A14" s="25"/>
      <c r="B14" s="26"/>
      <c r="C14" s="26"/>
      <c r="D14" s="26"/>
      <c r="E14" s="26"/>
      <c r="F14" s="26"/>
      <c r="G14" s="26"/>
      <c r="H14" s="26"/>
      <c r="I14" s="26"/>
      <c r="J14" s="27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2.75" customHeight="1">
      <c r="A15" s="25"/>
      <c r="B15" s="26"/>
      <c r="C15" s="26"/>
      <c r="D15" s="26"/>
      <c r="E15" s="26"/>
      <c r="F15" s="26"/>
      <c r="G15" s="26"/>
      <c r="H15" s="26"/>
      <c r="I15" s="26"/>
      <c r="J15" s="27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2.75" customHeight="1">
      <c r="A16" s="25"/>
      <c r="B16" s="26"/>
      <c r="C16" s="26"/>
      <c r="D16" s="26"/>
      <c r="E16" s="26"/>
      <c r="F16" s="26"/>
      <c r="G16" s="26"/>
      <c r="H16" s="26"/>
      <c r="I16" s="26"/>
      <c r="J16" s="27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2.75" customHeight="1">
      <c r="A17" s="25"/>
      <c r="B17" s="26"/>
      <c r="C17" s="26"/>
      <c r="D17" s="26"/>
      <c r="E17" s="26"/>
      <c r="F17" s="26"/>
      <c r="G17" s="26"/>
      <c r="H17" s="26"/>
      <c r="I17" s="26"/>
      <c r="J17" s="27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2.75" customHeight="1">
      <c r="A18" s="25"/>
      <c r="B18" s="26"/>
      <c r="C18" s="26"/>
      <c r="D18" s="26"/>
      <c r="E18" s="26"/>
      <c r="F18" s="26"/>
      <c r="G18" s="26"/>
      <c r="H18" s="26"/>
      <c r="I18" s="26"/>
      <c r="J18" s="27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2.75" customHeight="1">
      <c r="A19" s="25"/>
      <c r="B19" s="26"/>
      <c r="C19" s="26"/>
      <c r="D19" s="26"/>
      <c r="E19" s="26"/>
      <c r="F19" s="26"/>
      <c r="G19" s="26"/>
      <c r="H19" s="26"/>
      <c r="I19" s="26"/>
      <c r="J19" s="27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2.75" customHeight="1">
      <c r="A20" s="25"/>
      <c r="B20" s="26"/>
      <c r="C20" s="26"/>
      <c r="D20" s="26"/>
      <c r="E20" s="26"/>
      <c r="F20" s="26"/>
      <c r="G20" s="26"/>
      <c r="H20" s="26"/>
      <c r="I20" s="26"/>
      <c r="J20" s="27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2.75" customHeight="1">
      <c r="A21" s="50"/>
      <c r="B21" s="51"/>
      <c r="C21" s="51"/>
      <c r="D21" s="51"/>
      <c r="E21" s="51"/>
      <c r="F21" s="51"/>
      <c r="G21" s="51"/>
      <c r="H21" s="51"/>
      <c r="I21" s="51"/>
      <c r="J21" s="52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2.75" customHeight="1">
      <c r="A22" s="53"/>
      <c r="B22" s="47"/>
      <c r="C22" s="47"/>
      <c r="D22" s="47"/>
      <c r="E22" s="47"/>
      <c r="F22" s="47"/>
      <c r="G22" s="47"/>
      <c r="H22" s="47"/>
      <c r="I22" s="47"/>
      <c r="J22" s="52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2.75" customHeight="1">
      <c r="A23" s="53"/>
      <c r="B23" s="47"/>
      <c r="C23" s="47"/>
      <c r="D23" s="47"/>
      <c r="E23" s="47"/>
      <c r="F23" s="47"/>
      <c r="G23" s="47"/>
      <c r="H23" s="47"/>
      <c r="I23" s="47"/>
      <c r="J23" s="52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2.75" customHeight="1">
      <c r="A24" s="53"/>
      <c r="B24" s="47"/>
      <c r="C24" s="47"/>
      <c r="D24" s="47"/>
      <c r="E24" s="47"/>
      <c r="F24" s="47"/>
      <c r="G24" s="47"/>
      <c r="H24" s="47"/>
      <c r="I24" s="47"/>
      <c r="J24" s="52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2.75" customHeight="1">
      <c r="A25" s="53"/>
      <c r="B25" s="51"/>
      <c r="C25" s="51"/>
      <c r="D25" s="51"/>
      <c r="E25" s="51"/>
      <c r="F25" s="51"/>
      <c r="G25" s="51"/>
      <c r="H25" s="51"/>
      <c r="I25" s="51"/>
      <c r="J25" s="52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2.75" customHeight="1">
      <c r="A26" s="671"/>
      <c r="B26" s="672"/>
      <c r="C26" s="672"/>
      <c r="D26" s="672"/>
      <c r="E26" s="672"/>
      <c r="F26" s="672"/>
      <c r="G26" s="672"/>
      <c r="H26" s="672"/>
      <c r="I26" s="672"/>
      <c r="J26" s="67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2.75" customHeight="1">
      <c r="A27" s="674"/>
      <c r="B27" s="672"/>
      <c r="C27" s="672"/>
      <c r="D27" s="672"/>
      <c r="E27" s="672"/>
      <c r="F27" s="672"/>
      <c r="G27" s="672"/>
      <c r="H27" s="672"/>
      <c r="I27" s="672"/>
      <c r="J27" s="67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2.75" customHeight="1">
      <c r="A28" s="25"/>
      <c r="B28" s="26"/>
      <c r="C28" s="26"/>
      <c r="D28" s="26"/>
      <c r="E28" s="26"/>
      <c r="F28" s="26"/>
      <c r="G28" s="26"/>
      <c r="H28" s="26"/>
      <c r="I28" s="26"/>
      <c r="J28" s="27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2.75" customHeight="1">
      <c r="A29" s="25"/>
      <c r="B29" s="26"/>
      <c r="C29" s="26"/>
      <c r="D29" s="26"/>
      <c r="E29" s="26"/>
      <c r="F29" s="26"/>
      <c r="G29" s="26"/>
      <c r="H29" s="26"/>
      <c r="I29" s="26"/>
      <c r="J29" s="27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2.75" customHeight="1">
      <c r="A30" s="25"/>
      <c r="B30" s="26"/>
      <c r="C30" s="26"/>
      <c r="D30" s="26"/>
      <c r="E30" s="26"/>
      <c r="F30" s="26"/>
      <c r="G30" s="26"/>
      <c r="H30" s="26"/>
      <c r="I30" s="26"/>
      <c r="J30" s="27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2.75" customHeight="1">
      <c r="A31" s="25"/>
      <c r="B31" s="26"/>
      <c r="C31" s="26"/>
      <c r="D31" s="26"/>
      <c r="E31" s="26"/>
      <c r="F31" s="26"/>
      <c r="G31" s="26"/>
      <c r="H31" s="26"/>
      <c r="I31" s="26"/>
      <c r="J31" s="27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2.75" customHeight="1">
      <c r="A32" s="25"/>
      <c r="B32" s="26"/>
      <c r="C32" s="26"/>
      <c r="D32" s="26"/>
      <c r="E32" s="26"/>
      <c r="F32" s="26"/>
      <c r="G32" s="26"/>
      <c r="H32" s="26"/>
      <c r="I32" s="26"/>
      <c r="J32" s="27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2.75" customHeight="1">
      <c r="A33" s="25"/>
      <c r="B33" s="26"/>
      <c r="C33" s="26"/>
      <c r="D33" s="26"/>
      <c r="E33" s="26"/>
      <c r="F33" s="26"/>
      <c r="G33" s="26"/>
      <c r="H33" s="26"/>
      <c r="I33" s="26"/>
      <c r="J33" s="27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2.75" customHeight="1">
      <c r="A34" s="25"/>
      <c r="B34" s="26"/>
      <c r="C34" s="26"/>
      <c r="D34" s="26"/>
      <c r="E34" s="26"/>
      <c r="F34" s="26"/>
      <c r="G34" s="26"/>
      <c r="H34" s="26"/>
      <c r="I34" s="26"/>
      <c r="J34" s="27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2.75" customHeight="1">
      <c r="A35" s="25"/>
      <c r="B35" s="26"/>
      <c r="C35" s="26"/>
      <c r="D35" s="26"/>
      <c r="E35" s="26"/>
      <c r="F35" s="26"/>
      <c r="G35" s="26"/>
      <c r="H35" s="26"/>
      <c r="I35" s="26"/>
      <c r="J35" s="27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2.75" customHeight="1">
      <c r="A36" s="675" t="s">
        <v>162</v>
      </c>
      <c r="B36" s="676"/>
      <c r="C36" s="676"/>
      <c r="D36" s="676"/>
      <c r="E36" s="676"/>
      <c r="F36" s="676"/>
      <c r="G36" s="676"/>
      <c r="H36" s="676"/>
      <c r="I36" s="676"/>
      <c r="J36" s="677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2.75" customHeight="1">
      <c r="A37" s="678"/>
      <c r="B37" s="676"/>
      <c r="C37" s="676"/>
      <c r="D37" s="676"/>
      <c r="E37" s="676"/>
      <c r="F37" s="676"/>
      <c r="G37" s="676"/>
      <c r="H37" s="676"/>
      <c r="I37" s="676"/>
      <c r="J37" s="677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2.75" customHeight="1">
      <c r="A38" s="25"/>
      <c r="B38" s="26"/>
      <c r="C38" s="26"/>
      <c r="D38" s="26"/>
      <c r="E38" s="26"/>
      <c r="F38" s="26"/>
      <c r="G38" s="26"/>
      <c r="H38" s="26"/>
      <c r="I38" s="26"/>
      <c r="J38" s="27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2.75" customHeight="1">
      <c r="A39" s="25"/>
      <c r="B39" s="26"/>
      <c r="C39" s="26"/>
      <c r="D39" s="26"/>
      <c r="E39" s="26"/>
      <c r="F39" s="26"/>
      <c r="G39" s="26"/>
      <c r="H39" s="26"/>
      <c r="I39" s="26"/>
      <c r="J39" s="27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2.75" customHeight="1">
      <c r="A40" s="25"/>
      <c r="B40" s="26"/>
      <c r="C40" s="26"/>
      <c r="D40" s="26"/>
      <c r="E40" s="26"/>
      <c r="F40" s="26"/>
      <c r="G40" s="26"/>
      <c r="H40" s="26"/>
      <c r="I40" s="26"/>
      <c r="J40" s="27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2.75" customHeight="1">
      <c r="A41" s="25"/>
      <c r="B41" s="26"/>
      <c r="C41" s="26"/>
      <c r="D41" s="26"/>
      <c r="E41" s="26"/>
      <c r="F41" s="26"/>
      <c r="G41" s="26"/>
      <c r="H41" s="26"/>
      <c r="I41" s="26"/>
      <c r="J41" s="27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2.75" customHeight="1">
      <c r="A42" s="25"/>
      <c r="B42" s="26"/>
      <c r="C42" s="26"/>
      <c r="D42" s="26"/>
      <c r="E42" s="26"/>
      <c r="F42" s="26"/>
      <c r="G42" s="26"/>
      <c r="H42" s="26"/>
      <c r="I42" s="26"/>
      <c r="J42" s="27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2.75" customHeight="1">
      <c r="A43" s="25"/>
      <c r="B43" s="26"/>
      <c r="C43" s="26"/>
      <c r="D43" s="26"/>
      <c r="E43" s="26"/>
      <c r="F43" s="26"/>
      <c r="G43" s="26"/>
      <c r="H43" s="26"/>
      <c r="I43" s="26"/>
      <c r="J43" s="27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2.75" customHeight="1">
      <c r="A44" s="25"/>
      <c r="B44" s="26"/>
      <c r="C44" s="26"/>
      <c r="D44" s="26"/>
      <c r="E44" s="26"/>
      <c r="F44" s="26"/>
      <c r="G44" s="26"/>
      <c r="H44" s="26"/>
      <c r="I44" s="26"/>
      <c r="J44" s="27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2.75" customHeight="1">
      <c r="A45" s="25"/>
      <c r="B45" s="26"/>
      <c r="C45" s="26"/>
      <c r="D45" s="26"/>
      <c r="E45" s="26"/>
      <c r="F45" s="26"/>
      <c r="G45" s="26"/>
      <c r="H45" s="26"/>
      <c r="I45" s="26"/>
      <c r="J45" s="27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2.75" customHeight="1">
      <c r="A46" s="25"/>
      <c r="B46" s="26"/>
      <c r="C46" s="26"/>
      <c r="D46" s="26"/>
      <c r="E46" s="26"/>
      <c r="F46" s="26"/>
      <c r="G46" s="26"/>
      <c r="H46" s="26"/>
      <c r="I46" s="26"/>
      <c r="J46" s="27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2.75" customHeight="1">
      <c r="A47" s="25"/>
      <c r="B47" s="26"/>
      <c r="C47" s="26"/>
      <c r="D47" s="26"/>
      <c r="E47" s="26"/>
      <c r="F47" s="26"/>
      <c r="G47" s="26"/>
      <c r="H47" s="26"/>
      <c r="I47" s="26"/>
      <c r="J47" s="27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2.75" customHeight="1">
      <c r="A48" s="25"/>
      <c r="B48" s="26"/>
      <c r="C48" s="26"/>
      <c r="D48" s="26"/>
      <c r="E48" s="26"/>
      <c r="F48" s="26"/>
      <c r="G48" s="26"/>
      <c r="H48" s="26"/>
      <c r="I48" s="26"/>
      <c r="J48" s="27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2.75" customHeight="1">
      <c r="A49" s="25"/>
      <c r="B49" s="26"/>
      <c r="C49" s="26"/>
      <c r="D49" s="26"/>
      <c r="E49" s="26"/>
      <c r="F49" s="26"/>
      <c r="G49" s="26"/>
      <c r="H49" s="26"/>
      <c r="I49" s="26"/>
      <c r="J49" s="27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2.75" customHeight="1">
      <c r="A50" s="25"/>
      <c r="B50" s="26"/>
      <c r="C50" s="26"/>
      <c r="D50" s="26"/>
      <c r="E50" s="26"/>
      <c r="F50" s="26"/>
      <c r="G50" s="26"/>
      <c r="H50" s="26"/>
      <c r="I50" s="26"/>
      <c r="J50" s="27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2.75" customHeight="1">
      <c r="A51" s="25"/>
      <c r="B51" s="26"/>
      <c r="C51" s="26"/>
      <c r="D51" s="26"/>
      <c r="E51" s="26"/>
      <c r="F51" s="26"/>
      <c r="G51" s="26"/>
      <c r="H51" s="26"/>
      <c r="I51" s="26"/>
      <c r="J51" s="27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2.75" customHeight="1">
      <c r="A52" s="25"/>
      <c r="B52" s="26"/>
      <c r="C52" s="26"/>
      <c r="D52" s="26"/>
      <c r="E52" s="26"/>
      <c r="F52" s="26"/>
      <c r="G52" s="26"/>
      <c r="H52" s="26"/>
      <c r="I52" s="26"/>
      <c r="J52" s="27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2.75" customHeight="1">
      <c r="A53" s="25"/>
      <c r="B53" s="26"/>
      <c r="C53" s="26"/>
      <c r="D53" s="26"/>
      <c r="E53" s="26"/>
      <c r="F53" s="26"/>
      <c r="G53" s="26"/>
      <c r="H53" s="26"/>
      <c r="I53" s="26"/>
      <c r="J53" s="27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2.75" customHeight="1">
      <c r="A54" s="25"/>
      <c r="B54" s="26"/>
      <c r="C54" s="26"/>
      <c r="D54" s="26"/>
      <c r="E54" s="26"/>
      <c r="F54" s="26"/>
      <c r="G54" s="26"/>
      <c r="H54" s="26"/>
      <c r="I54" s="26"/>
      <c r="J54" s="27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2.75" customHeight="1">
      <c r="A55" s="25"/>
      <c r="B55" s="26"/>
      <c r="C55" s="26"/>
      <c r="D55" s="26"/>
      <c r="E55" s="26"/>
      <c r="F55" s="26"/>
      <c r="G55" s="26"/>
      <c r="H55" s="26"/>
      <c r="I55" s="26"/>
      <c r="J55" s="27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2.75" customHeight="1">
      <c r="A56" s="25"/>
      <c r="B56" s="26"/>
      <c r="C56" s="26"/>
      <c r="D56" s="26"/>
      <c r="E56" s="26"/>
      <c r="F56" s="26"/>
      <c r="G56" s="26"/>
      <c r="H56" s="26"/>
      <c r="I56" s="26"/>
      <c r="J56" s="27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2.75" customHeight="1">
      <c r="A57" s="675" t="s">
        <v>651</v>
      </c>
      <c r="B57" s="676"/>
      <c r="C57" s="676"/>
      <c r="D57" s="676"/>
      <c r="E57" s="676"/>
      <c r="F57" s="676"/>
      <c r="G57" s="676"/>
      <c r="H57" s="676"/>
      <c r="I57" s="676"/>
      <c r="J57" s="677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2.75" customHeight="1">
      <c r="A58" s="678"/>
      <c r="B58" s="676"/>
      <c r="C58" s="676"/>
      <c r="D58" s="676"/>
      <c r="E58" s="676"/>
      <c r="F58" s="676"/>
      <c r="G58" s="676"/>
      <c r="H58" s="676"/>
      <c r="I58" s="676"/>
      <c r="J58" s="677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3.5" customHeight="1" thickBot="1">
      <c r="A59" s="28"/>
      <c r="B59" s="29"/>
      <c r="C59" s="29"/>
      <c r="D59" s="29"/>
      <c r="E59" s="29"/>
      <c r="F59" s="29"/>
      <c r="G59" s="29"/>
      <c r="H59" s="29"/>
      <c r="I59" s="29"/>
      <c r="J59" s="30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2.7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2.7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2.7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2.7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2.7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2.7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2.7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2.7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2.7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2.7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2.7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2.7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2.7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2.7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2.7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2.7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2.7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2.7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2.7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2.7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2.7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2.7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2.7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2.7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2.7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2.7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2.7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2.7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2.7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2.7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2.7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2.7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2.7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2.7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2.7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2.7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2.7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2.7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2.7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2.7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2.7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2.7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2.7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2.7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2.7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2.7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2.7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2.7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2.7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2.7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2.7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2.7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2.7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2.7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2.7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2.7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2.7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2.7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2.7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2.7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2.7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2.7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2.7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2.7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2.7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2.7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2.7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2.7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2.7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2.7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2.7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2.7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2.7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2.7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2.7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2.7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2.7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2.7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2.7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2.7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 ht="12.7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 ht="12.7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 ht="12.7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2.7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2.7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2.7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2.7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2.7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2.7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2.7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2.7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2.7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2.7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2.7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2.7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2.7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2.7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2.7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2.7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2.7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2.7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2.7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2.7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2.7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2.7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2.7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2.7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2.7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2.7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2.7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2.7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2.7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2.7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2.7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2.7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2.7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2.7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2.7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2.7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2.7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2.7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2.7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2.7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2.7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2.7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2.7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2.7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2.7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2.7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2.7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2.7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2.7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2.7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2.7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2.7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2.7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2.7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2.7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2.7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2.7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2.7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2.7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2.7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2.7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2.7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2.7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2.7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2.7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2.7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2.7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2.7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2.7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2.7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2.7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2.7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2.7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2.7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2.7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2.7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2.7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2.7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2.7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2.7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2.7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2.7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2.7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2.7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2.7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2.7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2.7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2.7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2.7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2.7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2.7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2.7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2.7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2.7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2.7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2.7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2.7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2.7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2.7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2.7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2.7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2.7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2.7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2.7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2.7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2.7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2.7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2.7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2.7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2.7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2.7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2.7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2.7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2.7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2.7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2.7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2.7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2.7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2.7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2.7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2.7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2.7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2.7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2.7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2.7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2.7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2.7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2.7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2.7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2.7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2.7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2.7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2.7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2.7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2.7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2.7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2.7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2.7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2.7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2.7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2.7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2.7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2.7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2.7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2.7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2.7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2.7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2.7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2.7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2.7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2.7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2.7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2.7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2.7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2.7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2.7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2.7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2.7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2.7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2.7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2.7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2.7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2.7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2.7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2.7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2.7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2.7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2.7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2.7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2.7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2.7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2.7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2.7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2.7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2.7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2.7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2.7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2.7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2.7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2.7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2.7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2.7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2.7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2.7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2.7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2.7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2.7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2.7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2.7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2.7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2.7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2.7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2.7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2.7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2.7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2.7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2.7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2.7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2.7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2.7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2.7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2.7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2.7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2.7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2.7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2.7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2.7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2.7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2.7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2.7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2.7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2.7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2.7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2.7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2.7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2.7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2.7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2.7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2.7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2.7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2.7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2.7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2.7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2.7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2.7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2.7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2.7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2.7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2.7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2.7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2.7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2.7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2.7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2.7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2.7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2.7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2.7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2.7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2.7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2.7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2.7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2.7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2.7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2.7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2.7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2.7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2.7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2.7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2.7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2.7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2.7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2.7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2.7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2.7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2.7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2.7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2.7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2.7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2.7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2.7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2.7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2.7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2.7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2.7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2.7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2.7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2.7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2.7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2.7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2.7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2.7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2.7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2.7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2.7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2.7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2.7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2.7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2.7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2.7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2.7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2.7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2.7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2.7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2.7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2.7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2.7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2.7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2.7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2.7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2.7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2.7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2.7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2.7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2.7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2.7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2.7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2.7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2.7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2.7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2.7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2.7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2.7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2.7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2.7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2.7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2.7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2.7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2.7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2.7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2.7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2.7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2.7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2.7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2.7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2.7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2.7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2.7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2.7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2.7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2.7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2.7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2.7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2.7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2.7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2.7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2.7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2.7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2.7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2.7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2.7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2.7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2.7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2.7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2.7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2.7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2.7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2.7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2.7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2.7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2.7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2.7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2.7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2.7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2.7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2.7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2.7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2.7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2.7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2.7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2.7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2.7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2.7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2.7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2.7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2.7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2.7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2.7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2.7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2.7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2.7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2.7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2.7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2.7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2.7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2.7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2.7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2.7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2.7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2.7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2.7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2.7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2.7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2.7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2.7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2.7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2.7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2.7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2.7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2.7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2.7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2.7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2.7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2.7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2.7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2.7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2.7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2.7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2.7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2.7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2.7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2.7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2.7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2.7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2.7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2.7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2.7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2.7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2.7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2.7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2.7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2.7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2.7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2.7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2.7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2.7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2.7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2.7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2.7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2.7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2.7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2.7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2.7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2.7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2.7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2.7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2.7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2.7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2.7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2.7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2.7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2.7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2.7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2.7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2.7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2.7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2.7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2.7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2.7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2.7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2.7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2.7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2.7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2.7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2.7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2.7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2.7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2.7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2.7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2.7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2.7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2.7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2.7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2.7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2.7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2.7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2.7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2.7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2.7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2.7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2.7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2.7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2.7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2.7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2.7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2.7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2.7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2.7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2.7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2.7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2.7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2.7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2.7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2.75" customHeight="1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2.75" customHeight="1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2.75" customHeight="1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2.75" customHeight="1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2.75" customHeight="1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2.75" customHeight="1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2.75" customHeight="1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2.75" customHeight="1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2.75" customHeight="1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2.75" customHeight="1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2.75" customHeight="1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2.75" customHeight="1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2.75" customHeight="1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2.75" customHeight="1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2.75" customHeight="1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2.75" customHeight="1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2.75" customHeight="1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2.75" customHeight="1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2.75" customHeight="1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2.75" customHeight="1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2.75" customHeight="1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2.75" customHeight="1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2.75" customHeight="1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2.75" customHeight="1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2.75" customHeight="1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2.75" customHeight="1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2.75" customHeight="1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2.75" customHeight="1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2.75" customHeight="1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2.75" customHeight="1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2.75" customHeight="1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2.75" customHeight="1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2.75" customHeight="1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2.75" customHeight="1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2.75" customHeight="1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2.75" customHeight="1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2.75" customHeight="1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2.75" customHeight="1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2.75" customHeight="1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2.75" customHeight="1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2.75" customHeight="1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2.75" customHeight="1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2.75" customHeight="1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2.75" customHeight="1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2.75" customHeight="1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2.75" customHeight="1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2.75" customHeight="1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2.75" customHeight="1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2.75" customHeight="1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2.75" customHeight="1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2.75" customHeight="1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2.75" customHeight="1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2.75" customHeight="1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2.75" customHeight="1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2.75" customHeight="1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2.75" customHeight="1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2.75" customHeight="1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2.75" customHeight="1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2.75" customHeight="1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2.75" customHeight="1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2.75" customHeight="1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2.75" customHeight="1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2.75" customHeight="1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2.75" customHeight="1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2.75" customHeight="1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2.75" customHeight="1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2.75" customHeight="1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2.75" customHeight="1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2.75" customHeight="1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2.75" customHeight="1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2.75" customHeight="1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2.75" customHeight="1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2.75" customHeight="1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2.75" customHeight="1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2.75" customHeight="1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2.75" customHeight="1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2.75" customHeight="1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2.75" customHeight="1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2.75" customHeight="1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2.75" customHeight="1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2.75" customHeight="1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2.75" customHeight="1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2.75" customHeight="1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2.75" customHeight="1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2.75" customHeight="1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2.75" customHeight="1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2.75" customHeight="1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2.75" customHeight="1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2.75" customHeight="1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2.75" customHeight="1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2.75" customHeight="1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2.75" customHeight="1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2.75" customHeight="1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2.75" customHeight="1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2.75" customHeight="1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2.75" customHeight="1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2.75" customHeight="1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2.75" customHeight="1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2.75" customHeight="1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2.75" customHeight="1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2.75" customHeight="1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2.75" customHeight="1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2.75" customHeight="1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2.75" customHeight="1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2.75" customHeight="1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2.75" customHeight="1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2.75" customHeight="1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2.75" customHeight="1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2.75" customHeight="1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2.75" customHeight="1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2.75" customHeight="1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2.75" customHeight="1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2.75" customHeight="1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2.75" customHeight="1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2.75" customHeight="1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2.75" customHeight="1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2.75" customHeight="1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2.75" customHeight="1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2.75" customHeight="1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2.75" customHeight="1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2.75" customHeight="1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2.75" customHeight="1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2.75" customHeight="1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2.75" customHeight="1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2.75" customHeight="1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2.75" customHeight="1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2.75" customHeight="1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2.75" customHeight="1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2.75" customHeight="1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2.75" customHeight="1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2.75" customHeight="1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2.75" customHeight="1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2.75" customHeight="1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2.75" customHeight="1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2.75" customHeight="1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2.75" customHeight="1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2.75" customHeight="1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2.75" customHeight="1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2.75" customHeight="1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2.75" customHeight="1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2.75" customHeight="1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2.75" customHeight="1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2.75" customHeight="1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2.75" customHeight="1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2.75" customHeight="1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2.75" customHeight="1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2.75" customHeight="1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2.75" customHeight="1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2.75" customHeight="1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2.75" customHeight="1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2.75" customHeight="1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2.75" customHeight="1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2.75" customHeight="1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2.75" customHeight="1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2.75" customHeight="1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2.75" customHeight="1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2.75" customHeight="1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2.75" customHeight="1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2.75" customHeight="1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2.75" customHeight="1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2.75" customHeight="1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2.75" customHeight="1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2.75" customHeight="1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2.75" customHeight="1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2.75" customHeight="1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2.75" customHeight="1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2.75" customHeight="1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2.75" customHeight="1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2.75" customHeight="1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2.75" customHeight="1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2.75" customHeight="1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2.75" customHeight="1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2.75" customHeight="1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2.75" customHeight="1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2.75" customHeight="1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2.75" customHeight="1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2.75" customHeight="1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2.75" customHeight="1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2.75" customHeight="1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2.75" customHeight="1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2.75" customHeight="1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2.75" customHeight="1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2.75" customHeight="1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2.75" customHeight="1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2.75" customHeight="1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2.75" customHeight="1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2.75" customHeight="1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2.75" customHeight="1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2.75" customHeight="1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2.75" customHeight="1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2.75" customHeight="1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2.75" customHeight="1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2.75" customHeight="1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2.75" customHeight="1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2.75" customHeight="1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2.75" customHeight="1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2.75" customHeight="1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2.75" customHeight="1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2.75" customHeight="1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2.75" customHeight="1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2.75" customHeight="1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2.75" customHeight="1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2.75" customHeight="1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2.75" customHeight="1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2.75" customHeight="1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2.75" customHeight="1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2.75" customHeight="1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2.75" customHeight="1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2.75" customHeight="1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2.75" customHeight="1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2.75" customHeight="1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2.75" customHeight="1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2.75" customHeight="1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2.75" customHeight="1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2.75" customHeight="1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2.75" customHeight="1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2.75" customHeight="1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2.75" customHeight="1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2.75" customHeight="1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2.75" customHeight="1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2.75" customHeight="1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2.75" customHeight="1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2.75" customHeight="1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2.75" customHeight="1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2.75" customHeight="1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2.75" customHeight="1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2.75" customHeight="1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2.75" customHeight="1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2.75" customHeight="1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2.75" customHeight="1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2.75" customHeight="1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2.75" customHeight="1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2.75" customHeight="1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2.75" customHeight="1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2.75" customHeight="1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2.75" customHeight="1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2.75" customHeight="1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2.75" customHeight="1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2.75" customHeight="1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2.75" customHeight="1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2.75" customHeight="1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2.75" customHeight="1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2.75" customHeight="1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2.75" customHeight="1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2.75" customHeight="1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2.75" customHeight="1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2.75" customHeight="1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2.75" customHeight="1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2.75" customHeight="1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2.75" customHeight="1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2.75" customHeight="1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2.75" customHeight="1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2.75" customHeight="1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2.75" customHeight="1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2.75" customHeight="1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2.75" customHeight="1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2.75" customHeight="1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2.75" customHeight="1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2.75" customHeight="1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2.75" customHeight="1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2.75" customHeight="1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2.75" customHeight="1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2.75" customHeight="1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2.75" customHeight="1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2.75" customHeight="1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2.75" customHeight="1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2.75" customHeight="1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2.75" customHeight="1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2.75" customHeight="1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2.75" customHeight="1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2.75" customHeight="1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2.75" customHeight="1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2.75" customHeight="1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2.75" customHeight="1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2.75" customHeight="1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2.75" customHeight="1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2.75" customHeight="1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2.75" customHeight="1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2.75" customHeight="1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2.75" customHeight="1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2.75" customHeight="1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2.75" customHeight="1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2.75" customHeight="1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2.75" customHeight="1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2.75" customHeight="1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2.75" customHeight="1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2.75" customHeight="1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2.75" customHeight="1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2.75" customHeight="1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2.75" customHeight="1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2.75" customHeight="1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2.75" customHeight="1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2.75" customHeight="1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2.75" customHeight="1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2.75" customHeight="1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2.75" customHeight="1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2.75" customHeight="1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2.75" customHeight="1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2.75" customHeight="1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2.75" customHeight="1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2.75" customHeight="1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2.75" customHeight="1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2.75" customHeight="1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2.75" customHeight="1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2.75" customHeight="1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2.75" customHeight="1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2.75" customHeight="1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2.75" customHeight="1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2.75" customHeight="1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2.75" customHeight="1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2.75" customHeight="1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2.75" customHeight="1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2.75" customHeight="1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2.75" customHeight="1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2.75" customHeight="1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2.75" customHeight="1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2.75" customHeight="1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2.75" customHeight="1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2.75" customHeight="1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2.75" customHeight="1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2.75" customHeight="1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2.75" customHeight="1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2.75" customHeight="1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2.75" customHeight="1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2.75" customHeight="1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2.75" customHeight="1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2.75" customHeight="1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2.75" customHeight="1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2.75" customHeight="1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2.75" customHeight="1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2.75" customHeight="1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2.75" customHeight="1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2.75" customHeight="1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2.75" customHeight="1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2.75" customHeight="1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2.75" customHeight="1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2.75" customHeight="1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2.75" customHeight="1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2.75" customHeight="1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2.75" customHeight="1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2.75" customHeight="1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2.75" customHeight="1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2.75" customHeight="1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2.75" customHeight="1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2.75" customHeight="1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2.75" customHeight="1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2.75" customHeight="1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2.75" customHeight="1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2.75" customHeight="1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2.75" customHeight="1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2.75" customHeight="1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2.75" customHeight="1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2.75" customHeight="1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2.75" customHeight="1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2.75" customHeight="1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2.75" customHeight="1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2.75" customHeight="1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2.75" customHeight="1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2.75" customHeight="1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2.75" customHeight="1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2.75" customHeight="1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2.75" customHeight="1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2.75" customHeight="1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2.75" customHeight="1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2.75" customHeight="1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2.75" customHeight="1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2.75" customHeight="1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2.75" customHeight="1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2.75" customHeight="1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2.75" customHeight="1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2.75" customHeight="1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2.75" customHeight="1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2.75" customHeight="1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2.75" customHeight="1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2.75" customHeight="1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2.75" customHeight="1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2.75" customHeight="1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2.75" customHeight="1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2.75" customHeight="1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2.75" customHeight="1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2.75" customHeight="1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2.75" customHeight="1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2.75" customHeight="1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2.75" customHeight="1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2.75" customHeight="1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2.75" customHeight="1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2.75" customHeight="1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2.75" customHeight="1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2.75" customHeight="1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2.75" customHeight="1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2.75" customHeight="1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2.75" customHeight="1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2.75" customHeight="1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2.75" customHeight="1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2.75" customHeight="1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2.75" customHeight="1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</sheetData>
  <mergeCells count="4">
    <mergeCell ref="A7:J7"/>
    <mergeCell ref="A26:J27"/>
    <mergeCell ref="A36:J37"/>
    <mergeCell ref="A57:J58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0"/>
  </sheetPr>
  <dimension ref="A1:L66"/>
  <sheetViews>
    <sheetView showGridLines="0" topLeftCell="A52" zoomScale="110" zoomScaleNormal="110" workbookViewId="0">
      <selection activeCell="D70" sqref="D70"/>
    </sheetView>
  </sheetViews>
  <sheetFormatPr defaultRowHeight="15"/>
  <cols>
    <col min="1" max="1" width="45.28515625" customWidth="1"/>
    <col min="2" max="2" width="9.140625" customWidth="1"/>
    <col min="3" max="3" width="13.7109375" customWidth="1"/>
    <col min="4" max="4" width="15" style="199" customWidth="1"/>
    <col min="5" max="5" width="20.28515625" style="199" customWidth="1"/>
    <col min="6" max="6" width="22.5703125" customWidth="1"/>
    <col min="7" max="8" width="15.42578125" customWidth="1"/>
    <col min="12" max="12" width="10.140625" bestFit="1" customWidth="1"/>
  </cols>
  <sheetData>
    <row r="1" spans="1:12" s="5" customFormat="1" ht="12.75">
      <c r="D1" s="571"/>
      <c r="E1" s="571"/>
      <c r="F1" s="571"/>
      <c r="G1" s="1"/>
      <c r="H1" s="1"/>
    </row>
    <row r="2" spans="1:12" s="5" customFormat="1" ht="15" customHeight="1">
      <c r="A2" s="646" t="s">
        <v>26</v>
      </c>
      <c r="B2" s="646"/>
      <c r="C2" s="646"/>
      <c r="D2" s="646"/>
      <c r="E2" s="646"/>
      <c r="F2" s="646"/>
      <c r="G2" s="3"/>
      <c r="H2" s="3"/>
    </row>
    <row r="3" spans="1:12" s="5" customFormat="1" ht="15" customHeight="1">
      <c r="A3" s="646" t="s">
        <v>27</v>
      </c>
      <c r="B3" s="646"/>
      <c r="C3" s="646"/>
      <c r="D3" s="646"/>
      <c r="E3" s="646"/>
      <c r="F3" s="646"/>
      <c r="G3" s="3"/>
      <c r="H3" s="3"/>
    </row>
    <row r="4" spans="1:12" s="5" customFormat="1" ht="15" customHeight="1">
      <c r="A4" s="646" t="s">
        <v>329</v>
      </c>
      <c r="B4" s="646"/>
      <c r="C4" s="646"/>
      <c r="D4" s="646"/>
      <c r="E4" s="646"/>
      <c r="F4" s="646"/>
      <c r="G4" s="3"/>
      <c r="H4" s="3"/>
    </row>
    <row r="5" spans="1:12" s="5" customFormat="1" ht="15" customHeight="1">
      <c r="D5" s="444"/>
      <c r="E5" s="444"/>
      <c r="G5" s="2"/>
      <c r="H5" s="2"/>
    </row>
    <row r="6" spans="1:12" s="5" customFormat="1" ht="12.75">
      <c r="D6" s="445"/>
      <c r="E6" s="445"/>
      <c r="F6" s="2"/>
      <c r="G6" s="2"/>
      <c r="H6" s="2"/>
    </row>
    <row r="7" spans="1:12" s="5" customFormat="1" ht="12.75">
      <c r="D7" s="445"/>
      <c r="E7" s="445"/>
      <c r="F7" s="2"/>
      <c r="G7" s="2"/>
      <c r="H7" s="2"/>
    </row>
    <row r="8" spans="1:12" s="7" customFormat="1" ht="18" customHeight="1">
      <c r="A8" s="459" t="s">
        <v>167</v>
      </c>
      <c r="B8" s="460">
        <f>'Capa Planilha de Custos'!B17</f>
        <v>36</v>
      </c>
      <c r="D8" s="445"/>
      <c r="E8" s="445"/>
      <c r="F8" s="4"/>
      <c r="G8" s="4"/>
      <c r="H8" s="4"/>
    </row>
    <row r="9" spans="1:12" s="5" customFormat="1" ht="12.75">
      <c r="B9" s="83"/>
      <c r="D9" s="445"/>
      <c r="E9" s="445"/>
      <c r="F9" s="2"/>
      <c r="G9" s="2"/>
      <c r="H9" s="2"/>
    </row>
    <row r="10" spans="1:12">
      <c r="A10" s="663" t="s">
        <v>333</v>
      </c>
      <c r="B10" s="663"/>
      <c r="C10" s="663"/>
      <c r="D10" s="663"/>
      <c r="E10" s="663"/>
      <c r="F10" s="663"/>
    </row>
    <row r="11" spans="1:12" ht="25.5">
      <c r="A11" s="153" t="s">
        <v>139</v>
      </c>
      <c r="B11" s="440" t="s">
        <v>662</v>
      </c>
      <c r="C11" s="440" t="s">
        <v>663</v>
      </c>
      <c r="D11" s="441" t="s">
        <v>166</v>
      </c>
      <c r="E11" s="441" t="s">
        <v>37</v>
      </c>
      <c r="F11" s="153" t="s">
        <v>38</v>
      </c>
      <c r="H11" s="40"/>
      <c r="I11" s="40"/>
      <c r="J11" s="40"/>
      <c r="K11" s="42"/>
      <c r="L11" s="42"/>
    </row>
    <row r="12" spans="1:12">
      <c r="A12" s="159" t="s">
        <v>580</v>
      </c>
      <c r="B12" s="364">
        <v>1</v>
      </c>
      <c r="C12" s="568">
        <v>25194</v>
      </c>
      <c r="D12" s="446">
        <f>'Supervisor Adm JPA'!AD159</f>
        <v>4749.9799999999996</v>
      </c>
      <c r="E12" s="447">
        <f t="shared" ref="E12:E19" si="0">D12*B12</f>
        <v>4749.9799999999996</v>
      </c>
      <c r="F12" s="86">
        <f t="shared" ref="F12:F19" si="1">E12*$B$8</f>
        <v>170999.27999999997</v>
      </c>
      <c r="H12" s="40"/>
      <c r="I12" s="40"/>
      <c r="J12" s="40"/>
      <c r="K12" s="42"/>
      <c r="L12" s="42"/>
    </row>
    <row r="13" spans="1:12">
      <c r="A13" s="159" t="s">
        <v>252</v>
      </c>
      <c r="B13" s="365">
        <v>8</v>
      </c>
      <c r="C13" s="662"/>
      <c r="D13" s="446">
        <f>'ASG JPA'!AD159</f>
        <v>3236.03</v>
      </c>
      <c r="E13" s="447">
        <f t="shared" si="0"/>
        <v>25888.240000000002</v>
      </c>
      <c r="F13" s="86">
        <f t="shared" si="1"/>
        <v>931976.64</v>
      </c>
      <c r="H13" s="40"/>
      <c r="I13" s="40"/>
      <c r="J13" s="40"/>
      <c r="K13" s="42"/>
      <c r="L13" s="42"/>
    </row>
    <row r="14" spans="1:12">
      <c r="A14" s="159" t="s">
        <v>578</v>
      </c>
      <c r="B14" s="364">
        <v>2</v>
      </c>
      <c r="C14" s="662"/>
      <c r="D14" s="446">
        <f>'ASG Ad Insalub JPA'!AD159</f>
        <v>3469.03</v>
      </c>
      <c r="E14" s="447">
        <f>D14*B14</f>
        <v>6938.06</v>
      </c>
      <c r="F14" s="86">
        <f>E14*$B$8</f>
        <v>249770.16</v>
      </c>
      <c r="H14" s="40"/>
      <c r="I14" s="40"/>
      <c r="J14" s="40"/>
      <c r="K14" s="42"/>
      <c r="L14" s="42"/>
    </row>
    <row r="15" spans="1:12">
      <c r="A15" s="159" t="s">
        <v>606</v>
      </c>
      <c r="B15" s="365">
        <v>1</v>
      </c>
      <c r="C15" s="662"/>
      <c r="D15" s="448">
        <f>'ASG Superv Aux JPA'!AD159</f>
        <v>3700.76</v>
      </c>
      <c r="E15" s="447">
        <f>D15*B15</f>
        <v>3700.76</v>
      </c>
      <c r="F15" s="86">
        <f>E15*$B$8</f>
        <v>133227.36000000002</v>
      </c>
      <c r="H15" s="40"/>
      <c r="I15" s="40"/>
      <c r="J15" s="40"/>
      <c r="K15" s="42"/>
      <c r="L15" s="42"/>
    </row>
    <row r="16" spans="1:12">
      <c r="A16" s="159" t="s">
        <v>579</v>
      </c>
      <c r="B16" s="364">
        <v>2</v>
      </c>
      <c r="C16" s="565"/>
      <c r="D16" s="446">
        <f>'ALIS Insalub JPA'!AD159</f>
        <v>4158.3</v>
      </c>
      <c r="E16" s="447">
        <f t="shared" si="0"/>
        <v>8316.6</v>
      </c>
      <c r="F16" s="86">
        <f t="shared" si="1"/>
        <v>299397.60000000003</v>
      </c>
      <c r="H16" s="40"/>
      <c r="I16" s="40"/>
      <c r="J16" s="40"/>
      <c r="K16" s="42"/>
      <c r="L16" s="42"/>
    </row>
    <row r="17" spans="1:12">
      <c r="A17" s="159" t="s">
        <v>165</v>
      </c>
      <c r="B17" s="364">
        <v>4</v>
      </c>
      <c r="C17" s="568">
        <v>5380</v>
      </c>
      <c r="D17" s="446">
        <f>'Recepcionista JPA'!AD159</f>
        <v>3005.03</v>
      </c>
      <c r="E17" s="447">
        <f t="shared" si="0"/>
        <v>12020.12</v>
      </c>
      <c r="F17" s="86">
        <f t="shared" si="1"/>
        <v>432724.32</v>
      </c>
      <c r="H17" s="40"/>
      <c r="I17" s="40"/>
      <c r="J17" s="40"/>
      <c r="K17" s="42"/>
      <c r="L17" s="42"/>
    </row>
    <row r="18" spans="1:12">
      <c r="A18" s="159" t="s">
        <v>339</v>
      </c>
      <c r="B18" s="364">
        <v>1</v>
      </c>
      <c r="C18" s="662"/>
      <c r="D18" s="446">
        <f>'Jardineiro JPA'!AD159</f>
        <v>3138.35</v>
      </c>
      <c r="E18" s="447">
        <f t="shared" si="0"/>
        <v>3138.35</v>
      </c>
      <c r="F18" s="86">
        <f t="shared" si="1"/>
        <v>112980.59999999999</v>
      </c>
      <c r="H18" s="40"/>
      <c r="I18" s="40"/>
      <c r="J18" s="40"/>
      <c r="K18" s="42"/>
      <c r="L18" s="42"/>
    </row>
    <row r="19" spans="1:12">
      <c r="A19" s="159" t="s">
        <v>137</v>
      </c>
      <c r="B19" s="364">
        <v>4</v>
      </c>
      <c r="C19" s="565"/>
      <c r="D19" s="446">
        <f>'Copeiragem JPA'!AD159</f>
        <v>2948.81</v>
      </c>
      <c r="E19" s="447">
        <f t="shared" si="0"/>
        <v>11795.24</v>
      </c>
      <c r="F19" s="86">
        <f t="shared" si="1"/>
        <v>424628.64</v>
      </c>
      <c r="L19" s="41"/>
    </row>
    <row r="20" spans="1:12">
      <c r="A20" s="125" t="s">
        <v>169</v>
      </c>
      <c r="B20" s="366">
        <f>SUM(B12:B19)</f>
        <v>23</v>
      </c>
      <c r="C20" s="660" t="s">
        <v>169</v>
      </c>
      <c r="D20" s="661"/>
      <c r="E20" s="449">
        <f>SUM(E12:E19)</f>
        <v>76547.350000000006</v>
      </c>
      <c r="F20" s="87">
        <f>SUM(F12:F19)</f>
        <v>2755704.6</v>
      </c>
      <c r="L20" s="41"/>
    </row>
    <row r="21" spans="1:12">
      <c r="A21" s="45"/>
      <c r="B21" s="84"/>
      <c r="C21" s="46"/>
      <c r="D21" s="450"/>
      <c r="E21" s="451"/>
      <c r="F21" s="6"/>
      <c r="L21" s="41"/>
    </row>
    <row r="22" spans="1:12">
      <c r="A22" s="668" t="s">
        <v>334</v>
      </c>
      <c r="B22" s="669"/>
      <c r="C22" s="669"/>
      <c r="D22" s="669"/>
      <c r="E22" s="669"/>
      <c r="F22" s="670"/>
      <c r="L22" s="41"/>
    </row>
    <row r="23" spans="1:12" ht="25.5">
      <c r="A23" s="153" t="s">
        <v>139</v>
      </c>
      <c r="B23" s="440" t="s">
        <v>662</v>
      </c>
      <c r="C23" s="440" t="s">
        <v>663</v>
      </c>
      <c r="D23" s="441" t="s">
        <v>166</v>
      </c>
      <c r="E23" s="441" t="s">
        <v>37</v>
      </c>
      <c r="F23" s="153" t="s">
        <v>38</v>
      </c>
      <c r="H23" s="40"/>
      <c r="I23" s="40"/>
      <c r="J23" s="40"/>
      <c r="K23" s="42"/>
      <c r="L23" s="42"/>
    </row>
    <row r="24" spans="1:12">
      <c r="A24" s="85" t="s">
        <v>578</v>
      </c>
      <c r="B24" s="364">
        <v>1</v>
      </c>
      <c r="C24" s="154">
        <v>25194</v>
      </c>
      <c r="D24" s="446">
        <f>'ASG Insalub GUA'!AD159</f>
        <v>3469.03</v>
      </c>
      <c r="E24" s="447">
        <f>D24*B24</f>
        <v>3469.03</v>
      </c>
      <c r="F24" s="86">
        <f>E24*$B$8</f>
        <v>124885.08</v>
      </c>
    </row>
    <row r="25" spans="1:12">
      <c r="A25" s="85" t="s">
        <v>581</v>
      </c>
      <c r="B25" s="364">
        <v>1</v>
      </c>
      <c r="C25" s="158">
        <v>5380</v>
      </c>
      <c r="D25" s="446">
        <f>'Recepcionista Grtf GUA'!AD159</f>
        <v>3469.76</v>
      </c>
      <c r="E25" s="447">
        <f>D25*B25</f>
        <v>3469.76</v>
      </c>
      <c r="F25" s="86">
        <f>E25*$B$8</f>
        <v>124911.36000000002</v>
      </c>
    </row>
    <row r="26" spans="1:12">
      <c r="A26" s="125" t="s">
        <v>170</v>
      </c>
      <c r="B26" s="367">
        <f>SUM(B24:B25)</f>
        <v>2</v>
      </c>
      <c r="C26" s="660" t="s">
        <v>170</v>
      </c>
      <c r="D26" s="661"/>
      <c r="E26" s="449">
        <f>SUM(E24:E25)</f>
        <v>6938.7900000000009</v>
      </c>
      <c r="F26" s="87">
        <f>SUM(F24:F25)</f>
        <v>249796.44</v>
      </c>
    </row>
    <row r="27" spans="1:12">
      <c r="A27" s="45"/>
    </row>
    <row r="28" spans="1:12">
      <c r="A28" s="663" t="s">
        <v>335</v>
      </c>
      <c r="B28" s="663"/>
      <c r="C28" s="663"/>
      <c r="D28" s="663"/>
      <c r="E28" s="663"/>
      <c r="F28" s="663"/>
    </row>
    <row r="29" spans="1:12" ht="25.5">
      <c r="A29" s="153" t="s">
        <v>139</v>
      </c>
      <c r="B29" s="440" t="s">
        <v>662</v>
      </c>
      <c r="C29" s="440" t="s">
        <v>663</v>
      </c>
      <c r="D29" s="441" t="s">
        <v>166</v>
      </c>
      <c r="E29" s="441" t="s">
        <v>37</v>
      </c>
      <c r="F29" s="153" t="s">
        <v>38</v>
      </c>
    </row>
    <row r="30" spans="1:12">
      <c r="A30" s="159" t="s">
        <v>579</v>
      </c>
      <c r="B30" s="364">
        <v>2</v>
      </c>
      <c r="C30" s="564">
        <v>25194</v>
      </c>
      <c r="D30" s="446">
        <f>'ALIS Insalub CG'!AD159</f>
        <v>4158.3</v>
      </c>
      <c r="E30" s="447">
        <f t="shared" ref="E30:E35" si="2">D30*B30</f>
        <v>8316.6</v>
      </c>
      <c r="F30" s="86">
        <f t="shared" ref="F30:F35" si="3">E30*$B$8</f>
        <v>299397.60000000003</v>
      </c>
    </row>
    <row r="31" spans="1:12">
      <c r="A31" s="85" t="s">
        <v>252</v>
      </c>
      <c r="B31" s="364">
        <v>6</v>
      </c>
      <c r="C31" s="565"/>
      <c r="D31" s="446">
        <f>'ASG CG'!AD159</f>
        <v>3236.03</v>
      </c>
      <c r="E31" s="447">
        <f t="shared" si="2"/>
        <v>19416.18</v>
      </c>
      <c r="F31" s="86">
        <f t="shared" si="3"/>
        <v>698982.48</v>
      </c>
    </row>
    <row r="32" spans="1:12">
      <c r="A32" s="159" t="s">
        <v>339</v>
      </c>
      <c r="B32" s="365">
        <v>1</v>
      </c>
      <c r="C32" s="564">
        <v>5380</v>
      </c>
      <c r="D32" s="446">
        <f>'Jardineiro CG'!AD159</f>
        <v>3138.35</v>
      </c>
      <c r="E32" s="447">
        <f t="shared" si="2"/>
        <v>3138.35</v>
      </c>
      <c r="F32" s="86">
        <f t="shared" si="3"/>
        <v>112980.59999999999</v>
      </c>
    </row>
    <row r="33" spans="1:6">
      <c r="A33" s="85" t="s">
        <v>165</v>
      </c>
      <c r="B33" s="364">
        <v>1</v>
      </c>
      <c r="C33" s="662"/>
      <c r="D33" s="446">
        <f>'Recepcionista CG'!AD159</f>
        <v>3005.03</v>
      </c>
      <c r="E33" s="447">
        <f t="shared" si="2"/>
        <v>3005.03</v>
      </c>
      <c r="F33" s="86">
        <f t="shared" si="3"/>
        <v>108181.08</v>
      </c>
    </row>
    <row r="34" spans="1:6">
      <c r="A34" s="159" t="s">
        <v>581</v>
      </c>
      <c r="B34" s="364">
        <v>1</v>
      </c>
      <c r="C34" s="662"/>
      <c r="D34" s="446">
        <f>'Recepcionista Grtf CG'!AD159</f>
        <v>3469.76</v>
      </c>
      <c r="E34" s="447">
        <f>D34*B34</f>
        <v>3469.76</v>
      </c>
      <c r="F34" s="86">
        <f>E34*$B$8</f>
        <v>124911.36000000002</v>
      </c>
    </row>
    <row r="35" spans="1:6">
      <c r="A35" s="85" t="s">
        <v>137</v>
      </c>
      <c r="B35" s="364">
        <v>2</v>
      </c>
      <c r="C35" s="565"/>
      <c r="D35" s="446">
        <f>'Copeiragem CG'!AD159</f>
        <v>2948.81</v>
      </c>
      <c r="E35" s="447">
        <f t="shared" si="2"/>
        <v>5897.62</v>
      </c>
      <c r="F35" s="86">
        <f t="shared" si="3"/>
        <v>212314.32</v>
      </c>
    </row>
    <row r="36" spans="1:6">
      <c r="A36" s="125" t="s">
        <v>171</v>
      </c>
      <c r="B36" s="367">
        <f>SUM(B30:B35)</f>
        <v>13</v>
      </c>
      <c r="C36" s="660" t="s">
        <v>171</v>
      </c>
      <c r="D36" s="661"/>
      <c r="E36" s="449">
        <f>SUM(E30:E35)</f>
        <v>43243.54</v>
      </c>
      <c r="F36" s="87">
        <f>SUM(F30:F35)</f>
        <v>1556767.4400000004</v>
      </c>
    </row>
    <row r="39" spans="1:6">
      <c r="A39" s="663" t="s">
        <v>336</v>
      </c>
      <c r="B39" s="663"/>
      <c r="C39" s="663"/>
      <c r="D39" s="663"/>
      <c r="E39" s="663"/>
      <c r="F39" s="663"/>
    </row>
    <row r="40" spans="1:6" ht="25.5">
      <c r="A40" s="153" t="s">
        <v>139</v>
      </c>
      <c r="B40" s="440" t="s">
        <v>662</v>
      </c>
      <c r="C40" s="440" t="s">
        <v>663</v>
      </c>
      <c r="D40" s="441" t="s">
        <v>166</v>
      </c>
      <c r="E40" s="441" t="s">
        <v>37</v>
      </c>
      <c r="F40" s="153" t="s">
        <v>38</v>
      </c>
    </row>
    <row r="41" spans="1:6">
      <c r="A41" s="159" t="s">
        <v>578</v>
      </c>
      <c r="B41" s="365">
        <v>1</v>
      </c>
      <c r="C41" s="664">
        <v>25194</v>
      </c>
      <c r="D41" s="448">
        <f>'ASG Insal MON'!AD159</f>
        <v>3469.03</v>
      </c>
      <c r="E41" s="447">
        <f>D41*B41</f>
        <v>3469.03</v>
      </c>
      <c r="F41" s="86">
        <f>E41*$B$8</f>
        <v>124885.08</v>
      </c>
    </row>
    <row r="42" spans="1:6">
      <c r="A42" s="159" t="s">
        <v>252</v>
      </c>
      <c r="B42" s="365">
        <v>1</v>
      </c>
      <c r="C42" s="665"/>
      <c r="D42" s="448">
        <f>'ASG MON'!AD159</f>
        <v>3236.03</v>
      </c>
      <c r="E42" s="447">
        <f>D42*B42</f>
        <v>3236.03</v>
      </c>
      <c r="F42" s="86">
        <f>E42*$B$8</f>
        <v>116497.08</v>
      </c>
    </row>
    <row r="43" spans="1:6">
      <c r="A43" s="85" t="s">
        <v>581</v>
      </c>
      <c r="B43" s="365">
        <v>1</v>
      </c>
      <c r="C43" s="158">
        <v>5380</v>
      </c>
      <c r="D43" s="448">
        <f>'Recepcionista Grtf MON'!AD159</f>
        <v>3469.76</v>
      </c>
      <c r="E43" s="447">
        <f>D43*B43</f>
        <v>3469.76</v>
      </c>
      <c r="F43" s="86">
        <f>E43*$B$8</f>
        <v>124911.36000000002</v>
      </c>
    </row>
    <row r="44" spans="1:6">
      <c r="A44" s="125" t="s">
        <v>172</v>
      </c>
      <c r="B44" s="367">
        <f>SUM(B41:B43)</f>
        <v>3</v>
      </c>
      <c r="C44" s="660" t="s">
        <v>172</v>
      </c>
      <c r="D44" s="661"/>
      <c r="E44" s="449">
        <f>SUM(E41:E43)</f>
        <v>10174.82</v>
      </c>
      <c r="F44" s="87">
        <f>SUM(F41:F43)</f>
        <v>366293.52</v>
      </c>
    </row>
    <row r="46" spans="1:6">
      <c r="A46" s="663" t="s">
        <v>337</v>
      </c>
      <c r="B46" s="663"/>
      <c r="C46" s="663"/>
      <c r="D46" s="663"/>
      <c r="E46" s="663"/>
      <c r="F46" s="663"/>
    </row>
    <row r="47" spans="1:6" ht="25.5">
      <c r="A47" s="153" t="s">
        <v>139</v>
      </c>
      <c r="B47" s="440" t="s">
        <v>662</v>
      </c>
      <c r="C47" s="440" t="s">
        <v>663</v>
      </c>
      <c r="D47" s="441" t="s">
        <v>166</v>
      </c>
      <c r="E47" s="441" t="s">
        <v>37</v>
      </c>
      <c r="F47" s="153" t="s">
        <v>38</v>
      </c>
    </row>
    <row r="48" spans="1:6">
      <c r="A48" s="159" t="s">
        <v>578</v>
      </c>
      <c r="B48" s="365">
        <v>1</v>
      </c>
      <c r="C48" s="158">
        <v>25194</v>
      </c>
      <c r="D48" s="448">
        <f>'ASG Insalub PTS'!AD159</f>
        <v>3469.03</v>
      </c>
      <c r="E48" s="447">
        <f>D48*B48</f>
        <v>3469.03</v>
      </c>
      <c r="F48" s="86">
        <f>E48*$B$8</f>
        <v>124885.08</v>
      </c>
    </row>
    <row r="49" spans="1:6">
      <c r="A49" s="85" t="s">
        <v>581</v>
      </c>
      <c r="B49" s="365">
        <v>1</v>
      </c>
      <c r="C49" s="158">
        <v>5380</v>
      </c>
      <c r="D49" s="448">
        <f>'Recepcionista Grtf PTS'!AD159</f>
        <v>3469.76</v>
      </c>
      <c r="E49" s="447">
        <f>D49*B49</f>
        <v>3469.76</v>
      </c>
      <c r="F49" s="86">
        <f>E49*$B$8</f>
        <v>124911.36000000002</v>
      </c>
    </row>
    <row r="50" spans="1:6">
      <c r="A50" s="125" t="s">
        <v>173</v>
      </c>
      <c r="B50" s="367">
        <f>SUM(B48:B49)</f>
        <v>2</v>
      </c>
      <c r="C50" s="660" t="s">
        <v>173</v>
      </c>
      <c r="D50" s="661"/>
      <c r="E50" s="449">
        <f>SUM(E48:E49)</f>
        <v>6938.7900000000009</v>
      </c>
      <c r="F50" s="87">
        <f>SUM(F48:F49)</f>
        <v>249796.44</v>
      </c>
    </row>
    <row r="52" spans="1:6">
      <c r="A52" s="663" t="s">
        <v>338</v>
      </c>
      <c r="B52" s="663"/>
      <c r="C52" s="663"/>
      <c r="D52" s="663"/>
      <c r="E52" s="663"/>
      <c r="F52" s="663"/>
    </row>
    <row r="53" spans="1:6" ht="25.5">
      <c r="A53" s="153" t="s">
        <v>139</v>
      </c>
      <c r="B53" s="440" t="s">
        <v>662</v>
      </c>
      <c r="C53" s="440" t="s">
        <v>663</v>
      </c>
      <c r="D53" s="441" t="s">
        <v>166</v>
      </c>
      <c r="E53" s="441" t="s">
        <v>37</v>
      </c>
      <c r="F53" s="153" t="s">
        <v>38</v>
      </c>
    </row>
    <row r="54" spans="1:6">
      <c r="A54" s="159" t="s">
        <v>578</v>
      </c>
      <c r="B54" s="365">
        <v>1</v>
      </c>
      <c r="C54" s="664">
        <v>25194</v>
      </c>
      <c r="D54" s="448">
        <f>'ASG Insalub SSA'!AD159</f>
        <v>3469.03</v>
      </c>
      <c r="E54" s="447">
        <f>D54*B54</f>
        <v>3469.03</v>
      </c>
      <c r="F54" s="86">
        <f>E54*$B$8</f>
        <v>124885.08</v>
      </c>
    </row>
    <row r="55" spans="1:6">
      <c r="A55" s="159" t="s">
        <v>252</v>
      </c>
      <c r="B55" s="365">
        <v>1</v>
      </c>
      <c r="C55" s="665"/>
      <c r="D55" s="448">
        <f>'ASG SSA'!AD159</f>
        <v>3236.03</v>
      </c>
      <c r="E55" s="447">
        <f>D55*B55</f>
        <v>3236.03</v>
      </c>
      <c r="F55" s="86">
        <f>E55*$B$8</f>
        <v>116497.08</v>
      </c>
    </row>
    <row r="56" spans="1:6">
      <c r="A56" s="85" t="s">
        <v>581</v>
      </c>
      <c r="B56" s="365">
        <v>1</v>
      </c>
      <c r="C56" s="158">
        <v>5380</v>
      </c>
      <c r="D56" s="448">
        <f>'Recepcionista Grtf SSA'!AD159</f>
        <v>3469.76</v>
      </c>
      <c r="E56" s="447">
        <f>D56*B56</f>
        <v>3469.76</v>
      </c>
      <c r="F56" s="86">
        <f>E56*$B$8</f>
        <v>124911.36000000002</v>
      </c>
    </row>
    <row r="57" spans="1:6">
      <c r="A57" s="125" t="s">
        <v>174</v>
      </c>
      <c r="B57" s="367">
        <f>SUM(B54:B56)</f>
        <v>3</v>
      </c>
      <c r="C57" s="660" t="s">
        <v>174</v>
      </c>
      <c r="D57" s="661"/>
      <c r="E57" s="449">
        <f>SUM(E54:E56)</f>
        <v>10174.82</v>
      </c>
      <c r="F57" s="87">
        <f>SUM(F54:F56)</f>
        <v>366293.52</v>
      </c>
    </row>
    <row r="58" spans="1:6" s="329" customFormat="1">
      <c r="A58" s="326"/>
      <c r="B58" s="327"/>
      <c r="C58" s="326"/>
      <c r="D58" s="452"/>
      <c r="E58" s="453"/>
      <c r="F58" s="328"/>
    </row>
    <row r="59" spans="1:6" s="560" customFormat="1" ht="18.75" customHeight="1">
      <c r="A59" s="558" t="s">
        <v>681</v>
      </c>
      <c r="B59" s="559">
        <f>SUM(B20,B26,B36,B44,B50,B57)</f>
        <v>46</v>
      </c>
      <c r="C59" s="666"/>
      <c r="D59" s="667"/>
      <c r="E59" s="454">
        <f>SUM(E20,E26,E36,E44,E50,E57)</f>
        <v>154018.11000000004</v>
      </c>
      <c r="F59" s="160">
        <f>SUM(F20,F26,F36,F44,F50,F57)</f>
        <v>5544651.9600000009</v>
      </c>
    </row>
    <row r="60" spans="1:6" s="329" customFormat="1">
      <c r="A60" s="326"/>
      <c r="B60" s="327"/>
      <c r="C60" s="326"/>
      <c r="D60" s="452"/>
      <c r="E60" s="453"/>
      <c r="F60" s="328"/>
    </row>
    <row r="62" spans="1:6">
      <c r="D62" s="455"/>
      <c r="E62" s="456"/>
      <c r="F62" s="430"/>
    </row>
    <row r="63" spans="1:6">
      <c r="D63" s="455"/>
      <c r="E63" s="456"/>
      <c r="F63" s="430"/>
    </row>
    <row r="64" spans="1:6">
      <c r="D64" s="455"/>
      <c r="E64" s="457"/>
      <c r="F64" s="431"/>
    </row>
    <row r="65" spans="4:6">
      <c r="D65" s="458"/>
      <c r="E65" s="458"/>
      <c r="F65" s="432"/>
    </row>
    <row r="66" spans="4:6">
      <c r="D66" s="458"/>
      <c r="E66" s="455"/>
      <c r="F66" s="429"/>
    </row>
  </sheetData>
  <mergeCells count="23">
    <mergeCell ref="C17:C19"/>
    <mergeCell ref="C30:C31"/>
    <mergeCell ref="C41:C42"/>
    <mergeCell ref="C59:D59"/>
    <mergeCell ref="A22:F22"/>
    <mergeCell ref="A28:F28"/>
    <mergeCell ref="A39:F39"/>
    <mergeCell ref="A46:F46"/>
    <mergeCell ref="A52:F52"/>
    <mergeCell ref="C54:C55"/>
    <mergeCell ref="D1:F1"/>
    <mergeCell ref="A2:F2"/>
    <mergeCell ref="A3:F3"/>
    <mergeCell ref="A4:F4"/>
    <mergeCell ref="A10:F10"/>
    <mergeCell ref="C12:C16"/>
    <mergeCell ref="C20:D20"/>
    <mergeCell ref="C32:C35"/>
    <mergeCell ref="C57:D57"/>
    <mergeCell ref="C50:D50"/>
    <mergeCell ref="C44:D44"/>
    <mergeCell ref="C36:D36"/>
    <mergeCell ref="C26:D26"/>
  </mergeCells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2" tint="-0.499984740745262"/>
    <pageSetUpPr fitToPage="1"/>
  </sheetPr>
  <dimension ref="A1:J15"/>
  <sheetViews>
    <sheetView showGridLines="0" topLeftCell="A7" workbookViewId="0">
      <selection activeCell="C13" sqref="C13"/>
    </sheetView>
  </sheetViews>
  <sheetFormatPr defaultRowHeight="12.75"/>
  <cols>
    <col min="1" max="1" width="9.140625" style="13"/>
    <col min="2" max="3" width="13.7109375" style="13" customWidth="1"/>
    <col min="4" max="4" width="57.7109375" style="10" bestFit="1" customWidth="1"/>
    <col min="5" max="5" width="14.28515625" style="11" customWidth="1"/>
    <col min="6" max="7" width="14.28515625" style="12" customWidth="1"/>
    <col min="8" max="8" width="14.28515625" style="10" customWidth="1"/>
    <col min="9" max="9" width="9.140625" style="12"/>
    <col min="10" max="10" width="10" style="10" bestFit="1" customWidth="1"/>
    <col min="11" max="16384" width="9.140625" style="10"/>
  </cols>
  <sheetData>
    <row r="1" spans="1:10" s="19" customFormat="1" ht="15" customHeight="1">
      <c r="A1" s="906"/>
      <c r="B1" s="906"/>
      <c r="C1" s="906"/>
      <c r="D1" s="906"/>
      <c r="E1" s="906"/>
      <c r="F1" s="906"/>
      <c r="G1" s="906"/>
      <c r="H1" s="906"/>
      <c r="I1" s="88"/>
    </row>
    <row r="2" spans="1:10" s="19" customFormat="1" ht="15" customHeight="1">
      <c r="A2" s="905" t="s">
        <v>26</v>
      </c>
      <c r="B2" s="905"/>
      <c r="C2" s="905"/>
      <c r="D2" s="905"/>
      <c r="E2" s="905"/>
      <c r="F2" s="905"/>
      <c r="G2" s="905"/>
      <c r="H2" s="905"/>
      <c r="I2" s="88"/>
    </row>
    <row r="3" spans="1:10" s="19" customFormat="1" ht="15" customHeight="1">
      <c r="A3" s="905" t="s">
        <v>27</v>
      </c>
      <c r="B3" s="905"/>
      <c r="C3" s="905"/>
      <c r="D3" s="905"/>
      <c r="E3" s="905"/>
      <c r="F3" s="905"/>
      <c r="G3" s="905"/>
      <c r="H3" s="905"/>
      <c r="I3" s="88"/>
    </row>
    <row r="4" spans="1:10" s="19" customFormat="1" ht="15" customHeight="1">
      <c r="A4" s="905" t="s">
        <v>329</v>
      </c>
      <c r="B4" s="905"/>
      <c r="C4" s="905"/>
      <c r="D4" s="905"/>
      <c r="E4" s="905"/>
      <c r="F4" s="905"/>
      <c r="G4" s="905"/>
      <c r="H4" s="905"/>
      <c r="I4" s="88"/>
    </row>
    <row r="5" spans="1:10" s="19" customFormat="1" ht="15.75" customHeight="1">
      <c r="A5" s="73"/>
      <c r="B5" s="73"/>
      <c r="C5" s="73"/>
      <c r="D5" s="73"/>
      <c r="E5" s="73"/>
      <c r="F5" s="73"/>
      <c r="G5" s="73"/>
      <c r="H5" s="73"/>
      <c r="I5" s="88"/>
    </row>
    <row r="6" spans="1:10" s="19" customFormat="1" ht="15.75" customHeight="1">
      <c r="A6" s="905" t="s">
        <v>176</v>
      </c>
      <c r="B6" s="905"/>
      <c r="C6" s="905"/>
      <c r="D6" s="905"/>
      <c r="E6" s="905"/>
      <c r="F6" s="905"/>
      <c r="G6" s="905"/>
      <c r="H6" s="905"/>
      <c r="I6" s="88"/>
    </row>
    <row r="7" spans="1:10" s="9" customFormat="1" ht="25.5">
      <c r="A7" s="70" t="s">
        <v>41</v>
      </c>
      <c r="B7" s="71" t="s">
        <v>49</v>
      </c>
      <c r="C7" s="71" t="s">
        <v>133</v>
      </c>
      <c r="D7" s="70" t="s">
        <v>42</v>
      </c>
      <c r="E7" s="72" t="s">
        <v>47</v>
      </c>
      <c r="F7" s="71" t="s">
        <v>43</v>
      </c>
      <c r="G7" s="70" t="s">
        <v>46</v>
      </c>
      <c r="H7" s="70" t="s">
        <v>48</v>
      </c>
    </row>
    <row r="8" spans="1:10" s="33" customFormat="1" ht="21.75" customHeight="1">
      <c r="A8" s="15">
        <v>1</v>
      </c>
      <c r="B8" s="15" t="s">
        <v>182</v>
      </c>
      <c r="C8" s="147">
        <v>44409</v>
      </c>
      <c r="D8" s="31" t="str">
        <f>'Fardamentos e EPI´s - PESQUISA'!B19</f>
        <v>Uniforme - Blazer</v>
      </c>
      <c r="E8" s="14">
        <f>'Fardamentos e EPI´s - PESQUISA'!O19</f>
        <v>106.35</v>
      </c>
      <c r="F8" s="43">
        <v>2</v>
      </c>
      <c r="G8" s="17">
        <f>F8/12</f>
        <v>0.16666666666666666</v>
      </c>
      <c r="H8" s="32">
        <f>G8*E8</f>
        <v>17.724999999999998</v>
      </c>
      <c r="I8" s="12"/>
      <c r="J8" s="128"/>
    </row>
    <row r="9" spans="1:10" s="33" customFormat="1" ht="21.75" customHeight="1">
      <c r="A9" s="15">
        <v>2</v>
      </c>
      <c r="B9" s="15" t="s">
        <v>182</v>
      </c>
      <c r="C9" s="147">
        <v>44440</v>
      </c>
      <c r="D9" s="31" t="s">
        <v>636</v>
      </c>
      <c r="E9" s="14">
        <f>'Fardamentos e EPI´s - PESQUISA'!O10</f>
        <v>61.9</v>
      </c>
      <c r="F9" s="43">
        <v>4</v>
      </c>
      <c r="G9" s="17">
        <f>F9/12</f>
        <v>0.33333333333333331</v>
      </c>
      <c r="H9" s="32">
        <f>G9*E9</f>
        <v>20.633333333333333</v>
      </c>
      <c r="I9" s="12"/>
      <c r="J9" s="128"/>
    </row>
    <row r="10" spans="1:10" s="33" customFormat="1" ht="21.75" customHeight="1">
      <c r="A10" s="15">
        <v>2</v>
      </c>
      <c r="B10" s="15" t="s">
        <v>182</v>
      </c>
      <c r="C10" s="147">
        <v>44409</v>
      </c>
      <c r="D10" s="31" t="str">
        <f>'Fardamentos e EPI´s - PESQUISA'!B22</f>
        <v>Uniforme - Calça Social</v>
      </c>
      <c r="E10" s="14">
        <f>'Fardamentos e EPI´s - PESQUISA'!O22</f>
        <v>31.23</v>
      </c>
      <c r="F10" s="43">
        <v>4</v>
      </c>
      <c r="G10" s="17">
        <f>F10/12</f>
        <v>0.33333333333333331</v>
      </c>
      <c r="H10" s="32">
        <f>G10*E10</f>
        <v>10.41</v>
      </c>
      <c r="I10" s="12"/>
      <c r="J10" s="128"/>
    </row>
    <row r="11" spans="1:10" s="33" customFormat="1" ht="21.75" customHeight="1">
      <c r="A11" s="15">
        <v>3</v>
      </c>
      <c r="B11" s="15" t="s">
        <v>182</v>
      </c>
      <c r="C11" s="147">
        <v>44409</v>
      </c>
      <c r="D11" s="31" t="str">
        <f>'Fardamentos e EPI´s - PESQUISA'!B27</f>
        <v>Sapato Social</v>
      </c>
      <c r="E11" s="14">
        <f>'Fardamentos e EPI´s - PESQUISA'!O27</f>
        <v>75.7</v>
      </c>
      <c r="F11" s="43">
        <v>2</v>
      </c>
      <c r="G11" s="17">
        <f>F11/12</f>
        <v>0.16666666666666666</v>
      </c>
      <c r="H11" s="32">
        <f>G11*E11</f>
        <v>12.616666666666667</v>
      </c>
      <c r="I11" s="12"/>
      <c r="J11" s="128"/>
    </row>
    <row r="12" spans="1:10" s="33" customFormat="1" ht="21.75" customHeight="1">
      <c r="A12" s="15">
        <v>4</v>
      </c>
      <c r="B12" s="15" t="s">
        <v>51</v>
      </c>
      <c r="C12" s="15" t="s">
        <v>645</v>
      </c>
      <c r="D12" s="31" t="s">
        <v>44</v>
      </c>
      <c r="E12" s="14">
        <v>11.7</v>
      </c>
      <c r="F12" s="43">
        <v>1</v>
      </c>
      <c r="G12" s="17">
        <f>F12/12</f>
        <v>8.3333333333333329E-2</v>
      </c>
      <c r="H12" s="32">
        <f>G12*E12</f>
        <v>0.97499999999999987</v>
      </c>
      <c r="I12" s="12"/>
      <c r="J12" s="128"/>
    </row>
    <row r="13" spans="1:10" s="33" customFormat="1" ht="21.75" customHeight="1">
      <c r="A13" s="15"/>
      <c r="B13" s="15"/>
      <c r="C13" s="15"/>
      <c r="D13" s="31"/>
      <c r="E13" s="14"/>
      <c r="F13" s="43"/>
      <c r="G13" s="17"/>
      <c r="H13" s="32"/>
      <c r="I13" s="12"/>
    </row>
    <row r="14" spans="1:10" s="33" customFormat="1" ht="21.75" customHeight="1">
      <c r="A14" s="15"/>
      <c r="B14" s="15"/>
      <c r="C14" s="15"/>
      <c r="D14" s="31"/>
      <c r="E14" s="14"/>
      <c r="F14" s="43"/>
      <c r="G14" s="17"/>
      <c r="H14" s="32"/>
      <c r="I14" s="12"/>
    </row>
    <row r="15" spans="1:10" ht="20.25" customHeight="1">
      <c r="A15" s="427" t="s">
        <v>635</v>
      </c>
      <c r="G15" s="70" t="s">
        <v>57</v>
      </c>
      <c r="H15" s="72">
        <f>SUM(H8:H14)</f>
        <v>62.36</v>
      </c>
    </row>
  </sheetData>
  <mergeCells count="5">
    <mergeCell ref="A6:H6"/>
    <mergeCell ref="A1:H1"/>
    <mergeCell ref="A2:H2"/>
    <mergeCell ref="A3:H3"/>
    <mergeCell ref="A4:H4"/>
  </mergeCells>
  <phoneticPr fontId="16" type="noConversion"/>
  <pageMargins left="0.51181102362204722" right="0.51181102362204722" top="0.78740157480314965" bottom="0.78740157480314965" header="0.31496062992125984" footer="0.31496062992125984"/>
  <pageSetup paperSize="9" scale="8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2" tint="-0.499984740745262"/>
    <pageSetUpPr fitToPage="1"/>
  </sheetPr>
  <dimension ref="A1:I20"/>
  <sheetViews>
    <sheetView showGridLines="0" topLeftCell="A7" workbookViewId="0">
      <selection activeCell="H19" sqref="H19"/>
    </sheetView>
  </sheetViews>
  <sheetFormatPr defaultRowHeight="12.75"/>
  <cols>
    <col min="1" max="1" width="9.140625" style="13"/>
    <col min="2" max="3" width="13.7109375" style="13" customWidth="1"/>
    <col min="4" max="4" width="57.7109375" style="10" bestFit="1" customWidth="1"/>
    <col min="5" max="5" width="11.140625" style="11" customWidth="1"/>
    <col min="6" max="7" width="11.140625" style="12" customWidth="1"/>
    <col min="8" max="8" width="11.140625" style="10" customWidth="1"/>
    <col min="9" max="9" width="25.140625" style="12" customWidth="1"/>
    <col min="10" max="16384" width="9.140625" style="10"/>
  </cols>
  <sheetData>
    <row r="1" spans="1:9" s="19" customFormat="1" ht="15" customHeight="1">
      <c r="A1" s="906"/>
      <c r="B1" s="906"/>
      <c r="C1" s="906"/>
      <c r="D1" s="906"/>
      <c r="E1" s="906"/>
      <c r="F1" s="906"/>
      <c r="G1" s="906"/>
      <c r="H1" s="906"/>
      <c r="I1" s="88"/>
    </row>
    <row r="2" spans="1:9" s="19" customFormat="1" ht="15" customHeight="1">
      <c r="A2" s="905" t="s">
        <v>26</v>
      </c>
      <c r="B2" s="905"/>
      <c r="C2" s="905"/>
      <c r="D2" s="905"/>
      <c r="E2" s="905"/>
      <c r="F2" s="905"/>
      <c r="G2" s="905"/>
      <c r="H2" s="905"/>
      <c r="I2" s="88"/>
    </row>
    <row r="3" spans="1:9" s="19" customFormat="1" ht="15" customHeight="1">
      <c r="A3" s="905" t="s">
        <v>27</v>
      </c>
      <c r="B3" s="905"/>
      <c r="C3" s="905"/>
      <c r="D3" s="905"/>
      <c r="E3" s="905"/>
      <c r="F3" s="905"/>
      <c r="G3" s="905"/>
      <c r="H3" s="905"/>
      <c r="I3" s="88"/>
    </row>
    <row r="4" spans="1:9" s="19" customFormat="1" ht="15" customHeight="1">
      <c r="A4" s="905" t="s">
        <v>329</v>
      </c>
      <c r="B4" s="905"/>
      <c r="C4" s="905"/>
      <c r="D4" s="905"/>
      <c r="E4" s="905"/>
      <c r="F4" s="905"/>
      <c r="G4" s="905"/>
      <c r="H4" s="905"/>
      <c r="I4" s="88"/>
    </row>
    <row r="5" spans="1:9" s="19" customFormat="1" ht="15.75" customHeight="1">
      <c r="A5" s="73"/>
      <c r="B5" s="73"/>
      <c r="C5" s="73"/>
      <c r="D5" s="73"/>
      <c r="E5" s="73"/>
      <c r="F5" s="73"/>
      <c r="G5" s="73"/>
      <c r="H5" s="73"/>
      <c r="I5" s="88"/>
    </row>
    <row r="6" spans="1:9" s="19" customFormat="1" ht="15.75" customHeight="1">
      <c r="A6" s="905" t="s">
        <v>393</v>
      </c>
      <c r="B6" s="905"/>
      <c r="C6" s="905"/>
      <c r="D6" s="905"/>
      <c r="E6" s="905"/>
      <c r="F6" s="905"/>
      <c r="G6" s="905"/>
      <c r="H6" s="905"/>
      <c r="I6" s="88"/>
    </row>
    <row r="7" spans="1:9" s="9" customFormat="1" ht="25.5">
      <c r="A7" s="70" t="s">
        <v>41</v>
      </c>
      <c r="B7" s="71" t="s">
        <v>49</v>
      </c>
      <c r="C7" s="71" t="s">
        <v>133</v>
      </c>
      <c r="D7" s="70" t="s">
        <v>42</v>
      </c>
      <c r="E7" s="72" t="s">
        <v>47</v>
      </c>
      <c r="F7" s="71" t="s">
        <v>43</v>
      </c>
      <c r="G7" s="70" t="s">
        <v>46</v>
      </c>
      <c r="H7" s="70" t="s">
        <v>48</v>
      </c>
      <c r="I7" s="70" t="s">
        <v>177</v>
      </c>
    </row>
    <row r="8" spans="1:9" s="33" customFormat="1" ht="21.75" customHeight="1">
      <c r="A8" s="15">
        <v>1</v>
      </c>
      <c r="B8" s="15" t="s">
        <v>52</v>
      </c>
      <c r="C8" s="15" t="s">
        <v>642</v>
      </c>
      <c r="D8" s="31" t="s">
        <v>45</v>
      </c>
      <c r="E8" s="14">
        <v>75.42</v>
      </c>
      <c r="F8" s="43">
        <v>4</v>
      </c>
      <c r="G8" s="17">
        <f>F8/12</f>
        <v>0.33333333333333331</v>
      </c>
      <c r="H8" s="32">
        <f t="shared" ref="H8:H16" si="0">G8*E8</f>
        <v>25.14</v>
      </c>
      <c r="I8" s="15" t="s">
        <v>395</v>
      </c>
    </row>
    <row r="9" spans="1:9" s="33" customFormat="1" ht="21.75" customHeight="1">
      <c r="A9" s="15">
        <v>2</v>
      </c>
      <c r="B9" s="15" t="s">
        <v>50</v>
      </c>
      <c r="C9" s="15" t="s">
        <v>642</v>
      </c>
      <c r="D9" s="31" t="s">
        <v>189</v>
      </c>
      <c r="E9" s="14">
        <v>91.75</v>
      </c>
      <c r="F9" s="43">
        <v>2</v>
      </c>
      <c r="G9" s="17">
        <f t="shared" ref="G9:G14" si="1">F9/12</f>
        <v>0.16666666666666666</v>
      </c>
      <c r="H9" s="32">
        <f t="shared" si="0"/>
        <v>15.291666666666666</v>
      </c>
      <c r="I9" s="15" t="s">
        <v>396</v>
      </c>
    </row>
    <row r="10" spans="1:9" s="33" customFormat="1" ht="21.75" customHeight="1">
      <c r="A10" s="15">
        <v>3</v>
      </c>
      <c r="B10" s="15" t="s">
        <v>51</v>
      </c>
      <c r="C10" s="15" t="s">
        <v>642</v>
      </c>
      <c r="D10" s="31" t="s">
        <v>44</v>
      </c>
      <c r="E10" s="14">
        <v>11.7</v>
      </c>
      <c r="F10" s="43">
        <v>1</v>
      </c>
      <c r="G10" s="17">
        <f t="shared" si="1"/>
        <v>8.3333333333333329E-2</v>
      </c>
      <c r="H10" s="32">
        <f t="shared" si="0"/>
        <v>0.97499999999999987</v>
      </c>
      <c r="I10" s="15" t="s">
        <v>397</v>
      </c>
    </row>
    <row r="11" spans="1:9" s="33" customFormat="1" ht="21.75" customHeight="1">
      <c r="A11" s="15">
        <v>4</v>
      </c>
      <c r="B11" s="15" t="s">
        <v>53</v>
      </c>
      <c r="C11" s="15" t="s">
        <v>642</v>
      </c>
      <c r="D11" s="31" t="s">
        <v>188</v>
      </c>
      <c r="E11" s="14">
        <v>3.78</v>
      </c>
      <c r="F11" s="43">
        <v>52</v>
      </c>
      <c r="G11" s="17">
        <f t="shared" si="1"/>
        <v>4.333333333333333</v>
      </c>
      <c r="H11" s="32">
        <f t="shared" si="0"/>
        <v>16.38</v>
      </c>
      <c r="I11" s="15" t="s">
        <v>178</v>
      </c>
    </row>
    <row r="12" spans="1:9" s="33" customFormat="1" ht="21.75" customHeight="1">
      <c r="A12" s="15">
        <v>5</v>
      </c>
      <c r="B12" s="15" t="s">
        <v>54</v>
      </c>
      <c r="C12" s="15" t="s">
        <v>642</v>
      </c>
      <c r="D12" s="31" t="s">
        <v>187</v>
      </c>
      <c r="E12" s="14">
        <v>1</v>
      </c>
      <c r="F12" s="43">
        <v>104</v>
      </c>
      <c r="G12" s="17">
        <f t="shared" si="1"/>
        <v>8.6666666666666661</v>
      </c>
      <c r="H12" s="32">
        <f t="shared" si="0"/>
        <v>8.6666666666666661</v>
      </c>
      <c r="I12" s="15" t="s">
        <v>179</v>
      </c>
    </row>
    <row r="13" spans="1:9" s="33" customFormat="1" ht="21.75" customHeight="1">
      <c r="A13" s="15">
        <v>6</v>
      </c>
      <c r="B13" s="15" t="s">
        <v>55</v>
      </c>
      <c r="C13" s="15" t="s">
        <v>642</v>
      </c>
      <c r="D13" s="31" t="s">
        <v>186</v>
      </c>
      <c r="E13" s="14">
        <v>5.9</v>
      </c>
      <c r="F13" s="43">
        <v>2</v>
      </c>
      <c r="G13" s="17">
        <f t="shared" si="1"/>
        <v>0.16666666666666666</v>
      </c>
      <c r="H13" s="32">
        <f t="shared" si="0"/>
        <v>0.98333333333333339</v>
      </c>
      <c r="I13" s="15" t="s">
        <v>180</v>
      </c>
    </row>
    <row r="14" spans="1:9" s="33" customFormat="1" ht="21.75" customHeight="1">
      <c r="A14" s="15">
        <v>7</v>
      </c>
      <c r="B14" s="15" t="s">
        <v>182</v>
      </c>
      <c r="C14" s="15" t="s">
        <v>642</v>
      </c>
      <c r="D14" s="31" t="s">
        <v>184</v>
      </c>
      <c r="E14" s="16">
        <f>'Fardamentos e EPI´s - PESQUISA'!O32</f>
        <v>10.119999999999999</v>
      </c>
      <c r="F14" s="43">
        <v>52</v>
      </c>
      <c r="G14" s="17">
        <f t="shared" si="1"/>
        <v>4.333333333333333</v>
      </c>
      <c r="H14" s="32">
        <f t="shared" si="0"/>
        <v>43.853333333333325</v>
      </c>
      <c r="I14" s="15" t="s">
        <v>178</v>
      </c>
    </row>
    <row r="15" spans="1:9" s="33" customFormat="1" ht="21.75" customHeight="1">
      <c r="A15" s="15">
        <v>8</v>
      </c>
      <c r="B15" s="15" t="s">
        <v>191</v>
      </c>
      <c r="C15" s="15" t="s">
        <v>642</v>
      </c>
      <c r="D15" s="31" t="s">
        <v>190</v>
      </c>
      <c r="E15" s="14">
        <v>25.92</v>
      </c>
      <c r="F15" s="43">
        <v>2</v>
      </c>
      <c r="G15" s="17">
        <f>F15/12</f>
        <v>0.16666666666666666</v>
      </c>
      <c r="H15" s="32">
        <f t="shared" si="0"/>
        <v>4.32</v>
      </c>
      <c r="I15" s="15" t="s">
        <v>192</v>
      </c>
    </row>
    <row r="16" spans="1:9" s="33" customFormat="1" ht="21.75" customHeight="1">
      <c r="A16" s="15">
        <v>9</v>
      </c>
      <c r="B16" s="15" t="s">
        <v>182</v>
      </c>
      <c r="C16" s="89" t="s">
        <v>643</v>
      </c>
      <c r="D16" s="31" t="s">
        <v>193</v>
      </c>
      <c r="E16" s="16">
        <f>'Fardamentos e EPI´s - PESQUISA'!O37</f>
        <v>8.9</v>
      </c>
      <c r="F16" s="43">
        <v>2</v>
      </c>
      <c r="G16" s="17">
        <f>F16/12</f>
        <v>0.16666666666666666</v>
      </c>
      <c r="H16" s="32">
        <f t="shared" si="0"/>
        <v>1.4833333333333334</v>
      </c>
      <c r="I16" s="15" t="s">
        <v>194</v>
      </c>
    </row>
    <row r="17" spans="1:9" s="163" customFormat="1" ht="21.75" customHeight="1">
      <c r="A17" s="15">
        <v>10</v>
      </c>
      <c r="B17" s="15" t="s">
        <v>322</v>
      </c>
      <c r="C17" s="89" t="s">
        <v>644</v>
      </c>
      <c r="D17" s="31" t="s">
        <v>640</v>
      </c>
      <c r="E17" s="14">
        <f>'Fardamentos e EPI´s - PESQUISA'!O67</f>
        <v>19.72</v>
      </c>
      <c r="F17" s="43">
        <v>6</v>
      </c>
      <c r="G17" s="17">
        <f>F17/12</f>
        <v>0.5</v>
      </c>
      <c r="H17" s="32">
        <f>G17*E17</f>
        <v>9.86</v>
      </c>
      <c r="I17" s="177" t="s">
        <v>641</v>
      </c>
    </row>
    <row r="18" spans="1:9" s="163" customFormat="1" ht="21.75" customHeight="1">
      <c r="A18" s="15"/>
      <c r="B18" s="168"/>
      <c r="C18" s="168"/>
      <c r="D18" s="170"/>
      <c r="E18" s="171"/>
      <c r="F18" s="172"/>
      <c r="G18" s="173"/>
      <c r="H18" s="174"/>
      <c r="I18" s="168"/>
    </row>
    <row r="19" spans="1:9" ht="20.25" customHeight="1">
      <c r="A19" s="427" t="s">
        <v>635</v>
      </c>
      <c r="G19" s="70" t="s">
        <v>57</v>
      </c>
      <c r="H19" s="72">
        <f>SUM(H8:H18)</f>
        <v>126.95333333333332</v>
      </c>
    </row>
    <row r="20" spans="1:9">
      <c r="I20" s="12">
        <v>2</v>
      </c>
    </row>
  </sheetData>
  <mergeCells count="5">
    <mergeCell ref="A1:H1"/>
    <mergeCell ref="A2:H2"/>
    <mergeCell ref="A3:H3"/>
    <mergeCell ref="A4:H4"/>
    <mergeCell ref="A6:H6"/>
  </mergeCells>
  <pageMargins left="0.51181102362204722" right="0.51181102362204722" top="0.78740157480314965" bottom="0.78740157480314965" header="0.31496062992125984" footer="0.31496062992125984"/>
  <pageSetup paperSize="9" scale="82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2" tint="-0.499984740745262"/>
    <pageSetUpPr fitToPage="1"/>
  </sheetPr>
  <dimension ref="A1:I21"/>
  <sheetViews>
    <sheetView showGridLines="0" topLeftCell="A7" workbookViewId="0">
      <selection activeCell="H20" sqref="H20"/>
    </sheetView>
  </sheetViews>
  <sheetFormatPr defaultRowHeight="12.75"/>
  <cols>
    <col min="1" max="1" width="9.140625" style="13"/>
    <col min="2" max="3" width="13.7109375" style="13" customWidth="1"/>
    <col min="4" max="4" width="57.7109375" style="10" bestFit="1" customWidth="1"/>
    <col min="5" max="5" width="11.140625" style="11" customWidth="1"/>
    <col min="6" max="7" width="11.140625" style="12" customWidth="1"/>
    <col min="8" max="8" width="11.140625" style="10" customWidth="1"/>
    <col min="9" max="9" width="25.140625" style="12" customWidth="1"/>
    <col min="10" max="16384" width="9.140625" style="10"/>
  </cols>
  <sheetData>
    <row r="1" spans="1:9" s="19" customFormat="1" ht="15" customHeight="1">
      <c r="A1" s="906"/>
      <c r="B1" s="906"/>
      <c r="C1" s="906"/>
      <c r="D1" s="906"/>
      <c r="E1" s="906"/>
      <c r="F1" s="906"/>
      <c r="G1" s="906"/>
      <c r="H1" s="906"/>
      <c r="I1" s="88"/>
    </row>
    <row r="2" spans="1:9" s="19" customFormat="1" ht="15" customHeight="1">
      <c r="A2" s="905" t="s">
        <v>26</v>
      </c>
      <c r="B2" s="905"/>
      <c r="C2" s="905"/>
      <c r="D2" s="905"/>
      <c r="E2" s="905"/>
      <c r="F2" s="905"/>
      <c r="G2" s="905"/>
      <c r="H2" s="905"/>
      <c r="I2" s="88"/>
    </row>
    <row r="3" spans="1:9" s="19" customFormat="1" ht="15" customHeight="1">
      <c r="A3" s="905" t="s">
        <v>27</v>
      </c>
      <c r="B3" s="905"/>
      <c r="C3" s="905"/>
      <c r="D3" s="905"/>
      <c r="E3" s="905"/>
      <c r="F3" s="905"/>
      <c r="G3" s="905"/>
      <c r="H3" s="905"/>
      <c r="I3" s="88"/>
    </row>
    <row r="4" spans="1:9" s="19" customFormat="1" ht="15" customHeight="1">
      <c r="A4" s="905" t="s">
        <v>329</v>
      </c>
      <c r="B4" s="905"/>
      <c r="C4" s="905"/>
      <c r="D4" s="905"/>
      <c r="E4" s="905"/>
      <c r="F4" s="905"/>
      <c r="G4" s="905"/>
      <c r="H4" s="905"/>
      <c r="I4" s="88"/>
    </row>
    <row r="5" spans="1:9" s="19" customFormat="1" ht="15.75" customHeight="1">
      <c r="A5" s="73"/>
      <c r="B5" s="73"/>
      <c r="C5" s="73"/>
      <c r="D5" s="73"/>
      <c r="E5" s="73"/>
      <c r="F5" s="73"/>
      <c r="G5" s="73"/>
      <c r="H5" s="73"/>
      <c r="I5" s="88"/>
    </row>
    <row r="6" spans="1:9" s="19" customFormat="1" ht="15.75" customHeight="1">
      <c r="A6" s="905" t="s">
        <v>393</v>
      </c>
      <c r="B6" s="905"/>
      <c r="C6" s="905"/>
      <c r="D6" s="905"/>
      <c r="E6" s="905"/>
      <c r="F6" s="905"/>
      <c r="G6" s="905"/>
      <c r="H6" s="905"/>
      <c r="I6" s="88"/>
    </row>
    <row r="7" spans="1:9" s="9" customFormat="1" ht="25.5">
      <c r="A7" s="70" t="s">
        <v>41</v>
      </c>
      <c r="B7" s="71" t="s">
        <v>49</v>
      </c>
      <c r="C7" s="71" t="s">
        <v>133</v>
      </c>
      <c r="D7" s="70" t="s">
        <v>42</v>
      </c>
      <c r="E7" s="72" t="s">
        <v>47</v>
      </c>
      <c r="F7" s="71" t="s">
        <v>43</v>
      </c>
      <c r="G7" s="70" t="s">
        <v>46</v>
      </c>
      <c r="H7" s="70" t="s">
        <v>48</v>
      </c>
      <c r="I7" s="70" t="s">
        <v>177</v>
      </c>
    </row>
    <row r="8" spans="1:9" s="33" customFormat="1" ht="21.75" customHeight="1">
      <c r="A8" s="15">
        <v>1</v>
      </c>
      <c r="B8" s="15" t="s">
        <v>52</v>
      </c>
      <c r="C8" s="89" t="s">
        <v>183</v>
      </c>
      <c r="D8" s="31" t="s">
        <v>45</v>
      </c>
      <c r="E8" s="14">
        <v>75.42</v>
      </c>
      <c r="F8" s="43">
        <v>4</v>
      </c>
      <c r="G8" s="17">
        <f>F8/12</f>
        <v>0.33333333333333331</v>
      </c>
      <c r="H8" s="32">
        <f t="shared" ref="H8:H17" si="0">G8*E8</f>
        <v>25.14</v>
      </c>
      <c r="I8" s="15" t="s">
        <v>395</v>
      </c>
    </row>
    <row r="9" spans="1:9" s="33" customFormat="1" ht="21.75" customHeight="1">
      <c r="A9" s="15">
        <v>2</v>
      </c>
      <c r="B9" s="15" t="s">
        <v>50</v>
      </c>
      <c r="C9" s="89" t="s">
        <v>183</v>
      </c>
      <c r="D9" s="31" t="s">
        <v>189</v>
      </c>
      <c r="E9" s="14">
        <v>91.75</v>
      </c>
      <c r="F9" s="43">
        <v>2</v>
      </c>
      <c r="G9" s="17">
        <f t="shared" ref="G9:G15" si="1">F9/12</f>
        <v>0.16666666666666666</v>
      </c>
      <c r="H9" s="32">
        <f t="shared" si="0"/>
        <v>15.291666666666666</v>
      </c>
      <c r="I9" s="15" t="s">
        <v>396</v>
      </c>
    </row>
    <row r="10" spans="1:9" s="33" customFormat="1" ht="21.75" customHeight="1">
      <c r="A10" s="15">
        <v>3</v>
      </c>
      <c r="B10" s="15" t="s">
        <v>51</v>
      </c>
      <c r="C10" s="89" t="s">
        <v>183</v>
      </c>
      <c r="D10" s="31" t="s">
        <v>44</v>
      </c>
      <c r="E10" s="14">
        <v>11.7</v>
      </c>
      <c r="F10" s="43">
        <v>1</v>
      </c>
      <c r="G10" s="17">
        <f t="shared" si="1"/>
        <v>8.3333333333333329E-2</v>
      </c>
      <c r="H10" s="32">
        <f t="shared" si="0"/>
        <v>0.97499999999999987</v>
      </c>
      <c r="I10" s="15" t="s">
        <v>397</v>
      </c>
    </row>
    <row r="11" spans="1:9" s="33" customFormat="1" ht="21.75" customHeight="1">
      <c r="A11" s="15">
        <v>4</v>
      </c>
      <c r="B11" s="15" t="s">
        <v>53</v>
      </c>
      <c r="C11" s="89" t="s">
        <v>183</v>
      </c>
      <c r="D11" s="31" t="s">
        <v>188</v>
      </c>
      <c r="E11" s="14">
        <v>3.78</v>
      </c>
      <c r="F11" s="43">
        <v>52</v>
      </c>
      <c r="G11" s="17">
        <f t="shared" si="1"/>
        <v>4.333333333333333</v>
      </c>
      <c r="H11" s="32">
        <f t="shared" si="0"/>
        <v>16.38</v>
      </c>
      <c r="I11" s="15" t="s">
        <v>178</v>
      </c>
    </row>
    <row r="12" spans="1:9" s="33" customFormat="1" ht="21.75" customHeight="1">
      <c r="A12" s="15">
        <v>5</v>
      </c>
      <c r="B12" s="15" t="s">
        <v>54</v>
      </c>
      <c r="C12" s="89" t="s">
        <v>183</v>
      </c>
      <c r="D12" s="31" t="s">
        <v>187</v>
      </c>
      <c r="E12" s="14">
        <v>1</v>
      </c>
      <c r="F12" s="43">
        <v>104</v>
      </c>
      <c r="G12" s="17">
        <f t="shared" si="1"/>
        <v>8.6666666666666661</v>
      </c>
      <c r="H12" s="32">
        <f t="shared" si="0"/>
        <v>8.6666666666666661</v>
      </c>
      <c r="I12" s="15" t="s">
        <v>179</v>
      </c>
    </row>
    <row r="13" spans="1:9" s="33" customFormat="1" ht="21.75" customHeight="1">
      <c r="A13" s="15">
        <v>6</v>
      </c>
      <c r="B13" s="15" t="s">
        <v>55</v>
      </c>
      <c r="C13" s="89" t="s">
        <v>183</v>
      </c>
      <c r="D13" s="31" t="s">
        <v>186</v>
      </c>
      <c r="E13" s="14">
        <v>5.9</v>
      </c>
      <c r="F13" s="43">
        <v>2</v>
      </c>
      <c r="G13" s="17">
        <f t="shared" si="1"/>
        <v>0.16666666666666666</v>
      </c>
      <c r="H13" s="32">
        <f t="shared" si="0"/>
        <v>0.98333333333333339</v>
      </c>
      <c r="I13" s="15" t="s">
        <v>180</v>
      </c>
    </row>
    <row r="14" spans="1:9" s="33" customFormat="1" ht="21.75" customHeight="1">
      <c r="A14" s="15">
        <v>8</v>
      </c>
      <c r="B14" s="15" t="s">
        <v>56</v>
      </c>
      <c r="C14" s="89" t="s">
        <v>183</v>
      </c>
      <c r="D14" s="31" t="s">
        <v>185</v>
      </c>
      <c r="E14" s="16">
        <v>35.9</v>
      </c>
      <c r="F14" s="43">
        <v>6</v>
      </c>
      <c r="G14" s="17">
        <f t="shared" si="1"/>
        <v>0.5</v>
      </c>
      <c r="H14" s="32">
        <f t="shared" si="0"/>
        <v>17.95</v>
      </c>
      <c r="I14" s="15" t="s">
        <v>181</v>
      </c>
    </row>
    <row r="15" spans="1:9" s="33" customFormat="1" ht="21.75" customHeight="1">
      <c r="A15" s="15">
        <v>9</v>
      </c>
      <c r="B15" s="15" t="s">
        <v>182</v>
      </c>
      <c r="C15" s="89" t="s">
        <v>183</v>
      </c>
      <c r="D15" s="31" t="s">
        <v>184</v>
      </c>
      <c r="E15" s="16">
        <f>'Fardamentos e EPI´s - PESQUISA'!O32</f>
        <v>10.119999999999999</v>
      </c>
      <c r="F15" s="43">
        <v>52</v>
      </c>
      <c r="G15" s="17">
        <f t="shared" si="1"/>
        <v>4.333333333333333</v>
      </c>
      <c r="H15" s="32">
        <f t="shared" si="0"/>
        <v>43.853333333333325</v>
      </c>
      <c r="I15" s="15" t="s">
        <v>178</v>
      </c>
    </row>
    <row r="16" spans="1:9" s="33" customFormat="1" ht="21.75" customHeight="1">
      <c r="A16" s="15">
        <v>10</v>
      </c>
      <c r="B16" s="15" t="s">
        <v>191</v>
      </c>
      <c r="C16" s="89" t="s">
        <v>183</v>
      </c>
      <c r="D16" s="31" t="s">
        <v>190</v>
      </c>
      <c r="E16" s="14">
        <v>25.92</v>
      </c>
      <c r="F16" s="43">
        <v>2</v>
      </c>
      <c r="G16" s="17">
        <f>F16/12</f>
        <v>0.16666666666666666</v>
      </c>
      <c r="H16" s="32">
        <f t="shared" si="0"/>
        <v>4.32</v>
      </c>
      <c r="I16" s="15" t="s">
        <v>192</v>
      </c>
    </row>
    <row r="17" spans="1:9" s="33" customFormat="1" ht="21.75" customHeight="1">
      <c r="A17" s="15">
        <v>11</v>
      </c>
      <c r="B17" s="15" t="s">
        <v>182</v>
      </c>
      <c r="C17" s="89" t="s">
        <v>183</v>
      </c>
      <c r="D17" s="31" t="s">
        <v>193</v>
      </c>
      <c r="E17" s="16">
        <f>'Fardamentos e EPI´s - PESQUISA'!O37</f>
        <v>8.9</v>
      </c>
      <c r="F17" s="43">
        <v>2</v>
      </c>
      <c r="G17" s="17">
        <f>F17/12</f>
        <v>0.16666666666666666</v>
      </c>
      <c r="H17" s="32">
        <f t="shared" si="0"/>
        <v>1.4833333333333334</v>
      </c>
      <c r="I17" s="15" t="s">
        <v>194</v>
      </c>
    </row>
    <row r="18" spans="1:9" s="163" customFormat="1" ht="21.75" customHeight="1">
      <c r="A18" s="168"/>
      <c r="B18" s="168"/>
      <c r="C18" s="169"/>
      <c r="D18" s="170"/>
      <c r="E18" s="171"/>
      <c r="F18" s="172"/>
      <c r="G18" s="173"/>
      <c r="H18" s="174"/>
      <c r="I18" s="168"/>
    </row>
    <row r="19" spans="1:9" s="163" customFormat="1" ht="21.75" customHeight="1">
      <c r="A19" s="15"/>
      <c r="B19" s="168"/>
      <c r="C19" s="168"/>
      <c r="D19" s="170"/>
      <c r="E19" s="171"/>
      <c r="F19" s="172"/>
      <c r="G19" s="173"/>
      <c r="H19" s="174"/>
      <c r="I19" s="168"/>
    </row>
    <row r="20" spans="1:9" ht="20.25" customHeight="1">
      <c r="A20" s="427" t="s">
        <v>635</v>
      </c>
      <c r="G20" s="70" t="s">
        <v>57</v>
      </c>
      <c r="H20" s="72">
        <f>SUM(H8:H19)</f>
        <v>135.04333333333332</v>
      </c>
    </row>
    <row r="21" spans="1:9">
      <c r="I21" s="12">
        <v>2</v>
      </c>
    </row>
  </sheetData>
  <mergeCells count="5">
    <mergeCell ref="A1:H1"/>
    <mergeCell ref="A2:H2"/>
    <mergeCell ref="A3:H3"/>
    <mergeCell ref="A4:H4"/>
    <mergeCell ref="A6:H6"/>
  </mergeCells>
  <pageMargins left="0.51181102362204722" right="0.51181102362204722" top="0.78740157480314965" bottom="0.78740157480314965" header="0.31496062992125984" footer="0.31496062992125984"/>
  <pageSetup paperSize="9" scale="82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2" tint="-0.499984740745262"/>
    <pageSetUpPr fitToPage="1"/>
  </sheetPr>
  <dimension ref="A1:I24"/>
  <sheetViews>
    <sheetView showGridLines="0" topLeftCell="A10" workbookViewId="0">
      <selection activeCell="G27" sqref="G27"/>
    </sheetView>
  </sheetViews>
  <sheetFormatPr defaultRowHeight="12.75"/>
  <cols>
    <col min="1" max="1" width="9.140625" style="13"/>
    <col min="2" max="3" width="13.7109375" style="13" customWidth="1"/>
    <col min="4" max="4" width="68.5703125" style="10" customWidth="1"/>
    <col min="5" max="5" width="11.140625" style="11" customWidth="1"/>
    <col min="6" max="6" width="11.42578125" style="12" customWidth="1"/>
    <col min="7" max="7" width="11" style="12" customWidth="1"/>
    <col min="8" max="8" width="11" style="10" customWidth="1"/>
    <col min="9" max="9" width="22.85546875" style="12" customWidth="1"/>
    <col min="10" max="16384" width="9.140625" style="10"/>
  </cols>
  <sheetData>
    <row r="1" spans="1:9" s="19" customFormat="1" ht="15" customHeight="1">
      <c r="A1" s="906"/>
      <c r="B1" s="906"/>
      <c r="C1" s="906"/>
      <c r="D1" s="906"/>
      <c r="E1" s="906"/>
      <c r="F1" s="906"/>
      <c r="G1" s="906"/>
      <c r="H1" s="906"/>
      <c r="I1" s="88"/>
    </row>
    <row r="2" spans="1:9" s="19" customFormat="1" ht="15" customHeight="1">
      <c r="A2" s="905" t="s">
        <v>26</v>
      </c>
      <c r="B2" s="905"/>
      <c r="C2" s="905"/>
      <c r="D2" s="905"/>
      <c r="E2" s="905"/>
      <c r="F2" s="905"/>
      <c r="G2" s="905"/>
      <c r="H2" s="905"/>
      <c r="I2" s="88"/>
    </row>
    <row r="3" spans="1:9" s="19" customFormat="1" ht="15" customHeight="1">
      <c r="A3" s="905" t="s">
        <v>27</v>
      </c>
      <c r="B3" s="905"/>
      <c r="C3" s="905"/>
      <c r="D3" s="905"/>
      <c r="E3" s="905"/>
      <c r="F3" s="905"/>
      <c r="G3" s="905"/>
      <c r="H3" s="905"/>
      <c r="I3" s="88"/>
    </row>
    <row r="4" spans="1:9" s="19" customFormat="1" ht="15" customHeight="1">
      <c r="A4" s="905" t="s">
        <v>329</v>
      </c>
      <c r="B4" s="905"/>
      <c r="C4" s="905"/>
      <c r="D4" s="905"/>
      <c r="E4" s="905"/>
      <c r="F4" s="905"/>
      <c r="G4" s="905"/>
      <c r="H4" s="905"/>
      <c r="I4" s="88"/>
    </row>
    <row r="5" spans="1:9" s="19" customFormat="1" ht="15.75" customHeight="1">
      <c r="A5" s="73"/>
      <c r="B5" s="73"/>
      <c r="C5" s="73"/>
      <c r="D5" s="73"/>
      <c r="E5" s="73"/>
      <c r="F5" s="73"/>
      <c r="G5" s="73"/>
      <c r="H5" s="73"/>
      <c r="I5" s="88"/>
    </row>
    <row r="6" spans="1:9" s="19" customFormat="1" ht="15.75" customHeight="1">
      <c r="A6" s="905" t="s">
        <v>393</v>
      </c>
      <c r="B6" s="905"/>
      <c r="C6" s="905"/>
      <c r="D6" s="905"/>
      <c r="E6" s="905"/>
      <c r="F6" s="905"/>
      <c r="G6" s="905"/>
      <c r="H6" s="905"/>
      <c r="I6" s="88"/>
    </row>
    <row r="7" spans="1:9" s="9" customFormat="1" ht="25.5">
      <c r="A7" s="70" t="s">
        <v>41</v>
      </c>
      <c r="B7" s="71" t="s">
        <v>49</v>
      </c>
      <c r="C7" s="71" t="s">
        <v>133</v>
      </c>
      <c r="D7" s="70" t="s">
        <v>42</v>
      </c>
      <c r="E7" s="72" t="s">
        <v>47</v>
      </c>
      <c r="F7" s="71" t="s">
        <v>43</v>
      </c>
      <c r="G7" s="70" t="s">
        <v>46</v>
      </c>
      <c r="H7" s="70" t="s">
        <v>48</v>
      </c>
      <c r="I7" s="70" t="s">
        <v>177</v>
      </c>
    </row>
    <row r="8" spans="1:9" s="33" customFormat="1" ht="21.75" customHeight="1">
      <c r="A8" s="15">
        <v>1</v>
      </c>
      <c r="B8" s="15" t="s">
        <v>52</v>
      </c>
      <c r="C8" s="89" t="s">
        <v>399</v>
      </c>
      <c r="D8" s="31" t="s">
        <v>45</v>
      </c>
      <c r="E8" s="14">
        <v>75.42</v>
      </c>
      <c r="F8" s="43">
        <v>4</v>
      </c>
      <c r="G8" s="17">
        <f>F8/12</f>
        <v>0.33333333333333331</v>
      </c>
      <c r="H8" s="32">
        <f t="shared" ref="H8:H21" si="0">G8*E8</f>
        <v>25.14</v>
      </c>
      <c r="I8" s="15" t="s">
        <v>395</v>
      </c>
    </row>
    <row r="9" spans="1:9" s="33" customFormat="1" ht="21.75" customHeight="1">
      <c r="A9" s="15">
        <v>2</v>
      </c>
      <c r="B9" s="15" t="s">
        <v>50</v>
      </c>
      <c r="C9" s="89" t="s">
        <v>399</v>
      </c>
      <c r="D9" s="31" t="s">
        <v>189</v>
      </c>
      <c r="E9" s="14">
        <v>91.75</v>
      </c>
      <c r="F9" s="43">
        <v>2</v>
      </c>
      <c r="G9" s="17">
        <f t="shared" ref="G9:G15" si="1">F9/12</f>
        <v>0.16666666666666666</v>
      </c>
      <c r="H9" s="32">
        <f t="shared" si="0"/>
        <v>15.291666666666666</v>
      </c>
      <c r="I9" s="15" t="s">
        <v>396</v>
      </c>
    </row>
    <row r="10" spans="1:9" s="33" customFormat="1" ht="21.75" customHeight="1">
      <c r="A10" s="15">
        <v>3</v>
      </c>
      <c r="B10" s="15" t="s">
        <v>51</v>
      </c>
      <c r="C10" s="89" t="s">
        <v>183</v>
      </c>
      <c r="D10" s="31" t="s">
        <v>44</v>
      </c>
      <c r="E10" s="14">
        <v>11.7</v>
      </c>
      <c r="F10" s="43">
        <v>1</v>
      </c>
      <c r="G10" s="17">
        <f t="shared" si="1"/>
        <v>8.3333333333333329E-2</v>
      </c>
      <c r="H10" s="32">
        <f t="shared" si="0"/>
        <v>0.97499999999999987</v>
      </c>
      <c r="I10" s="15" t="s">
        <v>397</v>
      </c>
    </row>
    <row r="11" spans="1:9" s="33" customFormat="1" ht="21.75" customHeight="1">
      <c r="A11" s="15">
        <v>4</v>
      </c>
      <c r="B11" s="15" t="s">
        <v>53</v>
      </c>
      <c r="C11" s="89" t="s">
        <v>183</v>
      </c>
      <c r="D11" s="31" t="s">
        <v>188</v>
      </c>
      <c r="E11" s="14">
        <v>3.78</v>
      </c>
      <c r="F11" s="43">
        <v>52</v>
      </c>
      <c r="G11" s="17">
        <f t="shared" si="1"/>
        <v>4.333333333333333</v>
      </c>
      <c r="H11" s="32">
        <f t="shared" si="0"/>
        <v>16.38</v>
      </c>
      <c r="I11" s="15" t="s">
        <v>178</v>
      </c>
    </row>
    <row r="12" spans="1:9" s="33" customFormat="1" ht="21.75" customHeight="1">
      <c r="A12" s="15">
        <v>5</v>
      </c>
      <c r="B12" s="15" t="s">
        <v>54</v>
      </c>
      <c r="C12" s="89" t="s">
        <v>183</v>
      </c>
      <c r="D12" s="31" t="s">
        <v>187</v>
      </c>
      <c r="E12" s="14">
        <v>1</v>
      </c>
      <c r="F12" s="43">
        <v>104</v>
      </c>
      <c r="G12" s="17">
        <f t="shared" si="1"/>
        <v>8.6666666666666661</v>
      </c>
      <c r="H12" s="32">
        <f t="shared" si="0"/>
        <v>8.6666666666666661</v>
      </c>
      <c r="I12" s="15" t="s">
        <v>179</v>
      </c>
    </row>
    <row r="13" spans="1:9" s="33" customFormat="1" ht="21.75" customHeight="1">
      <c r="A13" s="15">
        <v>6</v>
      </c>
      <c r="B13" s="15" t="s">
        <v>55</v>
      </c>
      <c r="C13" s="89" t="s">
        <v>183</v>
      </c>
      <c r="D13" s="31" t="s">
        <v>394</v>
      </c>
      <c r="E13" s="14">
        <v>5.9</v>
      </c>
      <c r="F13" s="43">
        <v>2</v>
      </c>
      <c r="G13" s="17">
        <f t="shared" si="1"/>
        <v>0.16666666666666666</v>
      </c>
      <c r="H13" s="32">
        <f t="shared" si="0"/>
        <v>0.98333333333333339</v>
      </c>
      <c r="I13" s="15" t="s">
        <v>180</v>
      </c>
    </row>
    <row r="14" spans="1:9" s="33" customFormat="1" ht="21.75" customHeight="1">
      <c r="A14" s="15">
        <v>8</v>
      </c>
      <c r="B14" s="15" t="s">
        <v>56</v>
      </c>
      <c r="C14" s="89" t="s">
        <v>183</v>
      </c>
      <c r="D14" s="31" t="s">
        <v>185</v>
      </c>
      <c r="E14" s="16">
        <v>35.9</v>
      </c>
      <c r="F14" s="43">
        <v>6</v>
      </c>
      <c r="G14" s="17">
        <f t="shared" si="1"/>
        <v>0.5</v>
      </c>
      <c r="H14" s="32">
        <f t="shared" si="0"/>
        <v>17.95</v>
      </c>
      <c r="I14" s="15" t="s">
        <v>181</v>
      </c>
    </row>
    <row r="15" spans="1:9" s="33" customFormat="1" ht="21.75" customHeight="1">
      <c r="A15" s="15">
        <v>9</v>
      </c>
      <c r="B15" s="15" t="s">
        <v>182</v>
      </c>
      <c r="C15" s="89" t="s">
        <v>183</v>
      </c>
      <c r="D15" s="31" t="s">
        <v>184</v>
      </c>
      <c r="E15" s="16">
        <f>'Fardamentos e EPI´s - PESQUISA'!O32</f>
        <v>10.119999999999999</v>
      </c>
      <c r="F15" s="43">
        <v>52</v>
      </c>
      <c r="G15" s="17">
        <f t="shared" si="1"/>
        <v>4.333333333333333</v>
      </c>
      <c r="H15" s="32">
        <f t="shared" si="0"/>
        <v>43.853333333333325</v>
      </c>
      <c r="I15" s="15" t="s">
        <v>178</v>
      </c>
    </row>
    <row r="16" spans="1:9" s="33" customFormat="1" ht="21.75" customHeight="1">
      <c r="A16" s="15">
        <v>10</v>
      </c>
      <c r="B16" s="15" t="s">
        <v>191</v>
      </c>
      <c r="C16" s="89" t="s">
        <v>183</v>
      </c>
      <c r="D16" s="31" t="s">
        <v>190</v>
      </c>
      <c r="E16" s="14">
        <v>25.92</v>
      </c>
      <c r="F16" s="43">
        <v>2</v>
      </c>
      <c r="G16" s="17">
        <f t="shared" ref="G16:G21" si="2">F16/12</f>
        <v>0.16666666666666666</v>
      </c>
      <c r="H16" s="32">
        <f t="shared" si="0"/>
        <v>4.32</v>
      </c>
      <c r="I16" s="15" t="s">
        <v>192</v>
      </c>
    </row>
    <row r="17" spans="1:9" s="33" customFormat="1" ht="21.75" customHeight="1">
      <c r="A17" s="15">
        <v>11</v>
      </c>
      <c r="B17" s="15" t="s">
        <v>182</v>
      </c>
      <c r="C17" s="89" t="s">
        <v>399</v>
      </c>
      <c r="D17" s="31" t="s">
        <v>398</v>
      </c>
      <c r="E17" s="180">
        <f>'Fardamentos e EPI´s - PESQUISA'!O42</f>
        <v>51.84</v>
      </c>
      <c r="F17" s="43">
        <v>1</v>
      </c>
      <c r="G17" s="17">
        <f t="shared" si="2"/>
        <v>8.3333333333333329E-2</v>
      </c>
      <c r="H17" s="32">
        <f t="shared" si="0"/>
        <v>4.32</v>
      </c>
      <c r="I17" s="15" t="s">
        <v>401</v>
      </c>
    </row>
    <row r="18" spans="1:9" s="163" customFormat="1" ht="21.75" customHeight="1">
      <c r="A18" s="15">
        <v>12</v>
      </c>
      <c r="B18" s="15" t="s">
        <v>182</v>
      </c>
      <c r="C18" s="89" t="s">
        <v>399</v>
      </c>
      <c r="D18" s="31" t="s">
        <v>400</v>
      </c>
      <c r="E18" s="180">
        <f>'Fardamentos e EPI´s - PESQUISA'!O47</f>
        <v>190</v>
      </c>
      <c r="F18" s="181">
        <v>1</v>
      </c>
      <c r="G18" s="17">
        <f t="shared" si="2"/>
        <v>8.3333333333333329E-2</v>
      </c>
      <c r="H18" s="176">
        <f t="shared" si="0"/>
        <v>15.833333333333332</v>
      </c>
      <c r="I18" s="177" t="s">
        <v>402</v>
      </c>
    </row>
    <row r="19" spans="1:9" s="163" customFormat="1" ht="21.75" customHeight="1">
      <c r="A19" s="15">
        <v>13</v>
      </c>
      <c r="B19" s="15" t="s">
        <v>182</v>
      </c>
      <c r="C19" s="89" t="s">
        <v>514</v>
      </c>
      <c r="D19" s="31" t="s">
        <v>513</v>
      </c>
      <c r="E19" s="180">
        <f>'Fardamentos e EPI´s - PESQUISA'!O52</f>
        <v>131.61000000000001</v>
      </c>
      <c r="F19" s="181">
        <v>1</v>
      </c>
      <c r="G19" s="17">
        <f t="shared" si="2"/>
        <v>8.3333333333333329E-2</v>
      </c>
      <c r="H19" s="176">
        <f t="shared" si="0"/>
        <v>10.967500000000001</v>
      </c>
      <c r="I19" s="177" t="s">
        <v>402</v>
      </c>
    </row>
    <row r="20" spans="1:9" s="163" customFormat="1" ht="21.75" customHeight="1">
      <c r="A20" s="15">
        <v>14</v>
      </c>
      <c r="B20" s="15" t="s">
        <v>182</v>
      </c>
      <c r="C20" s="89" t="s">
        <v>514</v>
      </c>
      <c r="D20" s="31" t="s">
        <v>515</v>
      </c>
      <c r="E20" s="180">
        <f>'Fardamentos e EPI´s - PESQUISA'!O57</f>
        <v>78.06</v>
      </c>
      <c r="F20" s="181">
        <v>1</v>
      </c>
      <c r="G20" s="17">
        <f t="shared" si="2"/>
        <v>8.3333333333333329E-2</v>
      </c>
      <c r="H20" s="176">
        <f t="shared" si="0"/>
        <v>6.5049999999999999</v>
      </c>
      <c r="I20" s="177" t="s">
        <v>527</v>
      </c>
    </row>
    <row r="21" spans="1:9" s="163" customFormat="1" ht="21.75" customHeight="1">
      <c r="A21" s="15">
        <v>15</v>
      </c>
      <c r="B21" s="15" t="s">
        <v>182</v>
      </c>
      <c r="C21" s="89" t="s">
        <v>514</v>
      </c>
      <c r="D21" s="31" t="s">
        <v>516</v>
      </c>
      <c r="E21" s="180">
        <f>'Fardamentos e EPI´s - PESQUISA'!O62</f>
        <v>25.263333333333332</v>
      </c>
      <c r="F21" s="181">
        <v>1</v>
      </c>
      <c r="G21" s="17">
        <f t="shared" si="2"/>
        <v>8.3333333333333329E-2</v>
      </c>
      <c r="H21" s="176">
        <f t="shared" si="0"/>
        <v>2.1052777777777774</v>
      </c>
      <c r="I21" s="177" t="s">
        <v>528</v>
      </c>
    </row>
    <row r="22" spans="1:9" s="163" customFormat="1" ht="21.75" customHeight="1">
      <c r="A22" s="15"/>
      <c r="B22" s="15"/>
      <c r="C22" s="89"/>
      <c r="D22" s="31"/>
      <c r="E22" s="171"/>
      <c r="F22" s="172"/>
      <c r="G22" s="173"/>
      <c r="H22" s="174"/>
      <c r="I22" s="168"/>
    </row>
    <row r="23" spans="1:9" ht="20.25" customHeight="1">
      <c r="D23" s="427" t="s">
        <v>635</v>
      </c>
      <c r="G23" s="70" t="s">
        <v>57</v>
      </c>
      <c r="H23" s="72">
        <f>SUM(H8:H22)</f>
        <v>173.29111111111112</v>
      </c>
    </row>
    <row r="24" spans="1:9">
      <c r="I24" s="12">
        <v>2</v>
      </c>
    </row>
  </sheetData>
  <mergeCells count="5">
    <mergeCell ref="A1:H1"/>
    <mergeCell ref="A2:H2"/>
    <mergeCell ref="A3:H3"/>
    <mergeCell ref="A4:H4"/>
    <mergeCell ref="A6:H6"/>
  </mergeCells>
  <pageMargins left="0.51181102362204722" right="0.51181102362204722" top="0.78740157480314965" bottom="0.78740157480314965" header="0.31496062992125984" footer="0.31496062992125984"/>
  <pageSetup paperSize="9" scale="78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2" tint="-0.499984740745262"/>
    <pageSetUpPr fitToPage="1"/>
  </sheetPr>
  <dimension ref="A1:I14"/>
  <sheetViews>
    <sheetView showGridLines="0" topLeftCell="A5" workbookViewId="0">
      <selection activeCell="C11" sqref="C11"/>
    </sheetView>
  </sheetViews>
  <sheetFormatPr defaultRowHeight="12.75"/>
  <cols>
    <col min="1" max="1" width="9.140625" style="13"/>
    <col min="2" max="3" width="13.7109375" style="13" customWidth="1"/>
    <col min="4" max="4" width="57.7109375" style="10" bestFit="1" customWidth="1"/>
    <col min="5" max="5" width="14.28515625" style="11" customWidth="1"/>
    <col min="6" max="7" width="14.28515625" style="12" customWidth="1"/>
    <col min="8" max="8" width="14.28515625" style="10" customWidth="1"/>
    <col min="9" max="9" width="9.140625" style="12"/>
    <col min="10" max="16384" width="9.140625" style="10"/>
  </cols>
  <sheetData>
    <row r="1" spans="1:9" s="19" customFormat="1" ht="15" customHeight="1">
      <c r="A1" s="906"/>
      <c r="B1" s="906"/>
      <c r="C1" s="906"/>
      <c r="D1" s="906"/>
      <c r="E1" s="906"/>
      <c r="F1" s="906"/>
      <c r="G1" s="906"/>
      <c r="H1" s="906"/>
      <c r="I1" s="88"/>
    </row>
    <row r="2" spans="1:9" s="19" customFormat="1" ht="15" customHeight="1">
      <c r="A2" s="905" t="s">
        <v>26</v>
      </c>
      <c r="B2" s="905"/>
      <c r="C2" s="905"/>
      <c r="D2" s="905"/>
      <c r="E2" s="905"/>
      <c r="F2" s="905"/>
      <c r="G2" s="905"/>
      <c r="H2" s="905"/>
      <c r="I2" s="88"/>
    </row>
    <row r="3" spans="1:9" s="19" customFormat="1" ht="15" customHeight="1">
      <c r="A3" s="905" t="s">
        <v>27</v>
      </c>
      <c r="B3" s="905"/>
      <c r="C3" s="905"/>
      <c r="D3" s="905"/>
      <c r="E3" s="905"/>
      <c r="F3" s="905"/>
      <c r="G3" s="905"/>
      <c r="H3" s="905"/>
      <c r="I3" s="88"/>
    </row>
    <row r="4" spans="1:9" s="19" customFormat="1" ht="15" customHeight="1">
      <c r="A4" s="905" t="s">
        <v>329</v>
      </c>
      <c r="B4" s="905"/>
      <c r="C4" s="905"/>
      <c r="D4" s="905"/>
      <c r="E4" s="905"/>
      <c r="F4" s="905"/>
      <c r="G4" s="905"/>
      <c r="H4" s="905"/>
      <c r="I4" s="88"/>
    </row>
    <row r="5" spans="1:9" s="19" customFormat="1" ht="15.75" customHeight="1">
      <c r="A5" s="73"/>
      <c r="B5" s="73"/>
      <c r="C5" s="73"/>
      <c r="D5" s="73"/>
      <c r="E5" s="73"/>
      <c r="F5" s="73"/>
      <c r="G5" s="73"/>
      <c r="H5" s="73"/>
      <c r="I5" s="88"/>
    </row>
    <row r="6" spans="1:9" s="19" customFormat="1" ht="15.75" customHeight="1">
      <c r="A6" s="905" t="s">
        <v>263</v>
      </c>
      <c r="B6" s="905"/>
      <c r="C6" s="905"/>
      <c r="D6" s="905"/>
      <c r="E6" s="905"/>
      <c r="F6" s="905"/>
      <c r="G6" s="905"/>
      <c r="H6" s="905"/>
      <c r="I6" s="88"/>
    </row>
    <row r="7" spans="1:9" s="9" customFormat="1" ht="25.5">
      <c r="A7" s="70" t="s">
        <v>41</v>
      </c>
      <c r="B7" s="71" t="s">
        <v>49</v>
      </c>
      <c r="C7" s="71" t="s">
        <v>133</v>
      </c>
      <c r="D7" s="70" t="s">
        <v>42</v>
      </c>
      <c r="E7" s="72" t="s">
        <v>47</v>
      </c>
      <c r="F7" s="71" t="s">
        <v>43</v>
      </c>
      <c r="G7" s="70" t="s">
        <v>46</v>
      </c>
      <c r="H7" s="70" t="s">
        <v>48</v>
      </c>
    </row>
    <row r="8" spans="1:9" s="33" customFormat="1" ht="21.75" customHeight="1">
      <c r="A8" s="15">
        <v>1</v>
      </c>
      <c r="B8" s="15" t="s">
        <v>322</v>
      </c>
      <c r="C8" s="147">
        <v>44409</v>
      </c>
      <c r="D8" s="31" t="str">
        <f>'Fardamentos e EPI´s - PESQUISA'!B19</f>
        <v>Uniforme - Blazer</v>
      </c>
      <c r="E8" s="14">
        <f>'Fardamentos e EPI´s - PESQUISA'!O10</f>
        <v>61.9</v>
      </c>
      <c r="F8" s="43">
        <v>4</v>
      </c>
      <c r="G8" s="17">
        <f>F8/12</f>
        <v>0.33333333333333331</v>
      </c>
      <c r="H8" s="32">
        <f>G8*E8</f>
        <v>20.633333333333333</v>
      </c>
      <c r="I8" s="12"/>
    </row>
    <row r="9" spans="1:9" s="33" customFormat="1" ht="21.75" customHeight="1">
      <c r="A9" s="15">
        <v>2</v>
      </c>
      <c r="B9" s="15" t="s">
        <v>322</v>
      </c>
      <c r="C9" s="147">
        <v>44409</v>
      </c>
      <c r="D9" s="31" t="str">
        <f>'Fardamentos e EPI´s - PESQUISA'!B22</f>
        <v>Uniforme - Calça Social</v>
      </c>
      <c r="E9" s="14">
        <f>'Fardamentos e EPI´s - PESQUISA'!O22</f>
        <v>31.23</v>
      </c>
      <c r="F9" s="43">
        <v>4</v>
      </c>
      <c r="G9" s="17">
        <f>F9/12</f>
        <v>0.33333333333333331</v>
      </c>
      <c r="H9" s="32">
        <f>G9*E9</f>
        <v>10.41</v>
      </c>
      <c r="I9" s="12"/>
    </row>
    <row r="10" spans="1:9" s="33" customFormat="1" ht="21.75" customHeight="1">
      <c r="A10" s="15">
        <v>3</v>
      </c>
      <c r="B10" s="15" t="s">
        <v>322</v>
      </c>
      <c r="C10" s="147">
        <v>44409</v>
      </c>
      <c r="D10" s="31" t="str">
        <f>'Fardamentos e EPI´s - PESQUISA'!B27</f>
        <v>Sapato Social</v>
      </c>
      <c r="E10" s="14">
        <f>'Fardamentos e EPI´s - PESQUISA'!O27</f>
        <v>75.7</v>
      </c>
      <c r="F10" s="43">
        <v>2</v>
      </c>
      <c r="G10" s="17">
        <f>F10/12</f>
        <v>0.16666666666666666</v>
      </c>
      <c r="H10" s="32">
        <f>G10*E10</f>
        <v>12.616666666666667</v>
      </c>
      <c r="I10" s="12"/>
    </row>
    <row r="11" spans="1:9" s="33" customFormat="1" ht="21.75" customHeight="1">
      <c r="A11" s="15">
        <v>4</v>
      </c>
      <c r="B11" s="15" t="s">
        <v>51</v>
      </c>
      <c r="C11" s="15" t="s">
        <v>175</v>
      </c>
      <c r="D11" s="31" t="s">
        <v>44</v>
      </c>
      <c r="E11" s="14">
        <v>11.7</v>
      </c>
      <c r="F11" s="43">
        <v>1</v>
      </c>
      <c r="G11" s="17">
        <f>F11/12</f>
        <v>8.3333333333333329E-2</v>
      </c>
      <c r="H11" s="32">
        <f>G11*E11</f>
        <v>0.97499999999999987</v>
      </c>
      <c r="I11" s="12"/>
    </row>
    <row r="12" spans="1:9" s="33" customFormat="1" ht="21.75" customHeight="1">
      <c r="A12" s="15">
        <v>5</v>
      </c>
      <c r="B12" s="15" t="s">
        <v>322</v>
      </c>
      <c r="C12" s="147">
        <v>44470</v>
      </c>
      <c r="D12" s="31" t="s">
        <v>640</v>
      </c>
      <c r="E12" s="14">
        <f>'Fardamentos e EPI´s - PESQUISA'!O67</f>
        <v>19.72</v>
      </c>
      <c r="F12" s="43">
        <v>4</v>
      </c>
      <c r="G12" s="17">
        <f>F12/12</f>
        <v>0.33333333333333331</v>
      </c>
      <c r="H12" s="32">
        <f>G12*E12</f>
        <v>6.5733333333333324</v>
      </c>
      <c r="I12" s="12"/>
    </row>
    <row r="13" spans="1:9" s="33" customFormat="1" ht="21.75" customHeight="1">
      <c r="A13" s="15"/>
      <c r="B13" s="15"/>
      <c r="C13" s="147"/>
      <c r="D13" s="31"/>
      <c r="E13" s="16"/>
      <c r="F13" s="43"/>
      <c r="G13" s="17"/>
      <c r="H13" s="32"/>
      <c r="I13" s="12"/>
    </row>
    <row r="14" spans="1:9" ht="20.25" customHeight="1">
      <c r="A14" s="427" t="s">
        <v>635</v>
      </c>
      <c r="G14" s="70" t="s">
        <v>57</v>
      </c>
      <c r="H14" s="72">
        <f>SUM(H8:H13)</f>
        <v>51.208333333333329</v>
      </c>
    </row>
  </sheetData>
  <mergeCells count="5">
    <mergeCell ref="A1:H1"/>
    <mergeCell ref="A2:H2"/>
    <mergeCell ref="A3:H3"/>
    <mergeCell ref="A4:H4"/>
    <mergeCell ref="A6:H6"/>
  </mergeCells>
  <pageMargins left="0.51181102362204722" right="0.51181102362204722" top="0.78740157480314965" bottom="0.78740157480314965" header="0.31496062992125984" footer="0.31496062992125984"/>
  <pageSetup paperSize="9" scale="89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2" tint="-0.499984740745262"/>
    <pageSetUpPr fitToPage="1"/>
  </sheetPr>
  <dimension ref="A1:O14"/>
  <sheetViews>
    <sheetView showGridLines="0" topLeftCell="A5" workbookViewId="0">
      <selection activeCell="D8" sqref="D8"/>
    </sheetView>
  </sheetViews>
  <sheetFormatPr defaultRowHeight="12.75"/>
  <cols>
    <col min="1" max="1" width="9.140625" style="13"/>
    <col min="2" max="3" width="13.7109375" style="13" customWidth="1"/>
    <col min="4" max="4" width="57.7109375" style="10" bestFit="1" customWidth="1"/>
    <col min="5" max="5" width="14.28515625" style="11" customWidth="1"/>
    <col min="6" max="7" width="14.28515625" style="12" customWidth="1"/>
    <col min="8" max="8" width="14.28515625" style="10" customWidth="1"/>
    <col min="9" max="9" width="9.140625" style="12"/>
    <col min="10" max="14" width="9.140625" style="10"/>
    <col min="15" max="15" width="9.140625" style="164"/>
    <col min="16" max="16384" width="9.140625" style="10"/>
  </cols>
  <sheetData>
    <row r="1" spans="1:15" s="19" customFormat="1" ht="15" customHeight="1">
      <c r="A1" s="906"/>
      <c r="B1" s="906"/>
      <c r="C1" s="906"/>
      <c r="D1" s="906"/>
      <c r="E1" s="906"/>
      <c r="F1" s="906"/>
      <c r="G1" s="906"/>
      <c r="H1" s="906"/>
      <c r="I1" s="88"/>
      <c r="O1" s="161"/>
    </row>
    <row r="2" spans="1:15" s="19" customFormat="1" ht="15" customHeight="1">
      <c r="A2" s="905" t="s">
        <v>26</v>
      </c>
      <c r="B2" s="905"/>
      <c r="C2" s="905"/>
      <c r="D2" s="905"/>
      <c r="E2" s="905"/>
      <c r="F2" s="905"/>
      <c r="G2" s="905"/>
      <c r="H2" s="905"/>
      <c r="I2" s="88"/>
      <c r="O2" s="161"/>
    </row>
    <row r="3" spans="1:15" s="19" customFormat="1" ht="15" customHeight="1">
      <c r="A3" s="905" t="s">
        <v>27</v>
      </c>
      <c r="B3" s="905"/>
      <c r="C3" s="905"/>
      <c r="D3" s="905"/>
      <c r="E3" s="905"/>
      <c r="F3" s="905"/>
      <c r="G3" s="905"/>
      <c r="H3" s="905"/>
      <c r="I3" s="88"/>
      <c r="O3" s="161"/>
    </row>
    <row r="4" spans="1:15" s="19" customFormat="1" ht="15" customHeight="1">
      <c r="A4" s="905" t="s">
        <v>329</v>
      </c>
      <c r="B4" s="905"/>
      <c r="C4" s="905"/>
      <c r="D4" s="905"/>
      <c r="E4" s="905"/>
      <c r="F4" s="905"/>
      <c r="G4" s="905"/>
      <c r="H4" s="905"/>
      <c r="I4" s="88"/>
      <c r="O4" s="161"/>
    </row>
    <row r="5" spans="1:15" s="19" customFormat="1" ht="15.75" customHeight="1">
      <c r="A5" s="73"/>
      <c r="B5" s="73"/>
      <c r="C5" s="73"/>
      <c r="D5" s="73"/>
      <c r="E5" s="73"/>
      <c r="F5" s="73"/>
      <c r="G5" s="73"/>
      <c r="H5" s="73"/>
      <c r="I5" s="88"/>
      <c r="O5" s="161"/>
    </row>
    <row r="6" spans="1:15" s="19" customFormat="1" ht="15.75" customHeight="1">
      <c r="A6" s="907" t="s">
        <v>264</v>
      </c>
      <c r="B6" s="907"/>
      <c r="C6" s="907"/>
      <c r="D6" s="907"/>
      <c r="E6" s="907"/>
      <c r="F6" s="907"/>
      <c r="G6" s="907"/>
      <c r="H6" s="907"/>
      <c r="I6" s="88"/>
      <c r="O6" s="161"/>
    </row>
    <row r="7" spans="1:15" s="9" customFormat="1" ht="25.5">
      <c r="A7" s="70" t="s">
        <v>41</v>
      </c>
      <c r="B7" s="71" t="s">
        <v>49</v>
      </c>
      <c r="C7" s="71" t="s">
        <v>133</v>
      </c>
      <c r="D7" s="70" t="s">
        <v>42</v>
      </c>
      <c r="E7" s="72" t="s">
        <v>47</v>
      </c>
      <c r="F7" s="71" t="s">
        <v>43</v>
      </c>
      <c r="G7" s="70" t="s">
        <v>46</v>
      </c>
      <c r="H7" s="70" t="s">
        <v>48</v>
      </c>
      <c r="O7" s="162"/>
    </row>
    <row r="8" spans="1:15" s="33" customFormat="1" ht="21.75" customHeight="1">
      <c r="A8" s="15">
        <v>1</v>
      </c>
      <c r="B8" s="15" t="s">
        <v>322</v>
      </c>
      <c r="C8" s="147">
        <v>44409</v>
      </c>
      <c r="D8" s="31" t="str">
        <f>'Fardamentos e EPI´s - PESQUISA'!B19</f>
        <v>Uniforme - Blazer</v>
      </c>
      <c r="E8" s="14">
        <f>'Fardamentos e EPI´s - PESQUISA'!O19</f>
        <v>106.35</v>
      </c>
      <c r="F8" s="43">
        <v>2</v>
      </c>
      <c r="G8" s="17">
        <f>F8/12</f>
        <v>0.16666666666666666</v>
      </c>
      <c r="H8" s="32">
        <f>G8*E8</f>
        <v>17.724999999999998</v>
      </c>
      <c r="I8" s="12"/>
      <c r="O8" s="163"/>
    </row>
    <row r="9" spans="1:15" s="33" customFormat="1" ht="21.75" customHeight="1">
      <c r="A9" s="15">
        <v>2</v>
      </c>
      <c r="B9" s="15" t="s">
        <v>322</v>
      </c>
      <c r="C9" s="147">
        <v>44409</v>
      </c>
      <c r="D9" s="31" t="str">
        <f>'Fardamentos e EPI´s - PESQUISA'!B22</f>
        <v>Uniforme - Calça Social</v>
      </c>
      <c r="E9" s="14">
        <f>'Fardamentos e EPI´s - PESQUISA'!O22</f>
        <v>31.23</v>
      </c>
      <c r="F9" s="43">
        <v>4</v>
      </c>
      <c r="G9" s="17">
        <f>F9/12</f>
        <v>0.33333333333333331</v>
      </c>
      <c r="H9" s="32">
        <f>G9*E9</f>
        <v>10.41</v>
      </c>
      <c r="I9" s="12"/>
      <c r="O9" s="163"/>
    </row>
    <row r="10" spans="1:15" s="33" customFormat="1" ht="21.75" customHeight="1">
      <c r="A10" s="15">
        <v>3</v>
      </c>
      <c r="B10" s="15" t="s">
        <v>322</v>
      </c>
      <c r="C10" s="147">
        <v>44409</v>
      </c>
      <c r="D10" s="31" t="str">
        <f>'Fardamentos e EPI´s - PESQUISA'!B27</f>
        <v>Sapato Social</v>
      </c>
      <c r="E10" s="14">
        <f>'Fardamentos e EPI´s - PESQUISA'!O27</f>
        <v>75.7</v>
      </c>
      <c r="F10" s="43">
        <v>2</v>
      </c>
      <c r="G10" s="17">
        <f>F10/12</f>
        <v>0.16666666666666666</v>
      </c>
      <c r="H10" s="32">
        <f>G10*E10</f>
        <v>12.616666666666667</v>
      </c>
      <c r="I10" s="12"/>
      <c r="O10" s="163"/>
    </row>
    <row r="11" spans="1:15" s="33" customFormat="1" ht="21.75" customHeight="1">
      <c r="A11" s="15">
        <v>4</v>
      </c>
      <c r="B11" s="15" t="s">
        <v>51</v>
      </c>
      <c r="C11" s="15" t="s">
        <v>175</v>
      </c>
      <c r="D11" s="31" t="s">
        <v>44</v>
      </c>
      <c r="E11" s="14">
        <v>11.7</v>
      </c>
      <c r="F11" s="43">
        <v>1</v>
      </c>
      <c r="G11" s="17">
        <f>F11/12</f>
        <v>8.3333333333333329E-2</v>
      </c>
      <c r="H11" s="32">
        <f>G11*E11</f>
        <v>0.97499999999999987</v>
      </c>
      <c r="I11" s="12"/>
      <c r="O11" s="163"/>
    </row>
    <row r="12" spans="1:15" s="33" customFormat="1" ht="21.75" customHeight="1">
      <c r="A12" s="15">
        <v>5</v>
      </c>
      <c r="B12" s="15" t="s">
        <v>182</v>
      </c>
      <c r="C12" s="147">
        <v>44409</v>
      </c>
      <c r="D12" s="31" t="s">
        <v>291</v>
      </c>
      <c r="E12" s="14">
        <f>'Fardamentos e EPI´s - PESQUISA'!O10</f>
        <v>61.9</v>
      </c>
      <c r="F12" s="43">
        <v>4</v>
      </c>
      <c r="G12" s="17">
        <f>F12/12</f>
        <v>0.33333333333333331</v>
      </c>
      <c r="H12" s="32">
        <f>G12*E12</f>
        <v>20.633333333333333</v>
      </c>
      <c r="I12" s="12"/>
      <c r="O12" s="163"/>
    </row>
    <row r="13" spans="1:15" s="33" customFormat="1" ht="21.75" customHeight="1">
      <c r="A13" s="15"/>
      <c r="B13" s="15"/>
      <c r="C13" s="15"/>
      <c r="D13" s="31"/>
      <c r="E13" s="14"/>
      <c r="F13" s="43"/>
      <c r="G13" s="425"/>
      <c r="H13" s="426"/>
      <c r="I13" s="12"/>
      <c r="O13" s="163"/>
    </row>
    <row r="14" spans="1:15" ht="20.25" customHeight="1">
      <c r="A14" s="427" t="s">
        <v>635</v>
      </c>
      <c r="G14" s="70" t="s">
        <v>57</v>
      </c>
      <c r="H14" s="72">
        <f>SUM(H8:H13)</f>
        <v>62.36</v>
      </c>
    </row>
  </sheetData>
  <mergeCells count="5">
    <mergeCell ref="A1:H1"/>
    <mergeCell ref="A2:H2"/>
    <mergeCell ref="A3:H3"/>
    <mergeCell ref="A4:H4"/>
    <mergeCell ref="A6:H6"/>
  </mergeCells>
  <pageMargins left="0.51181102362204722" right="0.51181102362204722" top="0.78740157480314965" bottom="0.78740157480314965" header="0.31496062992125984" footer="0.31496062992125984"/>
  <pageSetup paperSize="9" scale="8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theme="2" tint="-0.499984740745262"/>
    <pageSetUpPr fitToPage="1"/>
  </sheetPr>
  <dimension ref="A1:W73"/>
  <sheetViews>
    <sheetView showGridLines="0" topLeftCell="F61" zoomScale="90" zoomScaleNormal="90" workbookViewId="0">
      <selection activeCell="I76" sqref="I76"/>
    </sheetView>
  </sheetViews>
  <sheetFormatPr defaultRowHeight="11.25"/>
  <cols>
    <col min="1" max="1" width="8.85546875" style="90" customWidth="1"/>
    <col min="2" max="2" width="20.28515625" style="90" customWidth="1"/>
    <col min="3" max="3" width="7.7109375" style="90" bestFit="1" customWidth="1"/>
    <col min="4" max="4" width="6.140625" style="90" customWidth="1"/>
    <col min="5" max="5" width="52.5703125" style="90" bestFit="1" customWidth="1"/>
    <col min="6" max="6" width="16.85546875" style="90" bestFit="1" customWidth="1"/>
    <col min="7" max="8" width="16.28515625" style="96" bestFit="1" customWidth="1"/>
    <col min="9" max="9" width="15" style="90" customWidth="1"/>
    <col min="10" max="11" width="16.28515625" style="108" bestFit="1" customWidth="1"/>
    <col min="12" max="13" width="15" style="109" customWidth="1"/>
    <col min="14" max="14" width="16.28515625" style="109" bestFit="1" customWidth="1"/>
    <col min="15" max="15" width="40.28515625" style="90" customWidth="1"/>
    <col min="16" max="16384" width="9.140625" style="145"/>
  </cols>
  <sheetData>
    <row r="1" spans="1:15" ht="17.25" customHeight="1">
      <c r="A1" s="961" t="s">
        <v>317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2"/>
    </row>
    <row r="2" spans="1:15" ht="17.25" customHeight="1">
      <c r="A2" s="963" t="s">
        <v>318</v>
      </c>
      <c r="B2" s="963"/>
      <c r="C2" s="963"/>
      <c r="D2" s="963"/>
      <c r="E2" s="963"/>
      <c r="F2" s="963"/>
      <c r="G2" s="963"/>
      <c r="H2" s="963"/>
      <c r="I2" s="963"/>
      <c r="J2" s="963"/>
      <c r="K2" s="963"/>
      <c r="L2" s="963"/>
      <c r="M2" s="963"/>
      <c r="N2" s="963"/>
      <c r="O2" s="963"/>
    </row>
    <row r="3" spans="1:15" ht="17.25" customHeight="1">
      <c r="A3" s="963" t="s">
        <v>26</v>
      </c>
      <c r="B3" s="963"/>
      <c r="C3" s="963"/>
      <c r="D3" s="963"/>
      <c r="E3" s="963"/>
      <c r="F3" s="963"/>
      <c r="G3" s="963"/>
      <c r="H3" s="963"/>
      <c r="I3" s="963"/>
      <c r="J3" s="963"/>
      <c r="K3" s="963"/>
      <c r="L3" s="963"/>
      <c r="M3" s="963"/>
      <c r="N3" s="963"/>
      <c r="O3" s="963"/>
    </row>
    <row r="4" spans="1:15" ht="17.25" customHeight="1">
      <c r="A4" s="964" t="s">
        <v>329</v>
      </c>
      <c r="B4" s="963"/>
      <c r="C4" s="963"/>
      <c r="D4" s="963"/>
      <c r="E4" s="963"/>
      <c r="F4" s="963"/>
      <c r="G4" s="963"/>
      <c r="H4" s="963"/>
      <c r="I4" s="963"/>
      <c r="J4" s="963"/>
      <c r="K4" s="963"/>
      <c r="L4" s="963"/>
      <c r="M4" s="963"/>
      <c r="N4" s="963"/>
      <c r="O4" s="963"/>
    </row>
    <row r="5" spans="1:15" ht="17.25" customHeight="1">
      <c r="A5" s="963"/>
      <c r="B5" s="963"/>
      <c r="C5" s="963"/>
      <c r="D5" s="963"/>
      <c r="E5" s="963"/>
      <c r="F5" s="963"/>
      <c r="G5" s="963"/>
      <c r="H5" s="963"/>
      <c r="I5" s="963"/>
      <c r="J5" s="963"/>
      <c r="K5" s="963"/>
      <c r="L5" s="963"/>
      <c r="M5" s="963"/>
      <c r="N5" s="963"/>
      <c r="O5" s="963"/>
    </row>
    <row r="6" spans="1:15" ht="17.25" customHeight="1" thickBot="1">
      <c r="A6" s="91"/>
      <c r="B6" s="91"/>
      <c r="C6" s="91"/>
      <c r="D6" s="91"/>
      <c r="E6" s="91"/>
      <c r="F6" s="91"/>
      <c r="G6" s="91"/>
      <c r="H6" s="91"/>
      <c r="I6" s="91"/>
      <c r="J6" s="92"/>
      <c r="K6" s="91"/>
      <c r="L6" s="91"/>
      <c r="M6" s="91"/>
      <c r="N6" s="91"/>
      <c r="O6" s="141"/>
    </row>
    <row r="7" spans="1:15" ht="21.75" customHeight="1" thickBot="1">
      <c r="A7" s="965" t="s">
        <v>319</v>
      </c>
      <c r="B7" s="966"/>
      <c r="C7" s="966"/>
      <c r="D7" s="966"/>
      <c r="E7" s="966"/>
      <c r="F7" s="966"/>
      <c r="G7" s="966"/>
      <c r="H7" s="966"/>
      <c r="I7" s="966"/>
      <c r="J7" s="966"/>
      <c r="K7" s="966"/>
      <c r="L7" s="966"/>
      <c r="M7" s="966"/>
      <c r="N7" s="966"/>
      <c r="O7" s="967"/>
    </row>
    <row r="8" spans="1:15" s="146" customFormat="1" ht="30" customHeight="1">
      <c r="A8" s="954" t="s">
        <v>41</v>
      </c>
      <c r="B8" s="954" t="s">
        <v>42</v>
      </c>
      <c r="C8" s="954" t="s">
        <v>196</v>
      </c>
      <c r="D8" s="954" t="s">
        <v>197</v>
      </c>
      <c r="E8" s="956" t="s">
        <v>320</v>
      </c>
      <c r="F8" s="956"/>
      <c r="G8" s="142" t="s">
        <v>199</v>
      </c>
      <c r="H8" s="957" t="s">
        <v>200</v>
      </c>
      <c r="I8" s="956" t="s">
        <v>321</v>
      </c>
      <c r="J8" s="959" t="s">
        <v>201</v>
      </c>
      <c r="K8" s="959" t="s">
        <v>202</v>
      </c>
      <c r="L8" s="947" t="s">
        <v>203</v>
      </c>
      <c r="M8" s="949" t="s">
        <v>46</v>
      </c>
      <c r="N8" s="949" t="s">
        <v>204</v>
      </c>
      <c r="O8" s="951" t="s">
        <v>205</v>
      </c>
    </row>
    <row r="9" spans="1:15" s="146" customFormat="1" ht="37.5" customHeight="1">
      <c r="A9" s="955"/>
      <c r="B9" s="955"/>
      <c r="C9" s="955"/>
      <c r="D9" s="955"/>
      <c r="E9" s="143" t="s">
        <v>206</v>
      </c>
      <c r="F9" s="143" t="s">
        <v>207</v>
      </c>
      <c r="G9" s="144" t="s">
        <v>208</v>
      </c>
      <c r="H9" s="956"/>
      <c r="I9" s="958"/>
      <c r="J9" s="960"/>
      <c r="K9" s="960"/>
      <c r="L9" s="948"/>
      <c r="M9" s="950"/>
      <c r="N9" s="950"/>
      <c r="O9" s="952"/>
    </row>
    <row r="10" spans="1:15" s="146" customFormat="1" ht="24" customHeight="1">
      <c r="A10" s="937">
        <v>1</v>
      </c>
      <c r="B10" s="953" t="s">
        <v>291</v>
      </c>
      <c r="C10" s="937" t="s">
        <v>292</v>
      </c>
      <c r="D10" s="937">
        <v>1</v>
      </c>
      <c r="E10" s="102" t="s">
        <v>293</v>
      </c>
      <c r="F10" s="103">
        <v>35</v>
      </c>
      <c r="G10" s="914">
        <f>ROUNDUP(AVERAGE(F10:F18),2)</f>
        <v>58.76</v>
      </c>
      <c r="H10" s="103" t="str">
        <f t="shared" ref="H10:H18" si="0">IF((F10/G$10)-1&gt;30%,"EXCLUÍDO",IF((F10/G$10)-1&lt;-30%,"EXCLUÍDO",F10))</f>
        <v>EXCLUÍDO</v>
      </c>
      <c r="I10" s="139">
        <f t="shared" ref="I10:I18" si="1">IF(F10&lt;&gt;0,(F10/$G$10)-1,"")</f>
        <v>-0.40435670524166101</v>
      </c>
      <c r="J10" s="914">
        <f>AVERAGE(H10:H18)</f>
        <v>58.501999999999995</v>
      </c>
      <c r="K10" s="924">
        <f>MEDIAN(H10:H18)</f>
        <v>61.9</v>
      </c>
      <c r="L10" s="914">
        <f>STDEV(H10:H18)</f>
        <v>10.274033774521083</v>
      </c>
      <c r="M10" s="927">
        <f>L10/J10</f>
        <v>0.17561850491472231</v>
      </c>
      <c r="N10" s="914">
        <f>IF(M10&lt;25%,K10,J10)</f>
        <v>61.9</v>
      </c>
      <c r="O10" s="941">
        <f>N10*D10</f>
        <v>61.9</v>
      </c>
    </row>
    <row r="11" spans="1:15" s="146" customFormat="1" ht="24" customHeight="1">
      <c r="A11" s="937"/>
      <c r="B11" s="953"/>
      <c r="C11" s="937"/>
      <c r="D11" s="937"/>
      <c r="E11" s="102" t="s">
        <v>294</v>
      </c>
      <c r="F11" s="103">
        <v>45.83</v>
      </c>
      <c r="G11" s="915"/>
      <c r="H11" s="103">
        <f t="shared" si="0"/>
        <v>45.83</v>
      </c>
      <c r="I11" s="139">
        <f t="shared" si="1"/>
        <v>-0.22004765146358063</v>
      </c>
      <c r="J11" s="915"/>
      <c r="K11" s="945"/>
      <c r="L11" s="915"/>
      <c r="M11" s="925"/>
      <c r="N11" s="915"/>
      <c r="O11" s="941"/>
    </row>
    <row r="12" spans="1:15" s="146" customFormat="1" ht="24" customHeight="1">
      <c r="A12" s="937"/>
      <c r="B12" s="953"/>
      <c r="C12" s="937"/>
      <c r="D12" s="937"/>
      <c r="E12" s="102" t="s">
        <v>295</v>
      </c>
      <c r="F12" s="103">
        <v>61.9</v>
      </c>
      <c r="G12" s="915"/>
      <c r="H12" s="103">
        <f t="shared" si="0"/>
        <v>61.9</v>
      </c>
      <c r="I12" s="139">
        <f t="shared" si="1"/>
        <v>5.3437712729748066E-2</v>
      </c>
      <c r="J12" s="915"/>
      <c r="K12" s="945"/>
      <c r="L12" s="915"/>
      <c r="M12" s="925"/>
      <c r="N12" s="915"/>
      <c r="O12" s="941"/>
    </row>
    <row r="13" spans="1:15" s="146" customFormat="1" ht="24" customHeight="1">
      <c r="A13" s="937"/>
      <c r="B13" s="953"/>
      <c r="C13" s="937"/>
      <c r="D13" s="937"/>
      <c r="E13" s="102" t="s">
        <v>296</v>
      </c>
      <c r="F13" s="103">
        <v>65</v>
      </c>
      <c r="G13" s="915"/>
      <c r="H13" s="103">
        <f t="shared" si="0"/>
        <v>65</v>
      </c>
      <c r="I13" s="139">
        <f t="shared" si="1"/>
        <v>0.10619469026548667</v>
      </c>
      <c r="J13" s="915"/>
      <c r="K13" s="945"/>
      <c r="L13" s="915"/>
      <c r="M13" s="925"/>
      <c r="N13" s="915"/>
      <c r="O13" s="941"/>
    </row>
    <row r="14" spans="1:15" s="146" customFormat="1" ht="24" customHeight="1">
      <c r="A14" s="937"/>
      <c r="B14" s="953"/>
      <c r="C14" s="937"/>
      <c r="D14" s="937"/>
      <c r="E14" s="102" t="s">
        <v>297</v>
      </c>
      <c r="F14" s="103">
        <v>40</v>
      </c>
      <c r="G14" s="915"/>
      <c r="H14" s="103" t="str">
        <f t="shared" si="0"/>
        <v>EXCLUÍDO</v>
      </c>
      <c r="I14" s="139">
        <f t="shared" si="1"/>
        <v>-0.31926480599046969</v>
      </c>
      <c r="J14" s="915"/>
      <c r="K14" s="945"/>
      <c r="L14" s="915"/>
      <c r="M14" s="925"/>
      <c r="N14" s="915"/>
      <c r="O14" s="941"/>
    </row>
    <row r="15" spans="1:15" s="146" customFormat="1" ht="24" customHeight="1">
      <c r="A15" s="937"/>
      <c r="B15" s="953"/>
      <c r="C15" s="937"/>
      <c r="D15" s="937"/>
      <c r="E15" s="102" t="s">
        <v>298</v>
      </c>
      <c r="F15" s="103">
        <v>78.84</v>
      </c>
      <c r="G15" s="915"/>
      <c r="H15" s="103" t="str">
        <f t="shared" si="0"/>
        <v>EXCLUÍDO</v>
      </c>
      <c r="I15" s="139">
        <f t="shared" si="1"/>
        <v>0.34172906739278441</v>
      </c>
      <c r="J15" s="915"/>
      <c r="K15" s="945"/>
      <c r="L15" s="915"/>
      <c r="M15" s="925"/>
      <c r="N15" s="915"/>
      <c r="O15" s="941"/>
    </row>
    <row r="16" spans="1:15" s="146" customFormat="1" ht="24" customHeight="1">
      <c r="A16" s="937"/>
      <c r="B16" s="953"/>
      <c r="C16" s="937"/>
      <c r="D16" s="937"/>
      <c r="E16" s="102" t="s">
        <v>299</v>
      </c>
      <c r="F16" s="103">
        <v>49.79</v>
      </c>
      <c r="G16" s="915"/>
      <c r="H16" s="103">
        <f t="shared" si="0"/>
        <v>49.79</v>
      </c>
      <c r="I16" s="139">
        <f t="shared" si="1"/>
        <v>-0.15265486725663713</v>
      </c>
      <c r="J16" s="915"/>
      <c r="K16" s="925"/>
      <c r="L16" s="915"/>
      <c r="M16" s="925"/>
      <c r="N16" s="915"/>
      <c r="O16" s="941"/>
    </row>
    <row r="17" spans="1:23" s="146" customFormat="1" ht="24" customHeight="1">
      <c r="A17" s="937"/>
      <c r="B17" s="953"/>
      <c r="C17" s="937"/>
      <c r="D17" s="937"/>
      <c r="E17" s="102" t="s">
        <v>300</v>
      </c>
      <c r="F17" s="103">
        <v>82.48</v>
      </c>
      <c r="G17" s="915"/>
      <c r="H17" s="103" t="str">
        <f t="shared" si="0"/>
        <v>EXCLUÍDO</v>
      </c>
      <c r="I17" s="139">
        <f t="shared" si="1"/>
        <v>0.40367597004765154</v>
      </c>
      <c r="J17" s="915"/>
      <c r="K17" s="925"/>
      <c r="L17" s="915"/>
      <c r="M17" s="925"/>
      <c r="N17" s="915"/>
      <c r="O17" s="941"/>
    </row>
    <row r="18" spans="1:23" s="146" customFormat="1" ht="24" customHeight="1">
      <c r="A18" s="937"/>
      <c r="B18" s="953"/>
      <c r="C18" s="937"/>
      <c r="D18" s="937"/>
      <c r="E18" s="102" t="s">
        <v>301</v>
      </c>
      <c r="F18" s="103">
        <v>69.989999999999995</v>
      </c>
      <c r="G18" s="915"/>
      <c r="H18" s="103">
        <f t="shared" si="0"/>
        <v>69.989999999999995</v>
      </c>
      <c r="I18" s="139">
        <f t="shared" si="1"/>
        <v>0.19111640571817556</v>
      </c>
      <c r="J18" s="915"/>
      <c r="K18" s="925"/>
      <c r="L18" s="915"/>
      <c r="M18" s="925"/>
      <c r="N18" s="915"/>
      <c r="O18" s="941"/>
    </row>
    <row r="19" spans="1:23" s="146" customFormat="1" ht="24" customHeight="1">
      <c r="A19" s="929">
        <v>2</v>
      </c>
      <c r="B19" s="946" t="s">
        <v>302</v>
      </c>
      <c r="C19" s="929" t="s">
        <v>292</v>
      </c>
      <c r="D19" s="929">
        <v>1</v>
      </c>
      <c r="E19" s="99" t="s">
        <v>303</v>
      </c>
      <c r="F19" s="100">
        <v>121.28</v>
      </c>
      <c r="G19" s="917">
        <f>ROUNDUP(AVERAGE(F19:F21),2)</f>
        <v>107.86</v>
      </c>
      <c r="H19" s="138">
        <f>IF((F19/G$19)-1&gt;30%,"EXCLUÍDO",IF((F19/G$19)-1&lt;-30%,"EXCLUÍDO",F19))</f>
        <v>121.28</v>
      </c>
      <c r="I19" s="101">
        <f>IF(F19&lt;&gt;0,(F19/$G$19)-1,"")</f>
        <v>0.12442054515112178</v>
      </c>
      <c r="J19" s="917">
        <f>AVERAGE(H19:H21)</f>
        <v>107.86000000000001</v>
      </c>
      <c r="K19" s="920">
        <f>MEDIAN(H19:H21)</f>
        <v>106.35</v>
      </c>
      <c r="L19" s="917">
        <f>STDEV(H19:H21)</f>
        <v>12.732332857728668</v>
      </c>
      <c r="M19" s="923">
        <f>L19/J19</f>
        <v>0.11804499219106866</v>
      </c>
      <c r="N19" s="917">
        <f>IF(M19&lt;25%,K19,J19)</f>
        <v>106.35</v>
      </c>
      <c r="O19" s="942">
        <f>N19*D19</f>
        <v>106.35</v>
      </c>
    </row>
    <row r="20" spans="1:23" s="146" customFormat="1" ht="24" customHeight="1">
      <c r="A20" s="929"/>
      <c r="B20" s="946"/>
      <c r="C20" s="929"/>
      <c r="D20" s="929"/>
      <c r="E20" s="99" t="s">
        <v>304</v>
      </c>
      <c r="F20" s="100">
        <v>95.95</v>
      </c>
      <c r="G20" s="918"/>
      <c r="H20" s="138">
        <f>IF((F20/G$19)-1&gt;30%,"EXCLUÍDO",IF((F20/G$19)-1&lt;-30%,"EXCLUÍDO",F20))</f>
        <v>95.95</v>
      </c>
      <c r="I20" s="101">
        <f>IF(F20&lt;&gt;0,(F20/$G$19)-1,"")</f>
        <v>-0.11042091600222503</v>
      </c>
      <c r="J20" s="918"/>
      <c r="K20" s="921"/>
      <c r="L20" s="918"/>
      <c r="M20" s="921"/>
      <c r="N20" s="918"/>
      <c r="O20" s="942"/>
    </row>
    <row r="21" spans="1:23" s="146" customFormat="1" ht="24" customHeight="1">
      <c r="A21" s="929"/>
      <c r="B21" s="946"/>
      <c r="C21" s="929"/>
      <c r="D21" s="929"/>
      <c r="E21" s="99" t="s">
        <v>305</v>
      </c>
      <c r="F21" s="100">
        <v>106.35</v>
      </c>
      <c r="G21" s="918"/>
      <c r="H21" s="138">
        <f>IF((F21/G$19)-1&gt;30%,"EXCLUÍDO",IF((F21/G$19)-1&lt;-30%,"EXCLUÍDO",F21))</f>
        <v>106.35</v>
      </c>
      <c r="I21" s="101">
        <f>IF(F21&lt;&gt;0,(F21/$G$19)-1,"")</f>
        <v>-1.3999629148896742E-2</v>
      </c>
      <c r="J21" s="918"/>
      <c r="K21" s="921"/>
      <c r="L21" s="918"/>
      <c r="M21" s="921"/>
      <c r="N21" s="918"/>
      <c r="O21" s="942"/>
    </row>
    <row r="22" spans="1:23" s="146" customFormat="1" ht="24" customHeight="1">
      <c r="A22" s="937">
        <v>3</v>
      </c>
      <c r="B22" s="944" t="s">
        <v>306</v>
      </c>
      <c r="C22" s="937" t="s">
        <v>292</v>
      </c>
      <c r="D22" s="937">
        <v>1</v>
      </c>
      <c r="E22" s="102" t="s">
        <v>307</v>
      </c>
      <c r="F22" s="103">
        <v>49.95</v>
      </c>
      <c r="G22" s="914">
        <f>ROUNDUP(AVERAGE(F22:F26),2)</f>
        <v>36.07</v>
      </c>
      <c r="H22" s="103" t="str">
        <f>IF((F22/G$22)-1&gt;30%,"EXCLUÍDO",IF((F22/G$22)-1&lt;-30%,"EXCLUÍDO",F22))</f>
        <v>EXCLUÍDO</v>
      </c>
      <c r="I22" s="139">
        <f>IF(F22&lt;&gt;0,(F22/$G$22)-1,"")</f>
        <v>0.3848073191017467</v>
      </c>
      <c r="J22" s="914">
        <f>AVERAGE(H22:H26)</f>
        <v>32.590000000000003</v>
      </c>
      <c r="K22" s="924">
        <f>MEDIAN(H22:H26)</f>
        <v>31.23</v>
      </c>
      <c r="L22" s="914">
        <f>STDEV(H22:H26)</f>
        <v>3.8047864591853062</v>
      </c>
      <c r="M22" s="927">
        <f>L22/J22</f>
        <v>0.11674705305876974</v>
      </c>
      <c r="N22" s="914">
        <f>IF(M22&lt;25%,K22,J22)</f>
        <v>31.23</v>
      </c>
      <c r="O22" s="941">
        <f>N22*D22</f>
        <v>31.23</v>
      </c>
    </row>
    <row r="23" spans="1:23" s="146" customFormat="1" ht="24" customHeight="1">
      <c r="A23" s="937"/>
      <c r="B23" s="944"/>
      <c r="C23" s="937"/>
      <c r="D23" s="937"/>
      <c r="E23" s="102" t="s">
        <v>297</v>
      </c>
      <c r="F23" s="103">
        <v>29.96</v>
      </c>
      <c r="G23" s="915"/>
      <c r="H23" s="103">
        <f>IF((F23/G$22)-1&gt;30%,"EXCLUÍDO",IF((F23/G$22)-1&lt;-30%,"EXCLUÍDO",F23))</f>
        <v>29.96</v>
      </c>
      <c r="I23" s="139">
        <f>IF(F23&lt;&gt;0,(F23/$G$22)-1,"")</f>
        <v>-0.16939284724147485</v>
      </c>
      <c r="J23" s="915"/>
      <c r="K23" s="925"/>
      <c r="L23" s="915"/>
      <c r="M23" s="925"/>
      <c r="N23" s="915"/>
      <c r="O23" s="941"/>
    </row>
    <row r="24" spans="1:23" s="146" customFormat="1" ht="24" customHeight="1">
      <c r="A24" s="937"/>
      <c r="B24" s="944"/>
      <c r="C24" s="937"/>
      <c r="D24" s="937"/>
      <c r="E24" s="102" t="s">
        <v>308</v>
      </c>
      <c r="F24" s="103">
        <v>32.5</v>
      </c>
      <c r="G24" s="915"/>
      <c r="H24" s="103">
        <f>IF((F24/G$22)-1&gt;30%,"EXCLUÍDO",IF((F24/G$22)-1&lt;-30%,"EXCLUÍDO",F24))</f>
        <v>32.5</v>
      </c>
      <c r="I24" s="139">
        <f>IF(F24&lt;&gt;0,(F24/$G$22)-1,"")</f>
        <v>-9.8974216800665427E-2</v>
      </c>
      <c r="J24" s="915"/>
      <c r="K24" s="925"/>
      <c r="L24" s="915"/>
      <c r="M24" s="925"/>
      <c r="N24" s="915"/>
      <c r="O24" s="941"/>
    </row>
    <row r="25" spans="1:23" s="146" customFormat="1" ht="24" customHeight="1">
      <c r="A25" s="937"/>
      <c r="B25" s="944"/>
      <c r="C25" s="937"/>
      <c r="D25" s="937"/>
      <c r="E25" s="102" t="s">
        <v>309</v>
      </c>
      <c r="F25" s="103">
        <v>38</v>
      </c>
      <c r="G25" s="915"/>
      <c r="H25" s="103">
        <f>IF((F25/G$22)-1&gt;30%,"EXCLUÍDO",IF((F25/G$22)-1&lt;-30%,"EXCLUÍDO",F25))</f>
        <v>38</v>
      </c>
      <c r="I25" s="139">
        <f>IF(F25&lt;&gt;0,(F25/$G$22)-1,"")</f>
        <v>5.3507069586914424E-2</v>
      </c>
      <c r="J25" s="915"/>
      <c r="K25" s="925"/>
      <c r="L25" s="915"/>
      <c r="M25" s="925"/>
      <c r="N25" s="915"/>
      <c r="O25" s="941"/>
    </row>
    <row r="26" spans="1:23" s="146" customFormat="1" ht="21.75" customHeight="1">
      <c r="A26" s="937"/>
      <c r="B26" s="944"/>
      <c r="C26" s="937"/>
      <c r="D26" s="937"/>
      <c r="E26" s="102" t="s">
        <v>310</v>
      </c>
      <c r="F26" s="103">
        <v>29.9</v>
      </c>
      <c r="G26" s="916"/>
      <c r="H26" s="103">
        <f>IF((F26/G$22)-1&gt;30%,"EXCLUÍDO",IF((F26/G$22)-1&lt;-30%,"EXCLUÍDO",F26))</f>
        <v>29.9</v>
      </c>
      <c r="I26" s="139">
        <f>IF(F26&lt;&gt;0,(F26/$G$22)-1,"")</f>
        <v>-0.17105627945661217</v>
      </c>
      <c r="J26" s="916"/>
      <c r="K26" s="926"/>
      <c r="L26" s="916"/>
      <c r="M26" s="926"/>
      <c r="N26" s="916"/>
      <c r="O26" s="941"/>
    </row>
    <row r="27" spans="1:23" s="146" customFormat="1" ht="24" customHeight="1">
      <c r="A27" s="929">
        <v>4</v>
      </c>
      <c r="B27" s="943" t="s">
        <v>311</v>
      </c>
      <c r="C27" s="929" t="s">
        <v>292</v>
      </c>
      <c r="D27" s="929">
        <v>1</v>
      </c>
      <c r="E27" s="99" t="s">
        <v>312</v>
      </c>
      <c r="F27" s="100">
        <v>65.97</v>
      </c>
      <c r="G27" s="917">
        <f>ROUNDUP(AVERAGE(F27:F31),2)</f>
        <v>71.800000000000011</v>
      </c>
      <c r="H27" s="100">
        <f>IF((F27/G$27)-1&gt;30%,"EXCLUÍDO",IF((F27/G$27)-1&lt;-30%,"EXCLUÍDO",F27))</f>
        <v>65.97</v>
      </c>
      <c r="I27" s="101">
        <f>IF(F27&lt;&gt;0,(F27/$G$27)-1,"")</f>
        <v>-8.1197771587743883E-2</v>
      </c>
      <c r="J27" s="917">
        <f>AVERAGE(H27:H31)</f>
        <v>71.792000000000002</v>
      </c>
      <c r="K27" s="920">
        <f>MEDIAN(H27:H31)</f>
        <v>75.7</v>
      </c>
      <c r="L27" s="917">
        <f>STDEV(H27:H31)</f>
        <v>5.8205815860616674</v>
      </c>
      <c r="M27" s="923">
        <f>L27/J27</f>
        <v>8.10756294024636E-2</v>
      </c>
      <c r="N27" s="917">
        <f>IF(M27&lt;25%,K27,J27)</f>
        <v>75.7</v>
      </c>
      <c r="O27" s="942">
        <f>N27*D27</f>
        <v>75.7</v>
      </c>
    </row>
    <row r="28" spans="1:23" s="146" customFormat="1" ht="24" customHeight="1">
      <c r="A28" s="929"/>
      <c r="B28" s="943"/>
      <c r="C28" s="929"/>
      <c r="D28" s="929"/>
      <c r="E28" s="99" t="s">
        <v>313</v>
      </c>
      <c r="F28" s="100">
        <v>76</v>
      </c>
      <c r="G28" s="918"/>
      <c r="H28" s="100">
        <f>IF((F28/G$27)-1&gt;30%,"EXCLUÍDO",IF((F28/G$27)-1&lt;-30%,"EXCLUÍDO",F28))</f>
        <v>76</v>
      </c>
      <c r="I28" s="101">
        <f>IF(F28&lt;&gt;0,(F28/$G$27)-1,"")</f>
        <v>5.8495821727019282E-2</v>
      </c>
      <c r="J28" s="918"/>
      <c r="K28" s="921"/>
      <c r="L28" s="918"/>
      <c r="M28" s="921"/>
      <c r="N28" s="918"/>
      <c r="O28" s="942"/>
    </row>
    <row r="29" spans="1:23" s="146" customFormat="1" ht="24" customHeight="1">
      <c r="A29" s="929"/>
      <c r="B29" s="943"/>
      <c r="C29" s="929"/>
      <c r="D29" s="929"/>
      <c r="E29" s="99" t="s">
        <v>314</v>
      </c>
      <c r="F29" s="100">
        <v>75.7</v>
      </c>
      <c r="G29" s="918"/>
      <c r="H29" s="100">
        <f>IF((F29/G$27)-1&gt;30%,"EXCLUÍDO",IF((F29/G$27)-1&lt;-30%,"EXCLUÍDO",F29))</f>
        <v>75.7</v>
      </c>
      <c r="I29" s="101">
        <f>IF(F29&lt;&gt;0,(F29/$G$27)-1,"")</f>
        <v>5.4317548746517952E-2</v>
      </c>
      <c r="J29" s="918"/>
      <c r="K29" s="921"/>
      <c r="L29" s="918"/>
      <c r="M29" s="921"/>
      <c r="N29" s="918"/>
      <c r="O29" s="942"/>
    </row>
    <row r="30" spans="1:23" s="146" customFormat="1" ht="24" customHeight="1">
      <c r="A30" s="929"/>
      <c r="B30" s="943"/>
      <c r="C30" s="929"/>
      <c r="D30" s="929"/>
      <c r="E30" s="99" t="s">
        <v>315</v>
      </c>
      <c r="F30" s="100">
        <v>64.900000000000006</v>
      </c>
      <c r="G30" s="918"/>
      <c r="H30" s="100">
        <f>IF((F30/G$27)-1&gt;30%,"EXCLUÍDO",IF((F30/G$27)-1&lt;-30%,"EXCLUÍDO",F30))</f>
        <v>64.900000000000006</v>
      </c>
      <c r="I30" s="101">
        <f>IF(F30&lt;&gt;0,(F30/$G$27)-1,"")</f>
        <v>-9.6100278551532137E-2</v>
      </c>
      <c r="J30" s="918"/>
      <c r="K30" s="921"/>
      <c r="L30" s="918"/>
      <c r="M30" s="921"/>
      <c r="N30" s="918"/>
      <c r="O30" s="942"/>
    </row>
    <row r="31" spans="1:23" s="146" customFormat="1" ht="24" customHeight="1">
      <c r="A31" s="929"/>
      <c r="B31" s="943"/>
      <c r="C31" s="929"/>
      <c r="D31" s="929"/>
      <c r="E31" s="99" t="s">
        <v>316</v>
      </c>
      <c r="F31" s="100">
        <v>76.39</v>
      </c>
      <c r="G31" s="919"/>
      <c r="H31" s="100">
        <f>IF((F31/G$27)-1&gt;30%,"EXCLUÍDO",IF((F31/G$27)-1&lt;-30%,"EXCLUÍDO",F31))</f>
        <v>76.39</v>
      </c>
      <c r="I31" s="101">
        <f>IF(F31&lt;&gt;0,(F31/$G$27)-1,"")</f>
        <v>6.3927576601671143E-2</v>
      </c>
      <c r="J31" s="919"/>
      <c r="K31" s="922"/>
      <c r="L31" s="919"/>
      <c r="M31" s="922"/>
      <c r="N31" s="919"/>
      <c r="O31" s="942"/>
    </row>
    <row r="32" spans="1:23" s="96" customFormat="1" ht="24" customHeight="1">
      <c r="A32" s="937">
        <v>5</v>
      </c>
      <c r="B32" s="938" t="s">
        <v>184</v>
      </c>
      <c r="C32" s="939" t="s">
        <v>196</v>
      </c>
      <c r="D32" s="940">
        <v>1</v>
      </c>
      <c r="E32" s="114" t="s">
        <v>255</v>
      </c>
      <c r="F32" s="103">
        <v>10.72</v>
      </c>
      <c r="G32" s="914">
        <f>ROUNDUP(AVERAGE(F32:F36),2)</f>
        <v>10.25</v>
      </c>
      <c r="H32" s="103">
        <f>IF((F32/G$32)-1&gt;30%,"EXCLUÍDO",IF((F32/G$32)-1&lt;-30%,"EXCLUÍDO",F32))</f>
        <v>10.72</v>
      </c>
      <c r="I32" s="115">
        <f>IF(F32&lt;&gt;0,(F32/$G$32)-1,"")</f>
        <v>4.5853658536585407E-2</v>
      </c>
      <c r="J32" s="914">
        <f>AVERAGE(H32:H36)</f>
        <v>10.246666666666668</v>
      </c>
      <c r="K32" s="924">
        <f>MEDIAN(H32:H36)</f>
        <v>10.119999999999999</v>
      </c>
      <c r="L32" s="914">
        <f>STDEV(H32:H36)</f>
        <v>0.42442117446389993</v>
      </c>
      <c r="M32" s="927">
        <f>L32/J32</f>
        <v>4.1420413903438508E-2</v>
      </c>
      <c r="N32" s="914">
        <f>IF(M32&lt;25%,K32,J32)</f>
        <v>10.119999999999999</v>
      </c>
      <c r="O32" s="908">
        <f>N32*D32</f>
        <v>10.119999999999999</v>
      </c>
      <c r="P32" s="97"/>
      <c r="Q32" s="97"/>
      <c r="R32" s="98"/>
      <c r="S32" s="98"/>
      <c r="T32" s="98"/>
      <c r="U32" s="98"/>
      <c r="V32" s="98"/>
      <c r="W32" s="98"/>
    </row>
    <row r="33" spans="1:23" s="96" customFormat="1" ht="24" customHeight="1">
      <c r="A33" s="937"/>
      <c r="B33" s="938"/>
      <c r="C33" s="939"/>
      <c r="D33" s="940"/>
      <c r="E33" s="114" t="s">
        <v>235</v>
      </c>
      <c r="F33" s="103">
        <v>9.9</v>
      </c>
      <c r="G33" s="915"/>
      <c r="H33" s="103">
        <f>IF((F33/G$32)-1&gt;30%,"EXCLUÍDO",IF((F33/G$32)-1&lt;-30%,"EXCLUÍDO",F33))</f>
        <v>9.9</v>
      </c>
      <c r="I33" s="115">
        <f>IF(F33&lt;&gt;0,(F33/$G$32)-1,"")</f>
        <v>-3.4146341463414553E-2</v>
      </c>
      <c r="J33" s="915"/>
      <c r="K33" s="925"/>
      <c r="L33" s="915"/>
      <c r="M33" s="925"/>
      <c r="N33" s="915"/>
      <c r="O33" s="908"/>
      <c r="P33" s="97"/>
      <c r="Q33" s="97"/>
      <c r="R33" s="98"/>
      <c r="S33" s="98"/>
      <c r="T33" s="98"/>
      <c r="U33" s="98"/>
      <c r="V33" s="98"/>
      <c r="W33" s="98"/>
    </row>
    <row r="34" spans="1:23" s="96" customFormat="1" ht="24" customHeight="1">
      <c r="A34" s="937"/>
      <c r="B34" s="938"/>
      <c r="C34" s="939"/>
      <c r="D34" s="940"/>
      <c r="E34" s="114" t="s">
        <v>256</v>
      </c>
      <c r="F34" s="103">
        <v>10.119999999999999</v>
      </c>
      <c r="G34" s="915"/>
      <c r="H34" s="103">
        <f>IF((F34/G$32)-1&gt;30%,"EXCLUÍDO",IF((F34/G$32)-1&lt;-30%,"EXCLUÍDO",F34))</f>
        <v>10.119999999999999</v>
      </c>
      <c r="I34" s="115">
        <f>IF(F34&lt;&gt;0,(F34/$G$32)-1,"")</f>
        <v>-1.2682926829268415E-2</v>
      </c>
      <c r="J34" s="915"/>
      <c r="K34" s="925"/>
      <c r="L34" s="915"/>
      <c r="M34" s="925"/>
      <c r="N34" s="915"/>
      <c r="O34" s="908"/>
      <c r="P34" s="97"/>
      <c r="Q34" s="97"/>
      <c r="R34" s="98"/>
      <c r="S34" s="98"/>
      <c r="T34" s="98"/>
      <c r="U34" s="98"/>
      <c r="V34" s="98"/>
      <c r="W34" s="98"/>
    </row>
    <row r="35" spans="1:23" s="96" customFormat="1" ht="24" customHeight="1">
      <c r="A35" s="937"/>
      <c r="B35" s="938"/>
      <c r="C35" s="939"/>
      <c r="D35" s="940"/>
      <c r="E35" s="114"/>
      <c r="F35" s="103"/>
      <c r="G35" s="915"/>
      <c r="H35" s="103" t="str">
        <f>IF((F35/G$32)-1&gt;30%,"EXCLUÍDO",IF((F35/G$32)-1&lt;-30%,"EXCLUÍDO",F35))</f>
        <v>EXCLUÍDO</v>
      </c>
      <c r="I35" s="115" t="str">
        <f>IF(F35&lt;&gt;0,(F35/$G$32)-1,"")</f>
        <v/>
      </c>
      <c r="J35" s="915"/>
      <c r="K35" s="925"/>
      <c r="L35" s="915"/>
      <c r="M35" s="925"/>
      <c r="N35" s="915"/>
      <c r="O35" s="908"/>
      <c r="P35" s="97"/>
      <c r="Q35" s="97"/>
      <c r="R35" s="98"/>
      <c r="S35" s="98"/>
      <c r="T35" s="98"/>
      <c r="U35" s="98"/>
      <c r="V35" s="98"/>
      <c r="W35" s="98"/>
    </row>
    <row r="36" spans="1:23" s="96" customFormat="1" ht="24" customHeight="1">
      <c r="A36" s="937"/>
      <c r="B36" s="938"/>
      <c r="C36" s="939"/>
      <c r="D36" s="940"/>
      <c r="E36" s="114"/>
      <c r="F36" s="103"/>
      <c r="G36" s="916"/>
      <c r="H36" s="103" t="str">
        <f>IF((F36/G$32)-1&gt;30%,"EXCLUÍDO",IF((F36/G$32)-1&lt;-30%,"EXCLUÍDO",F36))</f>
        <v>EXCLUÍDO</v>
      </c>
      <c r="I36" s="115" t="str">
        <f>IF(F36&lt;&gt;0,(F36/$G$32)-1,"")</f>
        <v/>
      </c>
      <c r="J36" s="916"/>
      <c r="K36" s="926"/>
      <c r="L36" s="916"/>
      <c r="M36" s="926"/>
      <c r="N36" s="916"/>
      <c r="O36" s="908"/>
      <c r="P36" s="97"/>
      <c r="Q36" s="97"/>
      <c r="R36" s="98"/>
      <c r="S36" s="98"/>
      <c r="T36" s="98"/>
      <c r="U36" s="98"/>
      <c r="V36" s="98"/>
      <c r="W36" s="98"/>
    </row>
    <row r="37" spans="1:23" s="96" customFormat="1" ht="24" customHeight="1">
      <c r="A37" s="929">
        <v>6</v>
      </c>
      <c r="B37" s="934" t="s">
        <v>193</v>
      </c>
      <c r="C37" s="929" t="s">
        <v>196</v>
      </c>
      <c r="D37" s="933">
        <v>1</v>
      </c>
      <c r="E37" s="99" t="s">
        <v>255</v>
      </c>
      <c r="F37" s="100">
        <v>10.199999999999999</v>
      </c>
      <c r="G37" s="917">
        <f>ROUNDUP(AVERAGE(F37:F41),2)</f>
        <v>9</v>
      </c>
      <c r="H37" s="138">
        <f>IF((F37/G$37)-1&gt;30%,"EXCLUÍDO",IF((F37/G$37)-1&lt;-30%,"EXCLUÍDO",F37))</f>
        <v>10.199999999999999</v>
      </c>
      <c r="I37" s="101">
        <f>IF(F37&lt;&gt;0,(F37/$G$37)-1,"")</f>
        <v>0.1333333333333333</v>
      </c>
      <c r="J37" s="917">
        <f>AVERAGE(H37:H41)</f>
        <v>9</v>
      </c>
      <c r="K37" s="920">
        <f>MEDIAN(H37:H41)</f>
        <v>8.9</v>
      </c>
      <c r="L37" s="917">
        <f>STDEV(H37:H41)</f>
        <v>1.1532562594670788</v>
      </c>
      <c r="M37" s="923">
        <f>L37/J37</f>
        <v>0.12813958438523099</v>
      </c>
      <c r="N37" s="917">
        <f>IF(M37&lt;25%,K37,J37)</f>
        <v>8.9</v>
      </c>
      <c r="O37" s="928">
        <f>N37*D37</f>
        <v>8.9</v>
      </c>
      <c r="P37" s="97"/>
      <c r="Q37" s="97"/>
      <c r="R37" s="106"/>
      <c r="S37" s="97"/>
      <c r="T37" s="106"/>
      <c r="U37" s="107"/>
    </row>
    <row r="38" spans="1:23" s="96" customFormat="1" ht="24" customHeight="1">
      <c r="A38" s="929"/>
      <c r="B38" s="935"/>
      <c r="C38" s="929"/>
      <c r="D38" s="933"/>
      <c r="E38" s="99" t="s">
        <v>257</v>
      </c>
      <c r="F38" s="100">
        <v>8.9</v>
      </c>
      <c r="G38" s="918"/>
      <c r="H38" s="138">
        <f>IF((F38/G$37)-1&gt;30%,"EXCLUÍDO",IF((F38/G$37)-1&lt;-30%,"EXCLUÍDO",F38))</f>
        <v>8.9</v>
      </c>
      <c r="I38" s="101">
        <f>IF(F38&lt;&gt;0,(F38/$G$37)-1,"")</f>
        <v>-1.1111111111111072E-2</v>
      </c>
      <c r="J38" s="918"/>
      <c r="K38" s="921"/>
      <c r="L38" s="918"/>
      <c r="M38" s="921"/>
      <c r="N38" s="918"/>
      <c r="O38" s="928"/>
      <c r="P38" s="97"/>
      <c r="Q38" s="97"/>
      <c r="R38" s="106"/>
      <c r="S38" s="97"/>
      <c r="T38" s="106"/>
      <c r="U38" s="107"/>
    </row>
    <row r="39" spans="1:23" s="96" customFormat="1" ht="24" customHeight="1">
      <c r="A39" s="929"/>
      <c r="B39" s="935"/>
      <c r="C39" s="929"/>
      <c r="D39" s="933"/>
      <c r="E39" s="99" t="s">
        <v>258</v>
      </c>
      <c r="F39" s="100">
        <v>7.9</v>
      </c>
      <c r="G39" s="918"/>
      <c r="H39" s="138">
        <f>IF((F39/G$37)-1&gt;30%,"EXCLUÍDO",IF((F39/G$37)-1&lt;-30%,"EXCLUÍDO",F39))</f>
        <v>7.9</v>
      </c>
      <c r="I39" s="101">
        <f>IF(F39&lt;&gt;0,(F39/$G$37)-1,"")</f>
        <v>-0.12222222222222223</v>
      </c>
      <c r="J39" s="918"/>
      <c r="K39" s="921"/>
      <c r="L39" s="918"/>
      <c r="M39" s="921"/>
      <c r="N39" s="918"/>
      <c r="O39" s="928"/>
      <c r="P39" s="97"/>
      <c r="Q39" s="97"/>
      <c r="R39" s="106"/>
      <c r="S39" s="97"/>
      <c r="T39" s="106"/>
      <c r="U39" s="107"/>
    </row>
    <row r="40" spans="1:23" s="96" customFormat="1" ht="24" customHeight="1">
      <c r="A40" s="929"/>
      <c r="B40" s="935"/>
      <c r="C40" s="929"/>
      <c r="D40" s="933"/>
      <c r="E40" s="99"/>
      <c r="F40" s="100"/>
      <c r="G40" s="918"/>
      <c r="H40" s="138" t="str">
        <f>IF((F40/G$37)-1&gt;30%,"EXCLUÍDO",IF((F40/G$37)-1&lt;-30%,"EXCLUÍDO",F40))</f>
        <v>EXCLUÍDO</v>
      </c>
      <c r="I40" s="101" t="str">
        <f>IF(F40&lt;&gt;0,(F40/$G$37)-1,"")</f>
        <v/>
      </c>
      <c r="J40" s="918"/>
      <c r="K40" s="921"/>
      <c r="L40" s="918"/>
      <c r="M40" s="921"/>
      <c r="N40" s="918"/>
      <c r="O40" s="928"/>
      <c r="P40" s="97"/>
      <c r="Q40" s="97"/>
      <c r="R40" s="106"/>
      <c r="S40" s="97"/>
      <c r="T40" s="106"/>
      <c r="U40" s="107"/>
    </row>
    <row r="41" spans="1:23" s="96" customFormat="1" ht="24" customHeight="1">
      <c r="A41" s="929"/>
      <c r="B41" s="936"/>
      <c r="C41" s="929"/>
      <c r="D41" s="933"/>
      <c r="E41" s="99"/>
      <c r="F41" s="100"/>
      <c r="G41" s="919"/>
      <c r="H41" s="100" t="str">
        <f>IF((F41/G$37)-1&gt;30%,"EXCLUÍDO",IF((F41/G$37)-1&lt;-30%,"EXCLUÍDO",F41))</f>
        <v>EXCLUÍDO</v>
      </c>
      <c r="I41" s="101" t="str">
        <f>IF(F41&lt;&gt;0,(F41/$G$37)-1,"")</f>
        <v/>
      </c>
      <c r="J41" s="919"/>
      <c r="K41" s="922"/>
      <c r="L41" s="919"/>
      <c r="M41" s="922"/>
      <c r="N41" s="919"/>
      <c r="O41" s="928"/>
      <c r="P41" s="97"/>
      <c r="Q41" s="97"/>
      <c r="R41" s="106"/>
      <c r="S41" s="97"/>
      <c r="T41" s="106"/>
      <c r="U41" s="107"/>
    </row>
    <row r="42" spans="1:23" ht="24.75" customHeight="1">
      <c r="A42" s="909">
        <v>7</v>
      </c>
      <c r="B42" s="910" t="s">
        <v>404</v>
      </c>
      <c r="C42" s="912" t="s">
        <v>196</v>
      </c>
      <c r="D42" s="913">
        <v>1</v>
      </c>
      <c r="E42" s="178" t="s">
        <v>403</v>
      </c>
      <c r="F42" s="103">
        <v>40.25</v>
      </c>
      <c r="G42" s="914">
        <f>ROUNDUP(AVERAGE(F42:F46),2)</f>
        <v>51.71</v>
      </c>
      <c r="H42" s="103">
        <f>IF((F42/G$42)-1&gt;30%,"EXCLUÍDO",IF((F42/G$42)-1&lt;-30%,"EXCLUÍDO",F42))</f>
        <v>40.25</v>
      </c>
      <c r="I42" s="179">
        <f>IF(F42&lt;&gt;0,(F42/$G$42)-1,"")</f>
        <v>-0.22162057629085286</v>
      </c>
      <c r="J42" s="914">
        <f>AVERAGE(H42:H46)</f>
        <v>52.086666666666666</v>
      </c>
      <c r="K42" s="924">
        <f>MEDIAN(H42:H46)</f>
        <v>51.84</v>
      </c>
      <c r="L42" s="914">
        <f>STDEV(H42:H46)</f>
        <v>11.961907595920231</v>
      </c>
      <c r="M42" s="927">
        <f>L42/J42</f>
        <v>0.22965392799027706</v>
      </c>
      <c r="N42" s="914">
        <f>IF(M42&lt;25%,K42,J42)</f>
        <v>51.84</v>
      </c>
      <c r="O42" s="908">
        <f>N42*D42</f>
        <v>51.84</v>
      </c>
    </row>
    <row r="43" spans="1:23" ht="24.75" customHeight="1">
      <c r="A43" s="909"/>
      <c r="B43" s="910"/>
      <c r="C43" s="912"/>
      <c r="D43" s="913"/>
      <c r="E43" s="178" t="s">
        <v>405</v>
      </c>
      <c r="F43" s="103">
        <v>64.17</v>
      </c>
      <c r="G43" s="915"/>
      <c r="H43" s="103">
        <f>IF((F43/G$42)-1&gt;30%,"EXCLUÍDO",IF((F43/G$42)-1&lt;-30%,"EXCLUÍDO",F43))</f>
        <v>64.17</v>
      </c>
      <c r="I43" s="179">
        <f>IF(F43&lt;&gt;0,(F43/$G$42)-1,"")</f>
        <v>0.24095919551344025</v>
      </c>
      <c r="J43" s="915"/>
      <c r="K43" s="925"/>
      <c r="L43" s="915"/>
      <c r="M43" s="925"/>
      <c r="N43" s="915"/>
      <c r="O43" s="908"/>
    </row>
    <row r="44" spans="1:23" ht="24.75" customHeight="1">
      <c r="A44" s="909"/>
      <c r="B44" s="910"/>
      <c r="C44" s="912"/>
      <c r="D44" s="913"/>
      <c r="E44" s="178" t="s">
        <v>406</v>
      </c>
      <c r="F44" s="103">
        <v>69</v>
      </c>
      <c r="G44" s="915"/>
      <c r="H44" s="103" t="str">
        <f>IF((F44/G$42)-1&gt;30%,"EXCLUÍDO",IF((F44/G$42)-1&lt;-30%,"EXCLUÍDO",F44))</f>
        <v>EXCLUÍDO</v>
      </c>
      <c r="I44" s="179">
        <f>IF(F44&lt;&gt;0,(F44/$G$42)-1,"")</f>
        <v>0.33436472635853809</v>
      </c>
      <c r="J44" s="915"/>
      <c r="K44" s="925"/>
      <c r="L44" s="915"/>
      <c r="M44" s="925"/>
      <c r="N44" s="915"/>
      <c r="O44" s="908"/>
    </row>
    <row r="45" spans="1:23" ht="24.75" customHeight="1">
      <c r="A45" s="909"/>
      <c r="B45" s="911"/>
      <c r="C45" s="912"/>
      <c r="D45" s="913"/>
      <c r="E45" s="178" t="s">
        <v>405</v>
      </c>
      <c r="F45" s="103">
        <v>51.84</v>
      </c>
      <c r="G45" s="915"/>
      <c r="H45" s="103">
        <f>IF((F45/G$42)-1&gt;30%,"EXCLUÍDO",IF((F45/G$42)-1&lt;-30%,"EXCLUÍDO",F45))</f>
        <v>51.84</v>
      </c>
      <c r="I45" s="179">
        <f>IF(F45&lt;&gt;0,(F45/$G$42)-1,"")</f>
        <v>2.5140204989364534E-3</v>
      </c>
      <c r="J45" s="915"/>
      <c r="K45" s="925"/>
      <c r="L45" s="915"/>
      <c r="M45" s="925"/>
      <c r="N45" s="915"/>
      <c r="O45" s="908"/>
    </row>
    <row r="46" spans="1:23" ht="24.75" customHeight="1">
      <c r="A46" s="909"/>
      <c r="B46" s="911"/>
      <c r="C46" s="912"/>
      <c r="D46" s="913"/>
      <c r="E46" s="178" t="s">
        <v>407</v>
      </c>
      <c r="F46" s="103">
        <v>33.29</v>
      </c>
      <c r="G46" s="916"/>
      <c r="H46" s="103" t="str">
        <f>IF((F46/G$42)-1&gt;30%,"EXCLUÍDO",IF((F46/G$42)-1&lt;-30%,"EXCLUÍDO",F46))</f>
        <v>EXCLUÍDO</v>
      </c>
      <c r="I46" s="179">
        <f>IF(F46&lt;&gt;0,(F46/$G$42)-1,"")</f>
        <v>-0.35621736608006194</v>
      </c>
      <c r="J46" s="916"/>
      <c r="K46" s="926"/>
      <c r="L46" s="916"/>
      <c r="M46" s="926"/>
      <c r="N46" s="916"/>
      <c r="O46" s="908"/>
    </row>
    <row r="47" spans="1:23" s="96" customFormat="1" ht="24" customHeight="1">
      <c r="A47" s="929">
        <v>8</v>
      </c>
      <c r="B47" s="930" t="s">
        <v>408</v>
      </c>
      <c r="C47" s="929" t="s">
        <v>196</v>
      </c>
      <c r="D47" s="933">
        <v>1</v>
      </c>
      <c r="E47" s="99" t="s">
        <v>406</v>
      </c>
      <c r="F47" s="100">
        <v>190</v>
      </c>
      <c r="G47" s="917">
        <f>ROUNDUP(AVERAGE(F47:F51),2)</f>
        <v>173.87</v>
      </c>
      <c r="H47" s="175">
        <f>IF((F47/G$47)-1&gt;30%,"EXCLUÍDO",IF((F47/G$47)-1&lt;-30%,"EXCLUÍDO",F47))</f>
        <v>190</v>
      </c>
      <c r="I47" s="101">
        <f>IF(F47&lt;&gt;0,(F47/$G$47)-1,"")</f>
        <v>9.2770460689020506E-2</v>
      </c>
      <c r="J47" s="917">
        <f>AVERAGE(H47:H51)</f>
        <v>174.13333333333333</v>
      </c>
      <c r="K47" s="920">
        <f>MEDIAN(H47:H51)</f>
        <v>190</v>
      </c>
      <c r="L47" s="917">
        <f>STDEV(H47:H51)</f>
        <v>31.819857531631857</v>
      </c>
      <c r="M47" s="923">
        <f>L47/J47</f>
        <v>0.18273271936235755</v>
      </c>
      <c r="N47" s="917">
        <f>IF(M47&lt;25%,K47,J47)</f>
        <v>190</v>
      </c>
      <c r="O47" s="928">
        <f>N47*D47</f>
        <v>190</v>
      </c>
      <c r="P47" s="97"/>
      <c r="Q47" s="97"/>
      <c r="R47" s="106"/>
      <c r="S47" s="97"/>
      <c r="T47" s="106"/>
      <c r="U47" s="107"/>
    </row>
    <row r="48" spans="1:23" s="96" customFormat="1" ht="24" customHeight="1">
      <c r="A48" s="929"/>
      <c r="B48" s="931"/>
      <c r="C48" s="929"/>
      <c r="D48" s="933"/>
      <c r="E48" s="99" t="s">
        <v>406</v>
      </c>
      <c r="F48" s="100">
        <v>137.5</v>
      </c>
      <c r="G48" s="918"/>
      <c r="H48" s="175">
        <f>IF((F48/G$47)-1&gt;30%,"EXCLUÍDO",IF((F48/G$47)-1&lt;-30%,"EXCLUÍDO",F48))</f>
        <v>137.5</v>
      </c>
      <c r="I48" s="101">
        <f>IF(F48&lt;&gt;0,(F48/$G$47)-1,"")</f>
        <v>-0.2091792718697878</v>
      </c>
      <c r="J48" s="918"/>
      <c r="K48" s="921"/>
      <c r="L48" s="918"/>
      <c r="M48" s="921"/>
      <c r="N48" s="918"/>
      <c r="O48" s="928"/>
      <c r="P48" s="97"/>
      <c r="Q48" s="97"/>
      <c r="R48" s="106"/>
      <c r="S48" s="97"/>
      <c r="T48" s="106"/>
      <c r="U48" s="107"/>
    </row>
    <row r="49" spans="1:21" s="96" customFormat="1" ht="24" customHeight="1">
      <c r="A49" s="929"/>
      <c r="B49" s="931"/>
      <c r="C49" s="929"/>
      <c r="D49" s="933"/>
      <c r="E49" s="99" t="s">
        <v>406</v>
      </c>
      <c r="F49" s="100">
        <v>194.9</v>
      </c>
      <c r="G49" s="918"/>
      <c r="H49" s="175">
        <f>IF((F49/G$47)-1&gt;30%,"EXCLUÍDO",IF((F49/G$47)-1&lt;-30%,"EXCLUÍDO",F49))</f>
        <v>194.9</v>
      </c>
      <c r="I49" s="101">
        <f>IF(F49&lt;&gt;0,(F49/$G$47)-1,"")</f>
        <v>0.12095243572784264</v>
      </c>
      <c r="J49" s="918"/>
      <c r="K49" s="921"/>
      <c r="L49" s="918"/>
      <c r="M49" s="921"/>
      <c r="N49" s="918"/>
      <c r="O49" s="928"/>
      <c r="P49" s="97"/>
      <c r="Q49" s="97"/>
      <c r="R49" s="106"/>
      <c r="S49" s="97"/>
      <c r="T49" s="106"/>
      <c r="U49" s="107"/>
    </row>
    <row r="50" spans="1:21" s="96" customFormat="1" ht="24" customHeight="1">
      <c r="A50" s="929"/>
      <c r="B50" s="931"/>
      <c r="C50" s="929"/>
      <c r="D50" s="933"/>
      <c r="E50" s="99" t="s">
        <v>405</v>
      </c>
      <c r="F50" s="100">
        <v>106.95</v>
      </c>
      <c r="G50" s="918"/>
      <c r="H50" s="175" t="str">
        <f>IF((F50/G$47)-1&gt;30%,"EXCLUÍDO",IF((F50/G$47)-1&lt;-30%,"EXCLUÍDO",F50))</f>
        <v>EXCLUÍDO</v>
      </c>
      <c r="I50" s="101">
        <f>IF(F50&lt;&gt;0,(F50/$G$47)-1,"")</f>
        <v>-0.38488525910162763</v>
      </c>
      <c r="J50" s="918"/>
      <c r="K50" s="921"/>
      <c r="L50" s="918"/>
      <c r="M50" s="921"/>
      <c r="N50" s="918"/>
      <c r="O50" s="928"/>
      <c r="P50" s="97"/>
      <c r="Q50" s="97"/>
      <c r="R50" s="106"/>
      <c r="S50" s="97"/>
      <c r="T50" s="106"/>
      <c r="U50" s="107"/>
    </row>
    <row r="51" spans="1:21" s="96" customFormat="1" ht="24" customHeight="1">
      <c r="A51" s="929"/>
      <c r="B51" s="932"/>
      <c r="C51" s="929"/>
      <c r="D51" s="933"/>
      <c r="E51" s="99" t="s">
        <v>406</v>
      </c>
      <c r="F51" s="100">
        <v>239.99</v>
      </c>
      <c r="G51" s="919"/>
      <c r="H51" s="100" t="str">
        <f>IF((F51/G$47)-1&gt;30%,"EXCLUÍDO",IF((F51/G$47)-1&lt;-30%,"EXCLUÍDO",F51))</f>
        <v>EXCLUÍDO</v>
      </c>
      <c r="I51" s="101">
        <f>IF(F51&lt;&gt;0,(F51/$G$47)-1,"")</f>
        <v>0.3802841203197791</v>
      </c>
      <c r="J51" s="919"/>
      <c r="K51" s="922"/>
      <c r="L51" s="919"/>
      <c r="M51" s="922"/>
      <c r="N51" s="919"/>
      <c r="O51" s="928"/>
      <c r="P51" s="97"/>
      <c r="Q51" s="97"/>
      <c r="R51" s="106"/>
      <c r="S51" s="97"/>
      <c r="T51" s="106"/>
      <c r="U51" s="107"/>
    </row>
    <row r="52" spans="1:21" ht="24.75" customHeight="1">
      <c r="A52" s="909">
        <v>9</v>
      </c>
      <c r="B52" s="910" t="s">
        <v>517</v>
      </c>
      <c r="C52" s="912" t="s">
        <v>196</v>
      </c>
      <c r="D52" s="913">
        <v>1</v>
      </c>
      <c r="E52" s="178" t="s">
        <v>255</v>
      </c>
      <c r="F52" s="103">
        <v>131.61000000000001</v>
      </c>
      <c r="G52" s="914">
        <f>ROUNDUP(AVERAGE(F52:F56),2)</f>
        <v>141.63999999999999</v>
      </c>
      <c r="H52" s="103">
        <f>IF((F52/G$52)-1&gt;30%,"EXCLUÍDO",IF((F52/G$52)-1&lt;-30%,"EXCLUÍDO",F52))</f>
        <v>131.61000000000001</v>
      </c>
      <c r="I52" s="179">
        <f>IF(F52&lt;&gt;0,(F52/$G$52)-1,"")</f>
        <v>-7.0813329567918526E-2</v>
      </c>
      <c r="J52" s="914">
        <f>AVERAGE(H52:H56)</f>
        <v>141.63200000000001</v>
      </c>
      <c r="K52" s="924">
        <f>MEDIAN(H52:H56)</f>
        <v>131.61000000000001</v>
      </c>
      <c r="L52" s="914">
        <f>STDEV(H52:H56)</f>
        <v>27.506855872673057</v>
      </c>
      <c r="M52" s="927">
        <f>L52/J52</f>
        <v>0.19421356665635631</v>
      </c>
      <c r="N52" s="914">
        <f>IF(M52&lt;25%,K52,J52)</f>
        <v>131.61000000000001</v>
      </c>
      <c r="O52" s="908">
        <f>N52*D52</f>
        <v>131.61000000000001</v>
      </c>
    </row>
    <row r="53" spans="1:21" ht="24.75" customHeight="1">
      <c r="A53" s="909"/>
      <c r="B53" s="910"/>
      <c r="C53" s="912"/>
      <c r="D53" s="913"/>
      <c r="E53" s="178" t="s">
        <v>235</v>
      </c>
      <c r="F53" s="103">
        <v>165.54</v>
      </c>
      <c r="G53" s="915"/>
      <c r="H53" s="103">
        <f>IF((F53/G$52)-1&gt;30%,"EXCLUÍDO",IF((F53/G$52)-1&lt;-30%,"EXCLUÍDO",F53))</f>
        <v>165.54</v>
      </c>
      <c r="I53" s="179">
        <f>IF(F53&lt;&gt;0,(F53/$G$52)-1,"")</f>
        <v>0.16873764473312636</v>
      </c>
      <c r="J53" s="915"/>
      <c r="K53" s="925"/>
      <c r="L53" s="915"/>
      <c r="M53" s="925"/>
      <c r="N53" s="915"/>
      <c r="O53" s="908"/>
    </row>
    <row r="54" spans="1:21" ht="24.75" customHeight="1">
      <c r="A54" s="909"/>
      <c r="B54" s="910"/>
      <c r="C54" s="912"/>
      <c r="D54" s="913"/>
      <c r="E54" s="178" t="s">
        <v>518</v>
      </c>
      <c r="F54" s="103">
        <v>120.03</v>
      </c>
      <c r="G54" s="915"/>
      <c r="H54" s="103">
        <f>IF((F54/G$52)-1&gt;30%,"EXCLUÍDO",IF((F54/G$52)-1&lt;-30%,"EXCLUÍDO",F54))</f>
        <v>120.03</v>
      </c>
      <c r="I54" s="179">
        <f>IF(F54&lt;&gt;0,(F54/$G$52)-1,"")</f>
        <v>-0.15256989550974287</v>
      </c>
      <c r="J54" s="915"/>
      <c r="K54" s="925"/>
      <c r="L54" s="915"/>
      <c r="M54" s="925"/>
      <c r="N54" s="915"/>
      <c r="O54" s="908"/>
    </row>
    <row r="55" spans="1:21" ht="24.75" customHeight="1">
      <c r="A55" s="909"/>
      <c r="B55" s="911"/>
      <c r="C55" s="912"/>
      <c r="D55" s="913"/>
      <c r="E55" s="178" t="s">
        <v>519</v>
      </c>
      <c r="F55" s="103">
        <v>115.01</v>
      </c>
      <c r="G55" s="915"/>
      <c r="H55" s="103">
        <f>IF((F55/G$52)-1&gt;30%,"EXCLUÍDO",IF((F55/G$52)-1&lt;-30%,"EXCLUÍDO",F55))</f>
        <v>115.01</v>
      </c>
      <c r="I55" s="179">
        <f>IF(F55&lt;&gt;0,(F55/$G$52)-1,"")</f>
        <v>-0.18801186105619871</v>
      </c>
      <c r="J55" s="915"/>
      <c r="K55" s="925"/>
      <c r="L55" s="915"/>
      <c r="M55" s="925"/>
      <c r="N55" s="915"/>
      <c r="O55" s="908"/>
    </row>
    <row r="56" spans="1:21" ht="24.75" customHeight="1">
      <c r="A56" s="909"/>
      <c r="B56" s="911"/>
      <c r="C56" s="912"/>
      <c r="D56" s="913"/>
      <c r="E56" s="178" t="s">
        <v>520</v>
      </c>
      <c r="F56" s="103">
        <v>175.97</v>
      </c>
      <c r="G56" s="916"/>
      <c r="H56" s="103">
        <f>IF((F56/G$52)-1&gt;30%,"EXCLUÍDO",IF((F56/G$52)-1&lt;-30%,"EXCLUÍDO",F56))</f>
        <v>175.97</v>
      </c>
      <c r="I56" s="179">
        <f>IF(F56&lt;&gt;0,(F56/$G$52)-1,"")</f>
        <v>0.24237503530076254</v>
      </c>
      <c r="J56" s="916"/>
      <c r="K56" s="926"/>
      <c r="L56" s="916"/>
      <c r="M56" s="926"/>
      <c r="N56" s="916"/>
      <c r="O56" s="908"/>
    </row>
    <row r="57" spans="1:21" s="96" customFormat="1" ht="24" customHeight="1">
      <c r="A57" s="929">
        <v>10</v>
      </c>
      <c r="B57" s="930" t="s">
        <v>521</v>
      </c>
      <c r="C57" s="929" t="s">
        <v>196</v>
      </c>
      <c r="D57" s="933">
        <v>1</v>
      </c>
      <c r="E57" s="99" t="s">
        <v>522</v>
      </c>
      <c r="F57" s="100">
        <v>89.95</v>
      </c>
      <c r="G57" s="917">
        <f>ROUNDUP(AVERAGE(F57:F61),2)</f>
        <v>77.150000000000006</v>
      </c>
      <c r="H57" s="197">
        <f>IF((F57/G$57)-1&gt;30%,"EXCLUÍDO",IF((F57/G$57)-1&lt;-30%,"EXCLUÍDO",F57))</f>
        <v>89.95</v>
      </c>
      <c r="I57" s="101">
        <f>IF(F57&lt;&gt;0,(F57/$G$57)-1,"")</f>
        <v>0.16591056383668179</v>
      </c>
      <c r="J57" s="917">
        <f>AVERAGE(H57:H61)</f>
        <v>77.142500000000013</v>
      </c>
      <c r="K57" s="920">
        <f>MEDIAN(H57:H61)</f>
        <v>78.06</v>
      </c>
      <c r="L57" s="917">
        <f>STDEV(H57:H61)</f>
        <v>14.83789826761182</v>
      </c>
      <c r="M57" s="923">
        <f>L57/J57</f>
        <v>0.19234401617282065</v>
      </c>
      <c r="N57" s="917">
        <f>IF(M57&lt;25%,K57,J57)</f>
        <v>78.06</v>
      </c>
      <c r="O57" s="928">
        <f>N57*D57</f>
        <v>78.06</v>
      </c>
      <c r="P57" s="97"/>
      <c r="Q57" s="97"/>
      <c r="R57" s="106"/>
      <c r="S57" s="97"/>
      <c r="T57" s="106"/>
      <c r="U57" s="107"/>
    </row>
    <row r="58" spans="1:21" s="96" customFormat="1" ht="24" customHeight="1">
      <c r="A58" s="929"/>
      <c r="B58" s="931"/>
      <c r="C58" s="929"/>
      <c r="D58" s="933"/>
      <c r="E58" s="99" t="s">
        <v>407</v>
      </c>
      <c r="F58" s="100">
        <v>66.22</v>
      </c>
      <c r="G58" s="918"/>
      <c r="H58" s="197">
        <f>IF((F58/G$57)-1&gt;30%,"EXCLUÍDO",IF((F58/G$57)-1&lt;-30%,"EXCLUÍDO",F58))</f>
        <v>66.22</v>
      </c>
      <c r="I58" s="101">
        <f>IF(F58&lt;&gt;0,(F58/$G$57)-1,"")</f>
        <v>-0.14167206740116667</v>
      </c>
      <c r="J58" s="918"/>
      <c r="K58" s="921"/>
      <c r="L58" s="918"/>
      <c r="M58" s="921"/>
      <c r="N58" s="918"/>
      <c r="O58" s="928"/>
      <c r="P58" s="97"/>
      <c r="Q58" s="97"/>
      <c r="R58" s="106"/>
      <c r="S58" s="97"/>
      <c r="T58" s="106"/>
      <c r="U58" s="107"/>
    </row>
    <row r="59" spans="1:21" s="96" customFormat="1" ht="24" customHeight="1">
      <c r="A59" s="929"/>
      <c r="B59" s="931"/>
      <c r="C59" s="929"/>
      <c r="D59" s="933"/>
      <c r="E59" s="99" t="s">
        <v>405</v>
      </c>
      <c r="F59" s="100">
        <v>89.9</v>
      </c>
      <c r="G59" s="918"/>
      <c r="H59" s="197">
        <f>IF((F59/G$57)-1&gt;30%,"EXCLUÍDO",IF((F59/G$57)-1&lt;-30%,"EXCLUÍDO",F59))</f>
        <v>89.9</v>
      </c>
      <c r="I59" s="101">
        <f>IF(F59&lt;&gt;0,(F59/$G$57)-1,"")</f>
        <v>0.16526247569669472</v>
      </c>
      <c r="J59" s="918"/>
      <c r="K59" s="921"/>
      <c r="L59" s="918"/>
      <c r="M59" s="921"/>
      <c r="N59" s="918"/>
      <c r="O59" s="928"/>
      <c r="P59" s="97"/>
      <c r="Q59" s="97"/>
      <c r="R59" s="106"/>
      <c r="S59" s="97"/>
      <c r="T59" s="106"/>
      <c r="U59" s="107"/>
    </row>
    <row r="60" spans="1:21" s="96" customFormat="1" ht="24" customHeight="1">
      <c r="A60" s="929"/>
      <c r="B60" s="931"/>
      <c r="C60" s="929"/>
      <c r="D60" s="933"/>
      <c r="E60" s="99" t="s">
        <v>490</v>
      </c>
      <c r="F60" s="100">
        <v>62.5</v>
      </c>
      <c r="G60" s="918"/>
      <c r="H60" s="197">
        <f>IF((F60/G$57)-1&gt;30%,"EXCLUÍDO",IF((F60/G$57)-1&lt;-30%,"EXCLUÍDO",F60))</f>
        <v>62.5</v>
      </c>
      <c r="I60" s="101">
        <f>IF(F60&lt;&gt;0,(F60/$G$57)-1,"")</f>
        <v>-0.18988982501620222</v>
      </c>
      <c r="J60" s="918"/>
      <c r="K60" s="921"/>
      <c r="L60" s="918"/>
      <c r="M60" s="921"/>
      <c r="N60" s="918"/>
      <c r="O60" s="928"/>
      <c r="P60" s="97"/>
      <c r="Q60" s="97"/>
      <c r="R60" s="106"/>
      <c r="S60" s="97"/>
      <c r="T60" s="106"/>
      <c r="U60" s="107"/>
    </row>
    <row r="61" spans="1:21" s="96" customFormat="1" ht="24" customHeight="1">
      <c r="A61" s="929"/>
      <c r="B61" s="932"/>
      <c r="C61" s="929"/>
      <c r="D61" s="933"/>
      <c r="E61" s="99"/>
      <c r="F61" s="100"/>
      <c r="G61" s="919"/>
      <c r="H61" s="197" t="str">
        <f>IF((F61/G$57)-1&gt;30%,"EXCLUÍDO",IF((F61/G$57)-1&lt;-30%,"EXCLUÍDO",F61))</f>
        <v>EXCLUÍDO</v>
      </c>
      <c r="I61" s="101" t="str">
        <f>IF(F61&lt;&gt;0,(F61/$G$57)-1,"")</f>
        <v/>
      </c>
      <c r="J61" s="919"/>
      <c r="K61" s="922"/>
      <c r="L61" s="919"/>
      <c r="M61" s="922"/>
      <c r="N61" s="919"/>
      <c r="O61" s="928"/>
      <c r="P61" s="97"/>
      <c r="Q61" s="97"/>
      <c r="R61" s="106"/>
      <c r="S61" s="97"/>
      <c r="T61" s="106"/>
      <c r="U61" s="107"/>
    </row>
    <row r="62" spans="1:21" ht="24.75" customHeight="1">
      <c r="A62" s="909">
        <v>11</v>
      </c>
      <c r="B62" s="910" t="s">
        <v>523</v>
      </c>
      <c r="C62" s="912" t="s">
        <v>196</v>
      </c>
      <c r="D62" s="913">
        <v>1</v>
      </c>
      <c r="E62" s="178" t="s">
        <v>526</v>
      </c>
      <c r="F62" s="103">
        <v>33.89</v>
      </c>
      <c r="G62" s="914">
        <f>ROUNDUP(AVERAGE(F62:F66),2)</f>
        <v>28.52</v>
      </c>
      <c r="H62" s="103">
        <f>IF((F62/G$62)-1&gt;30%,"EXCLUÍDO",IF((F62/G$62)-1&lt;-30%,"EXCLUÍDO",F62))</f>
        <v>33.89</v>
      </c>
      <c r="I62" s="179">
        <f>IF(F62&lt;&gt;0,(F62/$G$62)-1,"")</f>
        <v>0.18828892005610109</v>
      </c>
      <c r="J62" s="914">
        <f>AVERAGE(H62:H66)</f>
        <v>25.263333333333332</v>
      </c>
      <c r="K62" s="924">
        <f>MEDIAN(H62:H66)</f>
        <v>21.9</v>
      </c>
      <c r="L62" s="914">
        <f>STDEV(H62:H66)</f>
        <v>7.5310711942812931</v>
      </c>
      <c r="M62" s="927">
        <f>L62/J62</f>
        <v>0.29810283128175064</v>
      </c>
      <c r="N62" s="914">
        <f>IF(M62&lt;25%,K62,J62)</f>
        <v>25.263333333333332</v>
      </c>
      <c r="O62" s="908">
        <f>N62*D62</f>
        <v>25.263333333333332</v>
      </c>
    </row>
    <row r="63" spans="1:21" ht="24.75" customHeight="1">
      <c r="A63" s="909"/>
      <c r="B63" s="910"/>
      <c r="C63" s="912"/>
      <c r="D63" s="913"/>
      <c r="E63" s="178" t="s">
        <v>524</v>
      </c>
      <c r="F63" s="103">
        <v>21.9</v>
      </c>
      <c r="G63" s="915"/>
      <c r="H63" s="103">
        <f>IF((F63/G$62)-1&gt;30%,"EXCLUÍDO",IF((F63/G$62)-1&lt;-30%,"EXCLUÍDO",F63))</f>
        <v>21.9</v>
      </c>
      <c r="I63" s="179">
        <f>IF(F63&lt;&gt;0,(F63/$G$62)-1,"")</f>
        <v>-0.23211781206171112</v>
      </c>
      <c r="J63" s="915"/>
      <c r="K63" s="925"/>
      <c r="L63" s="915"/>
      <c r="M63" s="925"/>
      <c r="N63" s="915"/>
      <c r="O63" s="908"/>
    </row>
    <row r="64" spans="1:21" ht="24.75" customHeight="1">
      <c r="A64" s="909"/>
      <c r="B64" s="910"/>
      <c r="C64" s="912"/>
      <c r="D64" s="913"/>
      <c r="E64" s="178" t="s">
        <v>520</v>
      </c>
      <c r="F64" s="103">
        <v>38.29</v>
      </c>
      <c r="G64" s="915"/>
      <c r="H64" s="103" t="str">
        <f>IF((F64/G$62)-1&gt;30%,"EXCLUÍDO",IF((F64/G$62)-1&lt;-30%,"EXCLUÍDO",F64))</f>
        <v>EXCLUÍDO</v>
      </c>
      <c r="I64" s="179">
        <f>IF(F64&lt;&gt;0,(F64/$G$62)-1,"")</f>
        <v>0.34256661991584858</v>
      </c>
      <c r="J64" s="915"/>
      <c r="K64" s="925"/>
      <c r="L64" s="915"/>
      <c r="M64" s="925"/>
      <c r="N64" s="915"/>
      <c r="O64" s="908"/>
    </row>
    <row r="65" spans="1:15" ht="24.75" customHeight="1">
      <c r="A65" s="909"/>
      <c r="B65" s="911"/>
      <c r="C65" s="912"/>
      <c r="D65" s="913"/>
      <c r="E65" s="178" t="s">
        <v>525</v>
      </c>
      <c r="F65" s="103">
        <v>20</v>
      </c>
      <c r="G65" s="915"/>
      <c r="H65" s="103">
        <f>IF((F65/G$62)-1&gt;30%,"EXCLUÍDO",IF((F65/G$62)-1&lt;-30%,"EXCLUÍDO",F65))</f>
        <v>20</v>
      </c>
      <c r="I65" s="179">
        <f>IF(F65&lt;&gt;0,(F65/$G$62)-1,"")</f>
        <v>-0.29873772791023845</v>
      </c>
      <c r="J65" s="915"/>
      <c r="K65" s="925"/>
      <c r="L65" s="915"/>
      <c r="M65" s="925"/>
      <c r="N65" s="915"/>
      <c r="O65" s="908"/>
    </row>
    <row r="66" spans="1:15" ht="24.75" customHeight="1">
      <c r="A66" s="909"/>
      <c r="B66" s="911"/>
      <c r="C66" s="912"/>
      <c r="D66" s="913"/>
      <c r="E66" s="178"/>
      <c r="F66" s="103"/>
      <c r="G66" s="916"/>
      <c r="H66" s="103" t="str">
        <f>IF((F66/G$62)-1&gt;30%,"EXCLUÍDO",IF((F66/G$62)-1&lt;-30%,"EXCLUÍDO",F66))</f>
        <v>EXCLUÍDO</v>
      </c>
      <c r="I66" s="179" t="str">
        <f>IF(F66&lt;&gt;0,(F66/$G$62)-1,"")</f>
        <v/>
      </c>
      <c r="J66" s="916"/>
      <c r="K66" s="926"/>
      <c r="L66" s="916"/>
      <c r="M66" s="926"/>
      <c r="N66" s="916"/>
      <c r="O66" s="908"/>
    </row>
    <row r="67" spans="1:15" ht="22.5" customHeight="1">
      <c r="A67" s="929">
        <v>12</v>
      </c>
      <c r="B67" s="930" t="s">
        <v>637</v>
      </c>
      <c r="C67" s="929" t="s">
        <v>196</v>
      </c>
      <c r="D67" s="933">
        <v>1</v>
      </c>
      <c r="E67" s="99" t="s">
        <v>639</v>
      </c>
      <c r="F67" s="100">
        <v>17.489999999999998</v>
      </c>
      <c r="G67" s="917">
        <f>ROUNDUP(AVERAGE(F67:F71),2)</f>
        <v>21.680000000000003</v>
      </c>
      <c r="H67" s="415">
        <f>IF((F67/G$67)-1&gt;30%,"EXCLUÍDO",IF((F67/G$67)-1&lt;-30%,"EXCLUÍDO",F67))</f>
        <v>17.489999999999998</v>
      </c>
      <c r="I67" s="101">
        <f>IF(F67&lt;&gt;0,(F67/$G$67)-1,"")</f>
        <v>-0.19326568265682675</v>
      </c>
      <c r="J67" s="917">
        <f>AVERAGE(H67:H71)</f>
        <v>19.403333333333332</v>
      </c>
      <c r="K67" s="920">
        <f>MEDIAN(H67:H71)</f>
        <v>19.72</v>
      </c>
      <c r="L67" s="917">
        <f>STDEV(H67:H71)</f>
        <v>1.7762976477306385</v>
      </c>
      <c r="M67" s="923">
        <f>L67/J67</f>
        <v>9.1546004865004568E-2</v>
      </c>
      <c r="N67" s="917">
        <f>IF(M67&lt;25%,K67,J67)</f>
        <v>19.72</v>
      </c>
      <c r="O67" s="928">
        <f>N67*D67</f>
        <v>19.72</v>
      </c>
    </row>
    <row r="68" spans="1:15" ht="22.5" customHeight="1">
      <c r="A68" s="929"/>
      <c r="B68" s="931"/>
      <c r="C68" s="929"/>
      <c r="D68" s="933"/>
      <c r="E68" s="99" t="s">
        <v>406</v>
      </c>
      <c r="F68" s="100">
        <v>21</v>
      </c>
      <c r="G68" s="918"/>
      <c r="H68" s="415">
        <f>IF((F68/G$67)-1&gt;30%,"EXCLUÍDO",IF((F68/G$67)-1&lt;-30%,"EXCLUÍDO",F68))</f>
        <v>21</v>
      </c>
      <c r="I68" s="101">
        <f>IF(F68&lt;&gt;0,(F68/$G$67)-1,"")</f>
        <v>-3.1365313653136662E-2</v>
      </c>
      <c r="J68" s="918"/>
      <c r="K68" s="921"/>
      <c r="L68" s="918"/>
      <c r="M68" s="921"/>
      <c r="N68" s="918"/>
      <c r="O68" s="928"/>
    </row>
    <row r="69" spans="1:15" ht="22.5" customHeight="1">
      <c r="A69" s="929"/>
      <c r="B69" s="931"/>
      <c r="C69" s="929"/>
      <c r="D69" s="933"/>
      <c r="E69" s="99" t="s">
        <v>638</v>
      </c>
      <c r="F69" s="100">
        <v>28.5</v>
      </c>
      <c r="G69" s="918"/>
      <c r="H69" s="415" t="str">
        <f>IF((F69/G$67)-1&gt;30%,"EXCLUÍDO",IF((F69/G$67)-1&lt;-30%,"EXCLUÍDO",F69))</f>
        <v>EXCLUÍDO</v>
      </c>
      <c r="I69" s="101">
        <f>IF(F69&lt;&gt;0,(F69/$G$67)-1,"")</f>
        <v>0.31457564575645747</v>
      </c>
      <c r="J69" s="918"/>
      <c r="K69" s="921"/>
      <c r="L69" s="918"/>
      <c r="M69" s="921"/>
      <c r="N69" s="918"/>
      <c r="O69" s="928"/>
    </row>
    <row r="70" spans="1:15" ht="22.5" customHeight="1">
      <c r="A70" s="929"/>
      <c r="B70" s="931"/>
      <c r="C70" s="929"/>
      <c r="D70" s="933"/>
      <c r="E70" s="99" t="s">
        <v>639</v>
      </c>
      <c r="F70" s="100">
        <v>19.72</v>
      </c>
      <c r="G70" s="918"/>
      <c r="H70" s="415">
        <f>IF((F70/G$67)-1&gt;30%,"EXCLUÍDO",IF((F70/G$67)-1&lt;-30%,"EXCLUÍDO",F70))</f>
        <v>19.72</v>
      </c>
      <c r="I70" s="101">
        <f>IF(F70&lt;&gt;0,(F70/$G$67)-1,"")</f>
        <v>-9.0405904059040809E-2</v>
      </c>
      <c r="J70" s="918"/>
      <c r="K70" s="921"/>
      <c r="L70" s="918"/>
      <c r="M70" s="921"/>
      <c r="N70" s="918"/>
      <c r="O70" s="928"/>
    </row>
    <row r="71" spans="1:15" ht="22.5" customHeight="1">
      <c r="A71" s="929"/>
      <c r="B71" s="932"/>
      <c r="C71" s="929"/>
      <c r="D71" s="933"/>
      <c r="E71" s="99"/>
      <c r="F71" s="100"/>
      <c r="G71" s="919"/>
      <c r="H71" s="100" t="str">
        <f>IF((F71/G$67)-1&gt;30%,"EXCLUÍDO",IF((F71/G$67)-1&lt;-30%,"EXCLUÍDO",F71))</f>
        <v>EXCLUÍDO</v>
      </c>
      <c r="I71" s="101" t="str">
        <f>IF(F71&lt;&gt;0,(F71/$G$67)-1,"")</f>
        <v/>
      </c>
      <c r="J71" s="919"/>
      <c r="K71" s="922"/>
      <c r="L71" s="919"/>
      <c r="M71" s="922"/>
      <c r="N71" s="919"/>
      <c r="O71" s="928"/>
    </row>
    <row r="73" spans="1:15" ht="12.75">
      <c r="A73" s="427" t="s">
        <v>635</v>
      </c>
    </row>
  </sheetData>
  <mergeCells count="151">
    <mergeCell ref="K67:K71"/>
    <mergeCell ref="L67:L71"/>
    <mergeCell ref="M67:M71"/>
    <mergeCell ref="N67:N71"/>
    <mergeCell ref="O67:O71"/>
    <mergeCell ref="A67:A71"/>
    <mergeCell ref="B67:B71"/>
    <mergeCell ref="C67:C71"/>
    <mergeCell ref="D67:D71"/>
    <mergeCell ref="G67:G71"/>
    <mergeCell ref="J67:J71"/>
    <mergeCell ref="A1:O1"/>
    <mergeCell ref="A2:O2"/>
    <mergeCell ref="A3:O3"/>
    <mergeCell ref="A4:O4"/>
    <mergeCell ref="A5:O5"/>
    <mergeCell ref="A7:O7"/>
    <mergeCell ref="A8:A9"/>
    <mergeCell ref="B8:B9"/>
    <mergeCell ref="C8:C9"/>
    <mergeCell ref="D8:D9"/>
    <mergeCell ref="E8:F8"/>
    <mergeCell ref="H8:H9"/>
    <mergeCell ref="I8:I9"/>
    <mergeCell ref="J8:J9"/>
    <mergeCell ref="K8:K9"/>
    <mergeCell ref="L8:L9"/>
    <mergeCell ref="M8:M9"/>
    <mergeCell ref="N8:N9"/>
    <mergeCell ref="O8:O9"/>
    <mergeCell ref="A10:A18"/>
    <mergeCell ref="B10:B18"/>
    <mergeCell ref="C10:C18"/>
    <mergeCell ref="D10:D18"/>
    <mergeCell ref="G10:G18"/>
    <mergeCell ref="J10:J18"/>
    <mergeCell ref="K10:K18"/>
    <mergeCell ref="L10:L18"/>
    <mergeCell ref="M10:M18"/>
    <mergeCell ref="N10:N18"/>
    <mergeCell ref="O10:O18"/>
    <mergeCell ref="A19:A21"/>
    <mergeCell ref="B19:B21"/>
    <mergeCell ref="C19:C21"/>
    <mergeCell ref="D19:D21"/>
    <mergeCell ref="G19:G21"/>
    <mergeCell ref="J19:J21"/>
    <mergeCell ref="K19:K21"/>
    <mergeCell ref="L19:L21"/>
    <mergeCell ref="N19:N21"/>
    <mergeCell ref="O19:O21"/>
    <mergeCell ref="A22:A26"/>
    <mergeCell ref="B22:B26"/>
    <mergeCell ref="C22:C26"/>
    <mergeCell ref="D22:D26"/>
    <mergeCell ref="G22:G26"/>
    <mergeCell ref="J22:J26"/>
    <mergeCell ref="K22:K26"/>
    <mergeCell ref="A27:A31"/>
    <mergeCell ref="B27:B31"/>
    <mergeCell ref="C27:C31"/>
    <mergeCell ref="D27:D31"/>
    <mergeCell ref="G27:G31"/>
    <mergeCell ref="M19:M21"/>
    <mergeCell ref="L22:L26"/>
    <mergeCell ref="J32:J36"/>
    <mergeCell ref="M22:M26"/>
    <mergeCell ref="N22:N26"/>
    <mergeCell ref="J27:J31"/>
    <mergeCell ref="K32:K36"/>
    <mergeCell ref="L32:L36"/>
    <mergeCell ref="M32:M36"/>
    <mergeCell ref="N32:N36"/>
    <mergeCell ref="O22:O26"/>
    <mergeCell ref="K27:K31"/>
    <mergeCell ref="L27:L31"/>
    <mergeCell ref="M27:M31"/>
    <mergeCell ref="N27:N31"/>
    <mergeCell ref="O27:O31"/>
    <mergeCell ref="A37:A41"/>
    <mergeCell ref="B37:B41"/>
    <mergeCell ref="C37:C41"/>
    <mergeCell ref="D37:D41"/>
    <mergeCell ref="G37:G41"/>
    <mergeCell ref="G32:G36"/>
    <mergeCell ref="A32:A36"/>
    <mergeCell ref="B32:B36"/>
    <mergeCell ref="C32:C36"/>
    <mergeCell ref="D32:D36"/>
    <mergeCell ref="O37:O41"/>
    <mergeCell ref="O32:O36"/>
    <mergeCell ref="J37:J41"/>
    <mergeCell ref="K37:K41"/>
    <mergeCell ref="L37:L41"/>
    <mergeCell ref="M37:M41"/>
    <mergeCell ref="N37:N41"/>
    <mergeCell ref="K42:K46"/>
    <mergeCell ref="L42:L46"/>
    <mergeCell ref="M42:M46"/>
    <mergeCell ref="N42:N46"/>
    <mergeCell ref="K47:K51"/>
    <mergeCell ref="O42:O46"/>
    <mergeCell ref="L47:L51"/>
    <mergeCell ref="A42:A46"/>
    <mergeCell ref="B42:B46"/>
    <mergeCell ref="C42:C46"/>
    <mergeCell ref="D42:D46"/>
    <mergeCell ref="G42:G46"/>
    <mergeCell ref="J42:J46"/>
    <mergeCell ref="J52:J56"/>
    <mergeCell ref="M47:M51"/>
    <mergeCell ref="N47:N51"/>
    <mergeCell ref="O47:O51"/>
    <mergeCell ref="A47:A51"/>
    <mergeCell ref="B47:B51"/>
    <mergeCell ref="C47:C51"/>
    <mergeCell ref="D47:D51"/>
    <mergeCell ref="G47:G51"/>
    <mergeCell ref="J47:J51"/>
    <mergeCell ref="A57:A61"/>
    <mergeCell ref="B57:B61"/>
    <mergeCell ref="C57:C61"/>
    <mergeCell ref="D57:D61"/>
    <mergeCell ref="G57:G61"/>
    <mergeCell ref="A52:A56"/>
    <mergeCell ref="B52:B56"/>
    <mergeCell ref="C52:C56"/>
    <mergeCell ref="D52:D56"/>
    <mergeCell ref="G52:G56"/>
    <mergeCell ref="O57:O61"/>
    <mergeCell ref="K52:K56"/>
    <mergeCell ref="L52:L56"/>
    <mergeCell ref="M52:M56"/>
    <mergeCell ref="N52:N56"/>
    <mergeCell ref="O52:O56"/>
    <mergeCell ref="J57:J61"/>
    <mergeCell ref="K57:K61"/>
    <mergeCell ref="L57:L61"/>
    <mergeCell ref="M57:M61"/>
    <mergeCell ref="N57:N61"/>
    <mergeCell ref="K62:K66"/>
    <mergeCell ref="L62:L66"/>
    <mergeCell ref="M62:M66"/>
    <mergeCell ref="N62:N66"/>
    <mergeCell ref="O62:O66"/>
    <mergeCell ref="A62:A66"/>
    <mergeCell ref="B62:B66"/>
    <mergeCell ref="C62:C66"/>
    <mergeCell ref="D62:D66"/>
    <mergeCell ref="G62:G66"/>
    <mergeCell ref="J62:J66"/>
  </mergeCells>
  <pageMargins left="0.511811024" right="0.511811024" top="0.78740157499999996" bottom="0.78740157499999996" header="0.31496062000000002" footer="0.31496062000000002"/>
  <pageSetup paperSize="9" scale="48" fitToHeight="0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Z1000"/>
  <sheetViews>
    <sheetView showGridLines="0" topLeftCell="A34" workbookViewId="0">
      <selection activeCell="A59" sqref="A59"/>
    </sheetView>
  </sheetViews>
  <sheetFormatPr defaultColWidth="15.140625" defaultRowHeight="15"/>
  <cols>
    <col min="1" max="11" width="8" style="24" customWidth="1"/>
    <col min="12" max="26" width="7" style="24" customWidth="1"/>
    <col min="27" max="16384" width="15.140625" style="24"/>
  </cols>
  <sheetData>
    <row r="1" spans="1:26" ht="12.75" customHeight="1">
      <c r="A1" s="20"/>
      <c r="B1" s="21"/>
      <c r="C1" s="21"/>
      <c r="D1" s="21"/>
      <c r="E1" s="21"/>
      <c r="F1" s="21"/>
      <c r="G1" s="21"/>
      <c r="H1" s="21"/>
      <c r="I1" s="21"/>
      <c r="J1" s="22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ht="12.75" customHeight="1">
      <c r="A2" s="25"/>
      <c r="B2" s="26"/>
      <c r="C2" s="26"/>
      <c r="D2" s="26"/>
      <c r="E2" s="26"/>
      <c r="F2" s="26"/>
      <c r="G2" s="26"/>
      <c r="H2" s="26"/>
      <c r="I2" s="26"/>
      <c r="J2" s="27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>
      <c r="A3" s="25"/>
      <c r="B3" s="26"/>
      <c r="C3" s="26"/>
      <c r="D3" s="26"/>
      <c r="E3" s="26"/>
      <c r="F3" s="26"/>
      <c r="G3" s="26"/>
      <c r="H3" s="26"/>
      <c r="I3" s="26"/>
      <c r="J3" s="27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2.75" customHeight="1">
      <c r="A4" s="25"/>
      <c r="B4" s="26"/>
      <c r="C4" s="26"/>
      <c r="D4" s="26"/>
      <c r="E4" s="26"/>
      <c r="F4" s="26"/>
      <c r="G4" s="26"/>
      <c r="H4" s="26"/>
      <c r="I4" s="26"/>
      <c r="J4" s="27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ht="12.75" customHeight="1">
      <c r="A5" s="25"/>
      <c r="B5" s="26"/>
      <c r="C5" s="26"/>
      <c r="D5" s="26"/>
      <c r="E5" s="26"/>
      <c r="F5" s="26"/>
      <c r="G5" s="26"/>
      <c r="H5" s="26"/>
      <c r="I5" s="26"/>
      <c r="J5" s="27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ht="12.75" customHeight="1">
      <c r="A6" s="25"/>
      <c r="B6" s="26"/>
      <c r="C6" s="26"/>
      <c r="D6" s="26"/>
      <c r="E6" s="26"/>
      <c r="F6" s="26"/>
      <c r="G6" s="26"/>
      <c r="H6" s="26"/>
      <c r="I6" s="26"/>
      <c r="J6" s="27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4.5" customHeight="1">
      <c r="A7" s="679"/>
      <c r="B7" s="672"/>
      <c r="C7" s="672"/>
      <c r="D7" s="672"/>
      <c r="E7" s="672"/>
      <c r="F7" s="672"/>
      <c r="G7" s="672"/>
      <c r="H7" s="672"/>
      <c r="I7" s="672"/>
      <c r="J7" s="67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2.75" customHeight="1">
      <c r="A8" s="25"/>
      <c r="B8" s="26"/>
      <c r="C8" s="26"/>
      <c r="D8" s="26"/>
      <c r="E8" s="26"/>
      <c r="F8" s="26"/>
      <c r="G8" s="26"/>
      <c r="H8" s="26"/>
      <c r="I8" s="26"/>
      <c r="J8" s="27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2.75" customHeight="1">
      <c r="A9" s="25"/>
      <c r="B9" s="26"/>
      <c r="C9" s="26"/>
      <c r="D9" s="26"/>
      <c r="E9" s="26"/>
      <c r="F9" s="26"/>
      <c r="G9" s="26"/>
      <c r="H9" s="26"/>
      <c r="I9" s="26"/>
      <c r="J9" s="27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2.75" customHeight="1">
      <c r="A10" s="25"/>
      <c r="B10" s="26"/>
      <c r="C10" s="26"/>
      <c r="D10" s="26"/>
      <c r="E10" s="26"/>
      <c r="F10" s="26"/>
      <c r="G10" s="26"/>
      <c r="H10" s="26"/>
      <c r="I10" s="26"/>
      <c r="J10" s="27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2.75" customHeight="1">
      <c r="A11" s="25"/>
      <c r="B11" s="26"/>
      <c r="C11" s="26"/>
      <c r="D11" s="26"/>
      <c r="E11" s="26"/>
      <c r="F11" s="26"/>
      <c r="G11" s="26"/>
      <c r="H11" s="26"/>
      <c r="I11" s="26"/>
      <c r="J11" s="27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2.75" customHeight="1">
      <c r="A12" s="25"/>
      <c r="B12" s="26"/>
      <c r="C12" s="26"/>
      <c r="D12" s="26"/>
      <c r="E12" s="26"/>
      <c r="F12" s="26"/>
      <c r="G12" s="26"/>
      <c r="H12" s="26"/>
      <c r="I12" s="26"/>
      <c r="J12" s="27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2.75" customHeight="1">
      <c r="A13" s="25"/>
      <c r="B13" s="26"/>
      <c r="C13" s="26"/>
      <c r="D13" s="26"/>
      <c r="E13" s="26"/>
      <c r="F13" s="26"/>
      <c r="G13" s="26"/>
      <c r="H13" s="26"/>
      <c r="I13" s="26"/>
      <c r="J13" s="27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2.75" customHeight="1">
      <c r="A14" s="25"/>
      <c r="B14" s="26"/>
      <c r="C14" s="26"/>
      <c r="D14" s="26"/>
      <c r="E14" s="26"/>
      <c r="F14" s="26"/>
      <c r="G14" s="26"/>
      <c r="H14" s="26"/>
      <c r="I14" s="26"/>
      <c r="J14" s="27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2.75" customHeight="1">
      <c r="A15" s="25"/>
      <c r="B15" s="26"/>
      <c r="C15" s="26"/>
      <c r="D15" s="26"/>
      <c r="E15" s="26"/>
      <c r="F15" s="26"/>
      <c r="G15" s="26"/>
      <c r="H15" s="26"/>
      <c r="I15" s="26"/>
      <c r="J15" s="27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2.75" customHeight="1">
      <c r="A16" s="25"/>
      <c r="B16" s="26"/>
      <c r="C16" s="26"/>
      <c r="D16" s="26"/>
      <c r="E16" s="26"/>
      <c r="F16" s="26"/>
      <c r="G16" s="26"/>
      <c r="H16" s="26"/>
      <c r="I16" s="26"/>
      <c r="J16" s="27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2.75" customHeight="1">
      <c r="A17" s="25"/>
      <c r="B17" s="26"/>
      <c r="C17" s="26"/>
      <c r="D17" s="26"/>
      <c r="E17" s="26"/>
      <c r="F17" s="26"/>
      <c r="G17" s="26"/>
      <c r="H17" s="26"/>
      <c r="I17" s="26"/>
      <c r="J17" s="27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2.75" customHeight="1">
      <c r="A18" s="25"/>
      <c r="B18" s="26"/>
      <c r="C18" s="26"/>
      <c r="D18" s="26"/>
      <c r="E18" s="26"/>
      <c r="F18" s="26"/>
      <c r="G18" s="26"/>
      <c r="H18" s="26"/>
      <c r="I18" s="26"/>
      <c r="J18" s="27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2.75" customHeight="1">
      <c r="A19" s="25"/>
      <c r="B19" s="26"/>
      <c r="C19" s="26"/>
      <c r="D19" s="26"/>
      <c r="E19" s="26"/>
      <c r="F19" s="26"/>
      <c r="G19" s="26"/>
      <c r="H19" s="26"/>
      <c r="I19" s="26"/>
      <c r="J19" s="27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2.75" customHeight="1">
      <c r="A20" s="25"/>
      <c r="B20" s="26"/>
      <c r="C20" s="26"/>
      <c r="D20" s="26"/>
      <c r="E20" s="26"/>
      <c r="F20" s="26"/>
      <c r="G20" s="26"/>
      <c r="H20" s="26"/>
      <c r="I20" s="26"/>
      <c r="J20" s="27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2.75" customHeight="1">
      <c r="A21" s="50"/>
      <c r="B21" s="51"/>
      <c r="C21" s="51"/>
      <c r="D21" s="51"/>
      <c r="E21" s="51"/>
      <c r="F21" s="51"/>
      <c r="G21" s="51"/>
      <c r="H21" s="51"/>
      <c r="I21" s="51"/>
      <c r="J21" s="52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2.75" customHeight="1">
      <c r="A22" s="53"/>
      <c r="B22" s="47"/>
      <c r="C22" s="47"/>
      <c r="D22" s="47"/>
      <c r="E22" s="47"/>
      <c r="F22" s="47"/>
      <c r="G22" s="47"/>
      <c r="H22" s="47"/>
      <c r="I22" s="47"/>
      <c r="J22" s="52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2.75" customHeight="1">
      <c r="A23" s="53"/>
      <c r="B23" s="47"/>
      <c r="C23" s="47"/>
      <c r="D23" s="47"/>
      <c r="E23" s="47"/>
      <c r="F23" s="47"/>
      <c r="G23" s="47"/>
      <c r="H23" s="47"/>
      <c r="I23" s="47"/>
      <c r="J23" s="52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2.75" customHeight="1">
      <c r="A24" s="53"/>
      <c r="B24" s="47"/>
      <c r="C24" s="47"/>
      <c r="D24" s="47"/>
      <c r="E24" s="47"/>
      <c r="F24" s="47"/>
      <c r="G24" s="47"/>
      <c r="H24" s="47"/>
      <c r="I24" s="47"/>
      <c r="J24" s="52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2.75" customHeight="1">
      <c r="A25" s="53"/>
      <c r="B25" s="51"/>
      <c r="C25" s="51"/>
      <c r="D25" s="51"/>
      <c r="E25" s="51"/>
      <c r="F25" s="51"/>
      <c r="G25" s="51"/>
      <c r="H25" s="51"/>
      <c r="I25" s="51"/>
      <c r="J25" s="52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2.75" customHeight="1">
      <c r="A26" s="671"/>
      <c r="B26" s="672"/>
      <c r="C26" s="672"/>
      <c r="D26" s="672"/>
      <c r="E26" s="672"/>
      <c r="F26" s="672"/>
      <c r="G26" s="672"/>
      <c r="H26" s="672"/>
      <c r="I26" s="672"/>
      <c r="J26" s="67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2.75" customHeight="1">
      <c r="A27" s="674"/>
      <c r="B27" s="672"/>
      <c r="C27" s="672"/>
      <c r="D27" s="672"/>
      <c r="E27" s="672"/>
      <c r="F27" s="672"/>
      <c r="G27" s="672"/>
      <c r="H27" s="672"/>
      <c r="I27" s="672"/>
      <c r="J27" s="67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2.75" customHeight="1">
      <c r="A28" s="25"/>
      <c r="B28" s="26"/>
      <c r="C28" s="26"/>
      <c r="D28" s="26"/>
      <c r="E28" s="26"/>
      <c r="F28" s="26"/>
      <c r="G28" s="26"/>
      <c r="H28" s="26"/>
      <c r="I28" s="26"/>
      <c r="J28" s="27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2.75" customHeight="1">
      <c r="A29" s="25"/>
      <c r="B29" s="26"/>
      <c r="C29" s="26"/>
      <c r="D29" s="26"/>
      <c r="E29" s="26"/>
      <c r="F29" s="26"/>
      <c r="G29" s="26"/>
      <c r="H29" s="26"/>
      <c r="I29" s="26"/>
      <c r="J29" s="27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2.75" customHeight="1">
      <c r="A30" s="25"/>
      <c r="B30" s="26"/>
      <c r="C30" s="26"/>
      <c r="D30" s="26"/>
      <c r="E30" s="26"/>
      <c r="F30" s="26"/>
      <c r="G30" s="26"/>
      <c r="H30" s="26"/>
      <c r="I30" s="26"/>
      <c r="J30" s="27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2.75" customHeight="1">
      <c r="A31" s="25"/>
      <c r="B31" s="26"/>
      <c r="C31" s="26"/>
      <c r="D31" s="26"/>
      <c r="E31" s="26"/>
      <c r="F31" s="26"/>
      <c r="G31" s="26"/>
      <c r="H31" s="26"/>
      <c r="I31" s="26"/>
      <c r="J31" s="27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2.75" customHeight="1">
      <c r="A32" s="25"/>
      <c r="B32" s="26"/>
      <c r="C32" s="26"/>
      <c r="D32" s="26"/>
      <c r="E32" s="26"/>
      <c r="F32" s="26"/>
      <c r="G32" s="26"/>
      <c r="H32" s="26"/>
      <c r="I32" s="26"/>
      <c r="J32" s="27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2.75" customHeight="1">
      <c r="A33" s="25"/>
      <c r="B33" s="26"/>
      <c r="C33" s="26"/>
      <c r="D33" s="26"/>
      <c r="E33" s="26"/>
      <c r="F33" s="26"/>
      <c r="G33" s="26"/>
      <c r="H33" s="26"/>
      <c r="I33" s="26"/>
      <c r="J33" s="27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2.75" customHeight="1">
      <c r="A34" s="25"/>
      <c r="B34" s="26"/>
      <c r="C34" s="26"/>
      <c r="D34" s="26"/>
      <c r="E34" s="26"/>
      <c r="F34" s="26"/>
      <c r="G34" s="26"/>
      <c r="H34" s="26"/>
      <c r="I34" s="26"/>
      <c r="J34" s="27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2.75" customHeight="1">
      <c r="A35" s="25"/>
      <c r="B35" s="26"/>
      <c r="C35" s="26"/>
      <c r="D35" s="26"/>
      <c r="E35" s="26"/>
      <c r="F35" s="26"/>
      <c r="G35" s="26"/>
      <c r="H35" s="26"/>
      <c r="I35" s="26"/>
      <c r="J35" s="27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2.75" customHeight="1">
      <c r="A36" s="675" t="s">
        <v>195</v>
      </c>
      <c r="B36" s="676"/>
      <c r="C36" s="676"/>
      <c r="D36" s="676"/>
      <c r="E36" s="676"/>
      <c r="F36" s="676"/>
      <c r="G36" s="676"/>
      <c r="H36" s="676"/>
      <c r="I36" s="676"/>
      <c r="J36" s="677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2.75" customHeight="1">
      <c r="A37" s="678"/>
      <c r="B37" s="676"/>
      <c r="C37" s="676"/>
      <c r="D37" s="676"/>
      <c r="E37" s="676"/>
      <c r="F37" s="676"/>
      <c r="G37" s="676"/>
      <c r="H37" s="676"/>
      <c r="I37" s="676"/>
      <c r="J37" s="677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2.75" customHeight="1">
      <c r="A38" s="25"/>
      <c r="B38" s="26"/>
      <c r="C38" s="26"/>
      <c r="D38" s="26"/>
      <c r="E38" s="26"/>
      <c r="F38" s="26"/>
      <c r="G38" s="26"/>
      <c r="H38" s="26"/>
      <c r="I38" s="26"/>
      <c r="J38" s="27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2.75" customHeight="1">
      <c r="A39" s="25"/>
      <c r="B39" s="26"/>
      <c r="C39" s="26"/>
      <c r="D39" s="26"/>
      <c r="E39" s="26"/>
      <c r="F39" s="26"/>
      <c r="G39" s="26"/>
      <c r="H39" s="26"/>
      <c r="I39" s="26"/>
      <c r="J39" s="27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2.75" customHeight="1">
      <c r="A40" s="25"/>
      <c r="B40" s="26"/>
      <c r="C40" s="26"/>
      <c r="D40" s="26"/>
      <c r="E40" s="26"/>
      <c r="F40" s="26"/>
      <c r="G40" s="26"/>
      <c r="H40" s="26"/>
      <c r="I40" s="26"/>
      <c r="J40" s="27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2.75" customHeight="1">
      <c r="A41" s="25"/>
      <c r="B41" s="26"/>
      <c r="C41" s="26"/>
      <c r="D41" s="26"/>
      <c r="E41" s="26"/>
      <c r="F41" s="26"/>
      <c r="G41" s="26"/>
      <c r="H41" s="26"/>
      <c r="I41" s="26"/>
      <c r="J41" s="27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2.75" customHeight="1">
      <c r="A42" s="25"/>
      <c r="B42" s="26"/>
      <c r="C42" s="26"/>
      <c r="D42" s="26"/>
      <c r="E42" s="26"/>
      <c r="F42" s="26"/>
      <c r="G42" s="26"/>
      <c r="H42" s="26"/>
      <c r="I42" s="26"/>
      <c r="J42" s="27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2.75" customHeight="1">
      <c r="A43" s="25"/>
      <c r="B43" s="26"/>
      <c r="C43" s="26"/>
      <c r="D43" s="26"/>
      <c r="E43" s="26"/>
      <c r="F43" s="26"/>
      <c r="G43" s="26"/>
      <c r="H43" s="26"/>
      <c r="I43" s="26"/>
      <c r="J43" s="27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2.75" customHeight="1">
      <c r="A44" s="25"/>
      <c r="B44" s="26"/>
      <c r="C44" s="26"/>
      <c r="D44" s="26"/>
      <c r="E44" s="26"/>
      <c r="F44" s="26"/>
      <c r="G44" s="26"/>
      <c r="H44" s="26"/>
      <c r="I44" s="26"/>
      <c r="J44" s="27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2.75" customHeight="1">
      <c r="A45" s="25"/>
      <c r="B45" s="26"/>
      <c r="C45" s="26"/>
      <c r="D45" s="26"/>
      <c r="E45" s="26"/>
      <c r="F45" s="26"/>
      <c r="G45" s="26"/>
      <c r="H45" s="26"/>
      <c r="I45" s="26"/>
      <c r="J45" s="27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2.75" customHeight="1">
      <c r="A46" s="25"/>
      <c r="B46" s="26"/>
      <c r="C46" s="26"/>
      <c r="D46" s="26"/>
      <c r="E46" s="26"/>
      <c r="F46" s="26"/>
      <c r="G46" s="26"/>
      <c r="H46" s="26"/>
      <c r="I46" s="26"/>
      <c r="J46" s="27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2.75" customHeight="1">
      <c r="A47" s="25"/>
      <c r="B47" s="26"/>
      <c r="C47" s="26"/>
      <c r="D47" s="26"/>
      <c r="E47" s="26"/>
      <c r="F47" s="26"/>
      <c r="G47" s="26"/>
      <c r="H47" s="26"/>
      <c r="I47" s="26"/>
      <c r="J47" s="27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2.75" customHeight="1">
      <c r="A48" s="25"/>
      <c r="B48" s="26"/>
      <c r="C48" s="26"/>
      <c r="D48" s="26"/>
      <c r="E48" s="26"/>
      <c r="F48" s="26"/>
      <c r="G48" s="26"/>
      <c r="H48" s="26"/>
      <c r="I48" s="26"/>
      <c r="J48" s="27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2.75" customHeight="1">
      <c r="A49" s="25"/>
      <c r="B49" s="26"/>
      <c r="C49" s="26"/>
      <c r="D49" s="26"/>
      <c r="E49" s="26"/>
      <c r="F49" s="26"/>
      <c r="G49" s="26"/>
      <c r="H49" s="26"/>
      <c r="I49" s="26"/>
      <c r="J49" s="27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2.75" customHeight="1">
      <c r="A50" s="25"/>
      <c r="B50" s="26"/>
      <c r="C50" s="26"/>
      <c r="D50" s="26"/>
      <c r="E50" s="26"/>
      <c r="F50" s="26"/>
      <c r="G50" s="26"/>
      <c r="H50" s="26"/>
      <c r="I50" s="26"/>
      <c r="J50" s="27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2.75" customHeight="1">
      <c r="A51" s="25"/>
      <c r="B51" s="26"/>
      <c r="C51" s="26"/>
      <c r="D51" s="26"/>
      <c r="E51" s="26"/>
      <c r="F51" s="26"/>
      <c r="G51" s="26"/>
      <c r="H51" s="26"/>
      <c r="I51" s="26"/>
      <c r="J51" s="27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2.75" customHeight="1">
      <c r="A52" s="25"/>
      <c r="B52" s="26"/>
      <c r="C52" s="26"/>
      <c r="D52" s="26"/>
      <c r="E52" s="26"/>
      <c r="F52" s="26"/>
      <c r="G52" s="26"/>
      <c r="H52" s="26"/>
      <c r="I52" s="26"/>
      <c r="J52" s="27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2.75" customHeight="1">
      <c r="A53" s="25"/>
      <c r="B53" s="26"/>
      <c r="C53" s="26"/>
      <c r="D53" s="26"/>
      <c r="E53" s="26"/>
      <c r="F53" s="26"/>
      <c r="G53" s="26"/>
      <c r="H53" s="26"/>
      <c r="I53" s="26"/>
      <c r="J53" s="27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2.75" customHeight="1">
      <c r="A54" s="25"/>
      <c r="B54" s="26"/>
      <c r="C54" s="26"/>
      <c r="D54" s="26"/>
      <c r="E54" s="26"/>
      <c r="F54" s="26"/>
      <c r="G54" s="26"/>
      <c r="H54" s="26"/>
      <c r="I54" s="26"/>
      <c r="J54" s="27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2.75" customHeight="1">
      <c r="A55" s="25"/>
      <c r="B55" s="26"/>
      <c r="C55" s="26"/>
      <c r="D55" s="26"/>
      <c r="E55" s="26"/>
      <c r="F55" s="26"/>
      <c r="G55" s="26"/>
      <c r="H55" s="26"/>
      <c r="I55" s="26"/>
      <c r="J55" s="27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2.75" customHeight="1">
      <c r="A56" s="25"/>
      <c r="B56" s="26"/>
      <c r="C56" s="26"/>
      <c r="D56" s="26"/>
      <c r="E56" s="26"/>
      <c r="F56" s="26"/>
      <c r="G56" s="26"/>
      <c r="H56" s="26"/>
      <c r="I56" s="26"/>
      <c r="J56" s="27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2.75" customHeight="1">
      <c r="A57" s="675" t="s">
        <v>652</v>
      </c>
      <c r="B57" s="676"/>
      <c r="C57" s="676"/>
      <c r="D57" s="676"/>
      <c r="E57" s="676"/>
      <c r="F57" s="676"/>
      <c r="G57" s="676"/>
      <c r="H57" s="676"/>
      <c r="I57" s="676"/>
      <c r="J57" s="677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2.75" customHeight="1">
      <c r="A58" s="678"/>
      <c r="B58" s="676"/>
      <c r="C58" s="676"/>
      <c r="D58" s="676"/>
      <c r="E58" s="676"/>
      <c r="F58" s="676"/>
      <c r="G58" s="676"/>
      <c r="H58" s="676"/>
      <c r="I58" s="676"/>
      <c r="J58" s="677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3.5" customHeight="1" thickBot="1">
      <c r="A59" s="28"/>
      <c r="B59" s="29"/>
      <c r="C59" s="29"/>
      <c r="D59" s="29"/>
      <c r="E59" s="29"/>
      <c r="F59" s="29"/>
      <c r="G59" s="29"/>
      <c r="H59" s="29"/>
      <c r="I59" s="29"/>
      <c r="J59" s="30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2.7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2.7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2.7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2.7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2.7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2.7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2.7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2.7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2.7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2.7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2.7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2.7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2.7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2.7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2.7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2.7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2.7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2.7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2.7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2.7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2.7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2.7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2.7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2.7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2.7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2.7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2.7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2.7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2.7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2.7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2.7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2.7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2.7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2.7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2.7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2.7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2.7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2.7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2.7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2.7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2.7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2.7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2.7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2.7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2.7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2.7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2.7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2.7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2.7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2.7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2.7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2.7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2.7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2.7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2.7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2.7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2.7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2.7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2.7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2.7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2.7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2.7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2.7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2.7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2.7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2.7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2.7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2.7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2.7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2.7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2.7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2.7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2.7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2.7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2.7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2.7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2.7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2.7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2.7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2.7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 ht="12.7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 ht="12.7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 ht="12.7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2.7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2.7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2.7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2.7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2.7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2.7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2.7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2.7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2.7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2.7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2.7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2.7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2.7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2.7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2.7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2.7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2.7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2.7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2.7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2.7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2.7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2.7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2.7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2.7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2.7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2.7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2.7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2.7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2.7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2.7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2.7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2.7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2.7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2.7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2.7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2.7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2.7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2.7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2.7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2.7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2.7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2.7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2.7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2.7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2.7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2.7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2.7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2.7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2.7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2.7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2.7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2.7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2.7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2.7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2.7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2.7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2.7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2.7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2.7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2.7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2.7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2.7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2.7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2.7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2.7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2.7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2.7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2.7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2.7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2.7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2.7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2.7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2.7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2.7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2.7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2.7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2.7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2.7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2.7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2.7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2.7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2.7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2.7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2.7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2.7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2.7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2.7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2.7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2.7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2.7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2.7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2.7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2.7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2.7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2.7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2.7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2.7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2.7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2.7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2.7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2.7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2.7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2.7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2.7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2.7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2.7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2.7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2.7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2.7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2.7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2.7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2.7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2.7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2.7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2.7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2.7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2.7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2.7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2.7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2.7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2.7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2.7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2.7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2.7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2.7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2.7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2.7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2.7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2.7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2.7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2.7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2.7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2.7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2.7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2.7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2.7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2.7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2.7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2.7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2.7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2.7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2.7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2.7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2.7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2.7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2.7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2.7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2.7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2.7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2.7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2.7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2.7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2.7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2.7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2.7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2.7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2.7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2.7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2.7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2.7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2.7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2.7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2.7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2.7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2.7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2.7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2.7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2.7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2.7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2.7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2.7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2.7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2.7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2.7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2.7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2.7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2.7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2.7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2.7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2.7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2.7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2.7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2.7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2.7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2.7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2.7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2.7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2.7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2.7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2.7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2.7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2.7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2.7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2.7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2.7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2.7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2.7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2.7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2.7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2.7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2.7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2.7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2.7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2.7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2.7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2.7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2.7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2.7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2.7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2.7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2.7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2.7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2.7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2.7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2.7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2.7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2.7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2.7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2.7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2.7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2.7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2.7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2.7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2.7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2.7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2.7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2.7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2.7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2.7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2.7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2.7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2.7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2.7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2.7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2.7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2.7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2.7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2.7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2.7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2.7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2.7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2.7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2.7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2.7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2.7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2.7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2.7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2.7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2.7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2.7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2.7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2.7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2.7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2.7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2.7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2.7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2.7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2.7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2.7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2.7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2.7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2.7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2.7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2.7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2.7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2.7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2.7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2.7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2.7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2.7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2.7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2.7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2.7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2.7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2.7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2.7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2.7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2.7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2.7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2.7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2.7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2.7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2.7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2.7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2.7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2.7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2.7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2.7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2.7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2.7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2.7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2.7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2.7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2.7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2.7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2.7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2.7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2.7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2.7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2.7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2.7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2.7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2.7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2.7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2.7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2.7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2.7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2.7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2.7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2.7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2.7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2.7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2.7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2.7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2.7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2.7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2.7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2.7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2.7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2.7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2.7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2.7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2.7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2.7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2.7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2.7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2.7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2.7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2.7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2.7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2.7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2.7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2.7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2.7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2.7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2.7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2.7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2.7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2.7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2.7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2.7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2.7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2.7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2.7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2.7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2.7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2.7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2.7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2.7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2.7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2.7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2.7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2.7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2.7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2.7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2.7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2.7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2.7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2.7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2.7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2.7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2.7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2.7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2.7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2.7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2.7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2.7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2.7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2.7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2.7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2.7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2.7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2.7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2.7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2.7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2.7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2.7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2.7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2.7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2.7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2.7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2.7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2.7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2.7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2.7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2.7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2.7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2.7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2.7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2.7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2.7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2.7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2.7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2.7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2.7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2.7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2.7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2.7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2.7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2.7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2.7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2.7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2.7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2.7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2.7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2.7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2.7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2.7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2.7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2.7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2.7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2.7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2.7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2.7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2.7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2.7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2.7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2.7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2.7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2.7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2.7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2.7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2.7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2.7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2.7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2.7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2.7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2.7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2.7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2.7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2.7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2.7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2.7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2.7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2.7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2.7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2.7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2.7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2.7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2.7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2.7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2.7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2.7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2.7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2.7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2.7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2.7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2.7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2.7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2.7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2.7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2.7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2.7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2.7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2.7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2.7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2.7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2.7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2.7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2.7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2.7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2.7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2.75" customHeight="1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2.75" customHeight="1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2.75" customHeight="1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2.75" customHeight="1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2.75" customHeight="1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2.75" customHeight="1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2.75" customHeight="1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2.75" customHeight="1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2.75" customHeight="1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2.75" customHeight="1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2.75" customHeight="1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2.75" customHeight="1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2.75" customHeight="1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2.75" customHeight="1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2.75" customHeight="1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2.75" customHeight="1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2.75" customHeight="1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2.75" customHeight="1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2.75" customHeight="1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2.75" customHeight="1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2.75" customHeight="1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2.75" customHeight="1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2.75" customHeight="1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2.75" customHeight="1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2.75" customHeight="1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2.75" customHeight="1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2.75" customHeight="1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2.75" customHeight="1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2.75" customHeight="1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2.75" customHeight="1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2.75" customHeight="1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2.75" customHeight="1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2.75" customHeight="1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2.75" customHeight="1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2.75" customHeight="1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2.75" customHeight="1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2.75" customHeight="1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2.75" customHeight="1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2.75" customHeight="1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2.75" customHeight="1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2.75" customHeight="1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2.75" customHeight="1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2.75" customHeight="1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2.75" customHeight="1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2.75" customHeight="1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2.75" customHeight="1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2.75" customHeight="1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2.75" customHeight="1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2.75" customHeight="1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2.75" customHeight="1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2.75" customHeight="1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2.75" customHeight="1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2.75" customHeight="1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2.75" customHeight="1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2.75" customHeight="1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2.75" customHeight="1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2.75" customHeight="1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2.75" customHeight="1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2.75" customHeight="1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2.75" customHeight="1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2.75" customHeight="1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2.75" customHeight="1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2.75" customHeight="1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2.75" customHeight="1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2.75" customHeight="1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2.75" customHeight="1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2.75" customHeight="1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2.75" customHeight="1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2.75" customHeight="1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2.75" customHeight="1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2.75" customHeight="1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2.75" customHeight="1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2.75" customHeight="1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2.75" customHeight="1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2.75" customHeight="1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2.75" customHeight="1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2.75" customHeight="1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2.75" customHeight="1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2.75" customHeight="1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2.75" customHeight="1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2.75" customHeight="1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2.75" customHeight="1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2.75" customHeight="1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2.75" customHeight="1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2.75" customHeight="1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2.75" customHeight="1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2.75" customHeight="1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2.75" customHeight="1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2.75" customHeight="1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2.75" customHeight="1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2.75" customHeight="1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2.75" customHeight="1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2.75" customHeight="1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2.75" customHeight="1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2.75" customHeight="1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2.75" customHeight="1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2.75" customHeight="1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2.75" customHeight="1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2.75" customHeight="1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2.75" customHeight="1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2.75" customHeight="1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2.75" customHeight="1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2.75" customHeight="1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2.75" customHeight="1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2.75" customHeight="1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2.75" customHeight="1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2.75" customHeight="1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2.75" customHeight="1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2.75" customHeight="1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2.75" customHeight="1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2.75" customHeight="1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2.75" customHeight="1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2.75" customHeight="1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2.75" customHeight="1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2.75" customHeight="1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2.75" customHeight="1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2.75" customHeight="1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2.75" customHeight="1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2.75" customHeight="1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2.75" customHeight="1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2.75" customHeight="1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2.75" customHeight="1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2.75" customHeight="1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2.75" customHeight="1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2.75" customHeight="1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2.75" customHeight="1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2.75" customHeight="1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2.75" customHeight="1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2.75" customHeight="1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2.75" customHeight="1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2.75" customHeight="1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2.75" customHeight="1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2.75" customHeight="1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2.75" customHeight="1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2.75" customHeight="1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2.75" customHeight="1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2.75" customHeight="1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2.75" customHeight="1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2.75" customHeight="1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2.75" customHeight="1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2.75" customHeight="1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2.75" customHeight="1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2.75" customHeight="1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2.75" customHeight="1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2.75" customHeight="1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2.75" customHeight="1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2.75" customHeight="1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2.75" customHeight="1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2.75" customHeight="1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2.75" customHeight="1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2.75" customHeight="1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2.75" customHeight="1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2.75" customHeight="1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2.75" customHeight="1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2.75" customHeight="1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2.75" customHeight="1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2.75" customHeight="1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2.75" customHeight="1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2.75" customHeight="1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2.75" customHeight="1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2.75" customHeight="1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2.75" customHeight="1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2.75" customHeight="1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2.75" customHeight="1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2.75" customHeight="1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2.75" customHeight="1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2.75" customHeight="1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2.75" customHeight="1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2.75" customHeight="1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2.75" customHeight="1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2.75" customHeight="1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2.75" customHeight="1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2.75" customHeight="1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2.75" customHeight="1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2.75" customHeight="1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2.75" customHeight="1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2.75" customHeight="1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2.75" customHeight="1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2.75" customHeight="1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2.75" customHeight="1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2.75" customHeight="1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2.75" customHeight="1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2.75" customHeight="1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2.75" customHeight="1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2.75" customHeight="1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2.75" customHeight="1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2.75" customHeight="1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2.75" customHeight="1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2.75" customHeight="1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2.75" customHeight="1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2.75" customHeight="1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2.75" customHeight="1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2.75" customHeight="1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2.75" customHeight="1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2.75" customHeight="1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2.75" customHeight="1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2.75" customHeight="1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2.75" customHeight="1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2.75" customHeight="1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2.75" customHeight="1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2.75" customHeight="1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2.75" customHeight="1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2.75" customHeight="1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2.75" customHeight="1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2.75" customHeight="1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2.75" customHeight="1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2.75" customHeight="1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2.75" customHeight="1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2.75" customHeight="1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2.75" customHeight="1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2.75" customHeight="1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2.75" customHeight="1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2.75" customHeight="1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2.75" customHeight="1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2.75" customHeight="1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2.75" customHeight="1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2.75" customHeight="1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2.75" customHeight="1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2.75" customHeight="1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2.75" customHeight="1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2.75" customHeight="1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2.75" customHeight="1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2.75" customHeight="1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2.75" customHeight="1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2.75" customHeight="1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2.75" customHeight="1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2.75" customHeight="1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2.75" customHeight="1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2.75" customHeight="1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2.75" customHeight="1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2.75" customHeight="1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2.75" customHeight="1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2.75" customHeight="1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2.75" customHeight="1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2.75" customHeight="1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2.75" customHeight="1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2.75" customHeight="1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2.75" customHeight="1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2.75" customHeight="1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2.75" customHeight="1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2.75" customHeight="1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2.75" customHeight="1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2.75" customHeight="1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2.75" customHeight="1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2.75" customHeight="1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2.75" customHeight="1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2.75" customHeight="1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2.75" customHeight="1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2.75" customHeight="1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2.75" customHeight="1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2.75" customHeight="1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2.75" customHeight="1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2.75" customHeight="1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2.75" customHeight="1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2.75" customHeight="1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2.75" customHeight="1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2.75" customHeight="1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2.75" customHeight="1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2.75" customHeight="1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2.75" customHeight="1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2.75" customHeight="1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2.75" customHeight="1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2.75" customHeight="1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2.75" customHeight="1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2.75" customHeight="1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2.75" customHeight="1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2.75" customHeight="1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2.75" customHeight="1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2.75" customHeight="1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2.75" customHeight="1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2.75" customHeight="1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2.75" customHeight="1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2.75" customHeight="1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2.75" customHeight="1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2.75" customHeight="1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2.75" customHeight="1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2.75" customHeight="1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2.75" customHeight="1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2.75" customHeight="1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2.75" customHeight="1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2.75" customHeight="1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2.75" customHeight="1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2.75" customHeight="1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2.75" customHeight="1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2.75" customHeight="1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2.75" customHeight="1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2.75" customHeight="1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2.75" customHeight="1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2.75" customHeight="1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2.75" customHeight="1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2.75" customHeight="1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2.75" customHeight="1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2.75" customHeight="1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2.75" customHeight="1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2.75" customHeight="1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2.75" customHeight="1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2.75" customHeight="1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2.75" customHeight="1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2.75" customHeight="1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2.75" customHeight="1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2.75" customHeight="1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2.75" customHeight="1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2.75" customHeight="1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2.75" customHeight="1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2.75" customHeight="1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2.75" customHeight="1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2.75" customHeight="1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2.75" customHeight="1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2.75" customHeight="1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2.75" customHeight="1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2.75" customHeight="1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2.75" customHeight="1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2.75" customHeight="1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2.75" customHeight="1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2.75" customHeight="1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2.75" customHeight="1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2.75" customHeight="1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2.75" customHeight="1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2.75" customHeight="1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2.75" customHeight="1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2.75" customHeight="1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2.75" customHeight="1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2.75" customHeight="1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2.75" customHeight="1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2.75" customHeight="1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2.75" customHeight="1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2.75" customHeight="1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2.75" customHeight="1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2.75" customHeight="1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2.75" customHeight="1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2.75" customHeight="1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2.75" customHeight="1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2.75" customHeight="1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2.75" customHeight="1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2.75" customHeight="1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2.75" customHeight="1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2.75" customHeight="1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2.75" customHeight="1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2.75" customHeight="1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2.75" customHeight="1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2.75" customHeight="1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2.75" customHeight="1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2.75" customHeight="1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2.75" customHeight="1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2.75" customHeight="1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2.75" customHeight="1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2.75" customHeight="1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2.75" customHeight="1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2.75" customHeight="1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2.75" customHeight="1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2.75" customHeight="1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2.75" customHeight="1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2.75" customHeight="1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2.75" customHeight="1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2.75" customHeight="1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2.75" customHeight="1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2.75" customHeight="1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2.75" customHeight="1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2.75" customHeight="1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2.75" customHeight="1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2.75" customHeight="1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2.75" customHeight="1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2.75" customHeight="1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2.75" customHeight="1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2.75" customHeight="1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2.75" customHeight="1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2.75" customHeight="1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2.75" customHeight="1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2.75" customHeight="1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2.75" customHeight="1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2.75" customHeight="1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2.75" customHeight="1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2.75" customHeight="1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2.75" customHeight="1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2.75" customHeight="1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2.75" customHeight="1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2.75" customHeight="1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2.75" customHeight="1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2.75" customHeight="1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2.75" customHeight="1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2.75" customHeight="1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2.75" customHeight="1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2.75" customHeight="1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2.75" customHeight="1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2.75" customHeight="1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2.75" customHeight="1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2.75" customHeight="1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2.75" customHeight="1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2.75" customHeight="1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2.75" customHeight="1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2.75" customHeight="1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2.75" customHeight="1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2.75" customHeight="1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2.75" customHeight="1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2.75" customHeight="1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2.75" customHeight="1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</sheetData>
  <mergeCells count="4">
    <mergeCell ref="A7:J7"/>
    <mergeCell ref="A26:J27"/>
    <mergeCell ref="A36:J37"/>
    <mergeCell ref="A57:J58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X167"/>
  <sheetViews>
    <sheetView showGridLines="0" topLeftCell="A151" zoomScale="74" zoomScaleNormal="74" zoomScaleSheetLayoutView="55" workbookViewId="0">
      <selection activeCell="A166" sqref="A166"/>
    </sheetView>
  </sheetViews>
  <sheetFormatPr defaultRowHeight="28.5" customHeight="1"/>
  <cols>
    <col min="1" max="1" width="8.85546875" style="90" customWidth="1"/>
    <col min="2" max="2" width="31.85546875" style="90" customWidth="1"/>
    <col min="3" max="3" width="7.7109375" style="90" bestFit="1" customWidth="1"/>
    <col min="4" max="4" width="6.140625" style="90" customWidth="1"/>
    <col min="5" max="5" width="37.28515625" style="90" customWidth="1"/>
    <col min="6" max="6" width="15.28515625" style="90" customWidth="1"/>
    <col min="7" max="8" width="15" style="96" customWidth="1"/>
    <col min="9" max="9" width="15" style="90" customWidth="1"/>
    <col min="10" max="11" width="15" style="108" customWidth="1"/>
    <col min="12" max="12" width="15" style="109" customWidth="1"/>
    <col min="13" max="13" width="10.7109375" style="109" customWidth="1"/>
    <col min="14" max="14" width="15" style="109" customWidth="1"/>
    <col min="15" max="15" width="23.28515625" style="90" customWidth="1"/>
    <col min="16" max="22" width="6.7109375" style="90" customWidth="1"/>
    <col min="23" max="23" width="8" style="90" customWidth="1"/>
    <col min="24" max="24" width="9.28515625" style="90" customWidth="1"/>
    <col min="25" max="16384" width="9.140625" style="90"/>
  </cols>
  <sheetData>
    <row r="1" spans="1:24" ht="17.25" customHeight="1">
      <c r="A1" s="961"/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2"/>
    </row>
    <row r="2" spans="1:24" ht="17.25" customHeight="1">
      <c r="A2" s="963" t="s">
        <v>26</v>
      </c>
      <c r="B2" s="963"/>
      <c r="C2" s="963"/>
      <c r="D2" s="963"/>
      <c r="E2" s="963"/>
      <c r="F2" s="963"/>
      <c r="G2" s="963"/>
      <c r="H2" s="963"/>
      <c r="I2" s="963"/>
      <c r="J2" s="963"/>
      <c r="K2" s="963"/>
      <c r="L2" s="963"/>
      <c r="M2" s="963"/>
      <c r="N2" s="963"/>
      <c r="O2" s="963"/>
    </row>
    <row r="3" spans="1:24" ht="17.25" customHeight="1">
      <c r="A3" s="963" t="s">
        <v>27</v>
      </c>
      <c r="B3" s="963"/>
      <c r="C3" s="963"/>
      <c r="D3" s="963"/>
      <c r="E3" s="963"/>
      <c r="F3" s="963"/>
      <c r="G3" s="963"/>
      <c r="H3" s="963"/>
      <c r="I3" s="963"/>
      <c r="J3" s="963"/>
      <c r="K3" s="963"/>
      <c r="L3" s="963"/>
      <c r="M3" s="963"/>
      <c r="N3" s="963"/>
      <c r="O3" s="963"/>
    </row>
    <row r="4" spans="1:24" ht="17.25" customHeight="1">
      <c r="A4" s="963" t="s">
        <v>329</v>
      </c>
      <c r="B4" s="963"/>
      <c r="C4" s="963"/>
      <c r="D4" s="963"/>
      <c r="E4" s="963"/>
      <c r="F4" s="963"/>
      <c r="G4" s="963"/>
      <c r="H4" s="963"/>
      <c r="I4" s="963"/>
      <c r="J4" s="963"/>
      <c r="K4" s="963"/>
      <c r="L4" s="963"/>
      <c r="M4" s="963"/>
      <c r="N4" s="963"/>
      <c r="O4" s="963"/>
    </row>
    <row r="5" spans="1:24" ht="17.25" customHeight="1"/>
    <row r="6" spans="1:24" ht="17.25" customHeight="1">
      <c r="A6" s="91"/>
      <c r="B6" s="91"/>
      <c r="C6" s="91"/>
      <c r="D6" s="91"/>
      <c r="E6" s="91"/>
      <c r="F6" s="91"/>
      <c r="G6" s="91"/>
      <c r="H6" s="91"/>
      <c r="I6" s="91"/>
      <c r="J6" s="92"/>
      <c r="K6" s="91"/>
      <c r="L6" s="91"/>
      <c r="M6" s="91"/>
      <c r="N6" s="91"/>
      <c r="O6" s="110"/>
    </row>
    <row r="7" spans="1:24" ht="21.75" customHeight="1" thickBot="1">
      <c r="A7" s="1003" t="s">
        <v>210</v>
      </c>
      <c r="B7" s="1003"/>
      <c r="C7" s="1003"/>
      <c r="D7" s="1003"/>
      <c r="E7" s="1003"/>
      <c r="F7" s="1003"/>
      <c r="G7" s="1003"/>
      <c r="H7" s="1003"/>
      <c r="I7" s="1003"/>
      <c r="J7" s="1003"/>
      <c r="K7" s="1003"/>
      <c r="L7" s="1003"/>
      <c r="M7" s="1003"/>
      <c r="N7" s="1003"/>
      <c r="O7" s="1003"/>
      <c r="P7" s="93"/>
      <c r="Q7" s="93"/>
      <c r="R7" s="93"/>
      <c r="S7" s="93"/>
      <c r="T7" s="93"/>
      <c r="U7" s="93"/>
      <c r="V7" s="93"/>
      <c r="W7" s="93"/>
      <c r="X7" s="93"/>
    </row>
    <row r="8" spans="1:24" s="96" customFormat="1" ht="30" customHeight="1">
      <c r="A8" s="1006" t="s">
        <v>41</v>
      </c>
      <c r="B8" s="1006" t="s">
        <v>42</v>
      </c>
      <c r="C8" s="1006" t="s">
        <v>196</v>
      </c>
      <c r="D8" s="1006" t="s">
        <v>197</v>
      </c>
      <c r="E8" s="994" t="s">
        <v>198</v>
      </c>
      <c r="F8" s="994"/>
      <c r="G8" s="111" t="s">
        <v>199</v>
      </c>
      <c r="H8" s="1008" t="s">
        <v>200</v>
      </c>
      <c r="I8" s="994" t="s">
        <v>211</v>
      </c>
      <c r="J8" s="996" t="s">
        <v>201</v>
      </c>
      <c r="K8" s="996" t="s">
        <v>202</v>
      </c>
      <c r="L8" s="998" t="s">
        <v>203</v>
      </c>
      <c r="M8" s="998" t="s">
        <v>46</v>
      </c>
      <c r="N8" s="998" t="s">
        <v>204</v>
      </c>
      <c r="O8" s="1004" t="s">
        <v>205</v>
      </c>
      <c r="P8" s="94"/>
      <c r="Q8" s="95"/>
      <c r="R8" s="94"/>
      <c r="S8" s="94"/>
      <c r="T8" s="94"/>
      <c r="U8" s="94"/>
    </row>
    <row r="9" spans="1:24" s="96" customFormat="1" ht="37.5" customHeight="1">
      <c r="A9" s="1007"/>
      <c r="B9" s="1007"/>
      <c r="C9" s="1007"/>
      <c r="D9" s="1007"/>
      <c r="E9" s="112" t="s">
        <v>206</v>
      </c>
      <c r="F9" s="112" t="s">
        <v>207</v>
      </c>
      <c r="G9" s="113" t="s">
        <v>208</v>
      </c>
      <c r="H9" s="994"/>
      <c r="I9" s="995"/>
      <c r="J9" s="997"/>
      <c r="K9" s="997"/>
      <c r="L9" s="999"/>
      <c r="M9" s="999"/>
      <c r="N9" s="999"/>
      <c r="O9" s="1005"/>
      <c r="P9" s="97"/>
      <c r="Q9" s="97"/>
      <c r="R9" s="98"/>
      <c r="S9" s="98"/>
      <c r="T9" s="98"/>
      <c r="U9" s="98"/>
      <c r="V9" s="98"/>
      <c r="W9" s="98"/>
    </row>
    <row r="10" spans="1:24" s="96" customFormat="1" ht="24" customHeight="1">
      <c r="A10" s="929">
        <v>1</v>
      </c>
      <c r="B10" s="946" t="s">
        <v>497</v>
      </c>
      <c r="C10" s="929" t="s">
        <v>212</v>
      </c>
      <c r="D10" s="933">
        <v>5</v>
      </c>
      <c r="E10" s="99" t="s">
        <v>510</v>
      </c>
      <c r="F10" s="100">
        <v>569.9</v>
      </c>
      <c r="G10" s="917">
        <f>ROUNDUP(AVERAGE(F10:F14),2)</f>
        <v>562.44000000000005</v>
      </c>
      <c r="H10" s="100">
        <f>IF((F10/G$10)-1&gt;30%,"EXCLUÍDO",IF((F10/G$10)-1&lt;-30%,"EXCLUÍDO",F10))</f>
        <v>569.9</v>
      </c>
      <c r="I10" s="101">
        <f>IF(F10&lt;&gt;0,(F10/$G$10)-1,"")</f>
        <v>1.3263637010169749E-2</v>
      </c>
      <c r="J10" s="917">
        <f>AVERAGE(H10:H14)</f>
        <v>562.43999999999994</v>
      </c>
      <c r="K10" s="920">
        <f>MEDIAN(H10:H14)</f>
        <v>565</v>
      </c>
      <c r="L10" s="917">
        <f>STDEV(H10:H14)</f>
        <v>9.6446487753608903</v>
      </c>
      <c r="M10" s="923">
        <f>L10/J10</f>
        <v>1.71478713735881E-2</v>
      </c>
      <c r="N10" s="917">
        <f>IF(M10&lt;25%,J10,K10)</f>
        <v>562.43999999999994</v>
      </c>
      <c r="O10" s="942">
        <f>N10*D10</f>
        <v>2812.2</v>
      </c>
      <c r="P10" s="97"/>
      <c r="Q10" s="97"/>
      <c r="R10" s="98"/>
      <c r="S10" s="98"/>
      <c r="T10" s="98"/>
      <c r="U10" s="98"/>
      <c r="V10" s="98"/>
      <c r="W10" s="98"/>
    </row>
    <row r="11" spans="1:24" s="96" customFormat="1" ht="24" customHeight="1">
      <c r="A11" s="929"/>
      <c r="B11" s="946"/>
      <c r="C11" s="929"/>
      <c r="D11" s="933"/>
      <c r="E11" s="99" t="s">
        <v>511</v>
      </c>
      <c r="F11" s="100">
        <v>572.04999999999995</v>
      </c>
      <c r="G11" s="918"/>
      <c r="H11" s="100">
        <f>IF((F11/G$10)-1&gt;30%,"EXCLUÍDO",IF((F11/G$10)-1&lt;-30%,"EXCLUÍDO",F11))</f>
        <v>572.04999999999995</v>
      </c>
      <c r="I11" s="101">
        <f>IF(F11&lt;&gt;0,(F11/$G$10)-1,"")</f>
        <v>1.7086266979588816E-2</v>
      </c>
      <c r="J11" s="918"/>
      <c r="K11" s="921"/>
      <c r="L11" s="918"/>
      <c r="M11" s="921"/>
      <c r="N11" s="918"/>
      <c r="O11" s="942"/>
      <c r="P11" s="97"/>
      <c r="Q11" s="97"/>
      <c r="R11" s="98"/>
      <c r="S11" s="98"/>
      <c r="T11" s="98"/>
      <c r="U11" s="98"/>
      <c r="V11" s="98"/>
      <c r="W11" s="98"/>
    </row>
    <row r="12" spans="1:24" s="96" customFormat="1" ht="24" customHeight="1">
      <c r="A12" s="929"/>
      <c r="B12" s="946"/>
      <c r="C12" s="929"/>
      <c r="D12" s="933"/>
      <c r="E12" s="99" t="s">
        <v>228</v>
      </c>
      <c r="F12" s="100">
        <v>549.1</v>
      </c>
      <c r="G12" s="918"/>
      <c r="H12" s="100">
        <f>IF((F12/G$10)-1&gt;30%,"EXCLUÍDO",IF((F12/G$10)-1&lt;-30%,"EXCLUÍDO",F12))</f>
        <v>549.1</v>
      </c>
      <c r="I12" s="101">
        <f>IF(F12&lt;&gt;0,(F12/$G$10)-1,"")</f>
        <v>-2.3718085484674023E-2</v>
      </c>
      <c r="J12" s="918"/>
      <c r="K12" s="921"/>
      <c r="L12" s="918"/>
      <c r="M12" s="921"/>
      <c r="N12" s="918"/>
      <c r="O12" s="942"/>
      <c r="P12" s="97"/>
      <c r="Q12" s="97"/>
      <c r="R12" s="98"/>
      <c r="S12" s="98"/>
      <c r="T12" s="98"/>
      <c r="U12" s="98"/>
      <c r="V12" s="98"/>
      <c r="W12" s="98"/>
    </row>
    <row r="13" spans="1:24" s="96" customFormat="1" ht="24" customHeight="1">
      <c r="A13" s="929"/>
      <c r="B13" s="946"/>
      <c r="C13" s="929"/>
      <c r="D13" s="933"/>
      <c r="E13" s="99" t="s">
        <v>229</v>
      </c>
      <c r="F13" s="100">
        <v>565</v>
      </c>
      <c r="G13" s="918"/>
      <c r="H13" s="100">
        <f>IF((F13/G$10)-1&gt;30%,"EXCLUÍDO",IF((F13/G$10)-1&lt;-30%,"EXCLUÍDO",F13))</f>
        <v>565</v>
      </c>
      <c r="I13" s="101">
        <f>IF(F13&lt;&gt;0,(F13/$G$10)-1,"")</f>
        <v>4.5515966147500198E-3</v>
      </c>
      <c r="J13" s="918"/>
      <c r="K13" s="921"/>
      <c r="L13" s="918"/>
      <c r="M13" s="921"/>
      <c r="N13" s="918"/>
      <c r="O13" s="942"/>
      <c r="P13" s="97"/>
      <c r="Q13" s="97"/>
      <c r="R13" s="98"/>
      <c r="S13" s="98"/>
      <c r="T13" s="98"/>
      <c r="U13" s="98"/>
      <c r="V13" s="98"/>
      <c r="W13" s="98"/>
    </row>
    <row r="14" spans="1:24" s="96" customFormat="1" ht="24" customHeight="1">
      <c r="A14" s="929"/>
      <c r="B14" s="946"/>
      <c r="C14" s="929"/>
      <c r="D14" s="933"/>
      <c r="E14" s="99" t="s">
        <v>512</v>
      </c>
      <c r="F14" s="100">
        <v>556.15</v>
      </c>
      <c r="G14" s="919"/>
      <c r="H14" s="100">
        <f>IF((F14/G$10)-1&gt;30%,"EXCLUÍDO",IF((F14/G$10)-1&lt;-30%,"EXCLUÍDO",F14))</f>
        <v>556.15</v>
      </c>
      <c r="I14" s="101">
        <f>IF(F14&lt;&gt;0,(F14/$G$10)-1,"")</f>
        <v>-1.1183415119835116E-2</v>
      </c>
      <c r="J14" s="919"/>
      <c r="K14" s="922"/>
      <c r="L14" s="919"/>
      <c r="M14" s="922"/>
      <c r="N14" s="919"/>
      <c r="O14" s="942"/>
      <c r="P14" s="97"/>
      <c r="Q14" s="97"/>
      <c r="R14" s="98"/>
      <c r="S14" s="98"/>
      <c r="T14" s="98"/>
      <c r="U14" s="98"/>
      <c r="V14" s="98"/>
      <c r="W14" s="98"/>
    </row>
    <row r="15" spans="1:24" s="96" customFormat="1" ht="24" customHeight="1">
      <c r="A15" s="937">
        <v>2</v>
      </c>
      <c r="B15" s="953" t="s">
        <v>504</v>
      </c>
      <c r="C15" s="937" t="s">
        <v>196</v>
      </c>
      <c r="D15" s="1014">
        <v>16</v>
      </c>
      <c r="E15" s="102" t="s">
        <v>503</v>
      </c>
      <c r="F15" s="103">
        <v>154.9</v>
      </c>
      <c r="G15" s="914">
        <f>ROUNDUP(AVERAGE(F15:F19),2)</f>
        <v>173.12</v>
      </c>
      <c r="H15" s="104">
        <f>IF((F15/G$15)-1&gt;30%,"EXCLUÍDO",IF((F15/G$15)-1&lt;-30%,"EXCLUÍDO",F15))</f>
        <v>154.9</v>
      </c>
      <c r="I15" s="105">
        <f>IF(F15&lt;&gt;0,(F15/$G$15)-1,"")</f>
        <v>-0.10524491682070236</v>
      </c>
      <c r="J15" s="1000">
        <f>AVERAGE(H15:H19)</f>
        <v>173.12</v>
      </c>
      <c r="K15" s="924">
        <f>MEDIAN(H15:H19)</f>
        <v>174.9</v>
      </c>
      <c r="L15" s="1000">
        <f>STDEV(H15:H19)</f>
        <v>11.804321242663814</v>
      </c>
      <c r="M15" s="1015">
        <f>L15/J15</f>
        <v>6.8185774276015562E-2</v>
      </c>
      <c r="N15" s="914">
        <f>IF(M15&lt;25%,J15,K15)</f>
        <v>173.12</v>
      </c>
      <c r="O15" s="1009">
        <f>N15*D15</f>
        <v>2769.92</v>
      </c>
      <c r="P15" s="97"/>
      <c r="Q15" s="97"/>
      <c r="R15" s="106"/>
      <c r="S15" s="97"/>
      <c r="T15" s="106"/>
      <c r="U15" s="107"/>
    </row>
    <row r="16" spans="1:24" s="96" customFormat="1" ht="24" customHeight="1">
      <c r="A16" s="937"/>
      <c r="B16" s="953"/>
      <c r="C16" s="937"/>
      <c r="D16" s="1014"/>
      <c r="E16" s="102" t="s">
        <v>505</v>
      </c>
      <c r="F16" s="103">
        <v>179.9</v>
      </c>
      <c r="G16" s="915"/>
      <c r="H16" s="104">
        <f>IF((F16/G$15)-1&gt;30%,"EXCLUÍDO",IF((F16/G$15)-1&lt;-30%,"EXCLUÍDO",F16))</f>
        <v>179.9</v>
      </c>
      <c r="I16" s="105">
        <f>IF(F16&lt;&gt;0,(F16/$G$15)-1,"")</f>
        <v>3.9163585951940805E-2</v>
      </c>
      <c r="J16" s="1001"/>
      <c r="K16" s="925"/>
      <c r="L16" s="1001"/>
      <c r="M16" s="1016"/>
      <c r="N16" s="915"/>
      <c r="O16" s="1009"/>
      <c r="P16" s="97"/>
      <c r="Q16" s="97"/>
      <c r="R16" s="106"/>
      <c r="S16" s="97"/>
      <c r="T16" s="106"/>
      <c r="U16" s="107"/>
    </row>
    <row r="17" spans="1:23" s="96" customFormat="1" ht="24" customHeight="1">
      <c r="A17" s="937"/>
      <c r="B17" s="953"/>
      <c r="C17" s="937"/>
      <c r="D17" s="1014"/>
      <c r="E17" s="102" t="s">
        <v>506</v>
      </c>
      <c r="F17" s="103">
        <v>174.9</v>
      </c>
      <c r="G17" s="915"/>
      <c r="H17" s="104">
        <f>IF((F17/G$15)-1&gt;30%,"EXCLUÍDO",IF((F17/G$15)-1&lt;-30%,"EXCLUÍDO",F17))</f>
        <v>174.9</v>
      </c>
      <c r="I17" s="105">
        <f>IF(F17&lt;&gt;0,(F17/$G$15)-1,"")</f>
        <v>1.028188539741226E-2</v>
      </c>
      <c r="J17" s="1001"/>
      <c r="K17" s="925"/>
      <c r="L17" s="1001"/>
      <c r="M17" s="1016"/>
      <c r="N17" s="915"/>
      <c r="O17" s="1009"/>
      <c r="P17" s="97"/>
      <c r="Q17" s="97"/>
      <c r="R17" s="106"/>
      <c r="S17" s="97"/>
      <c r="T17" s="106"/>
      <c r="U17" s="107"/>
    </row>
    <row r="18" spans="1:23" s="96" customFormat="1" ht="24" customHeight="1">
      <c r="A18" s="937"/>
      <c r="B18" s="1013"/>
      <c r="C18" s="937"/>
      <c r="D18" s="1014"/>
      <c r="E18" s="102" t="s">
        <v>507</v>
      </c>
      <c r="F18" s="103">
        <v>186</v>
      </c>
      <c r="G18" s="915"/>
      <c r="H18" s="104">
        <f>IF((F18/G$15)-1&gt;30%,"EXCLUÍDO",IF((F18/G$15)-1&lt;-30%,"EXCLUÍDO",F18))</f>
        <v>186</v>
      </c>
      <c r="I18" s="105">
        <f>IF(F18&lt;&gt;0,(F18/$G$15)-1,"")</f>
        <v>7.4399260628465802E-2</v>
      </c>
      <c r="J18" s="1001"/>
      <c r="K18" s="925"/>
      <c r="L18" s="1001"/>
      <c r="M18" s="1016"/>
      <c r="N18" s="915"/>
      <c r="O18" s="1009"/>
      <c r="P18" s="97"/>
      <c r="Q18" s="97"/>
      <c r="R18" s="106"/>
      <c r="S18" s="97"/>
      <c r="T18" s="106"/>
      <c r="U18" s="107"/>
    </row>
    <row r="19" spans="1:23" s="96" customFormat="1" ht="24" customHeight="1">
      <c r="A19" s="937"/>
      <c r="B19" s="1013"/>
      <c r="C19" s="937"/>
      <c r="D19" s="1014"/>
      <c r="E19" s="102" t="s">
        <v>509</v>
      </c>
      <c r="F19" s="103">
        <v>169.9</v>
      </c>
      <c r="G19" s="916"/>
      <c r="H19" s="104">
        <f>IF((F19/G$15)-1&gt;30%,"EXCLUÍDO",IF((F19/G$15)-1&lt;-30%,"EXCLUÍDO",F19))</f>
        <v>169.9</v>
      </c>
      <c r="I19" s="105">
        <f>IF(F19&lt;&gt;0,(F19/$G$15)-1,"")</f>
        <v>-1.8599815157116395E-2</v>
      </c>
      <c r="J19" s="1002"/>
      <c r="K19" s="926"/>
      <c r="L19" s="1002"/>
      <c r="M19" s="1017"/>
      <c r="N19" s="916"/>
      <c r="O19" s="1009"/>
      <c r="P19" s="97"/>
      <c r="Q19" s="97"/>
      <c r="R19" s="106"/>
      <c r="S19" s="97"/>
      <c r="T19" s="106"/>
      <c r="U19" s="107"/>
    </row>
    <row r="20" spans="1:23" s="96" customFormat="1" ht="24" customHeight="1">
      <c r="A20" s="929">
        <v>3</v>
      </c>
      <c r="B20" s="1012" t="s">
        <v>498</v>
      </c>
      <c r="C20" s="929" t="s">
        <v>196</v>
      </c>
      <c r="D20" s="933">
        <v>2</v>
      </c>
      <c r="E20" s="99" t="s">
        <v>238</v>
      </c>
      <c r="F20" s="100">
        <v>1865.3</v>
      </c>
      <c r="G20" s="917">
        <f>ROUNDUP(AVERAGE(F20:F24),2)</f>
        <v>2093.27</v>
      </c>
      <c r="H20" s="100">
        <f>IF((F20/G$20)-1&gt;30%,"EXCLUÍDO",IF((F20/G$20)-1&lt;-30%,"EXCLUÍDO",F20))</f>
        <v>1865.3</v>
      </c>
      <c r="I20" s="101">
        <f>IF(F20&lt;&gt;0,(F20/$G$20)-1,"")</f>
        <v>-0.10890616117366614</v>
      </c>
      <c r="J20" s="917">
        <f>AVERAGE(H20:H24)</f>
        <v>2093.27</v>
      </c>
      <c r="K20" s="920">
        <f>MEDIAN(H20:H24)</f>
        <v>1899</v>
      </c>
      <c r="L20" s="917">
        <f>STDEV(H20:H24)</f>
        <v>349.8070621070982</v>
      </c>
      <c r="M20" s="923">
        <f>L20/J20</f>
        <v>0.16711034033215888</v>
      </c>
      <c r="N20" s="917">
        <f>IF(M20&lt;25%,J20,K20)</f>
        <v>2093.27</v>
      </c>
      <c r="O20" s="942">
        <f>N20*D20</f>
        <v>4186.54</v>
      </c>
      <c r="P20" s="97"/>
      <c r="Q20" s="97"/>
      <c r="R20" s="98"/>
      <c r="S20" s="98"/>
      <c r="T20" s="98"/>
      <c r="U20" s="98"/>
      <c r="V20" s="98"/>
      <c r="W20" s="98"/>
    </row>
    <row r="21" spans="1:23" s="96" customFormat="1" ht="24" customHeight="1">
      <c r="A21" s="929"/>
      <c r="B21" s="1012"/>
      <c r="C21" s="929"/>
      <c r="D21" s="933"/>
      <c r="E21" s="196" t="s">
        <v>235</v>
      </c>
      <c r="F21" s="100">
        <v>2199.9</v>
      </c>
      <c r="G21" s="918"/>
      <c r="H21" s="100">
        <f>IF((F21/G$20)-1&gt;30%,"EXCLUÍDO",IF((F21/G$20)-1&lt;-30%,"EXCLUÍDO",F21))</f>
        <v>2199.9</v>
      </c>
      <c r="I21" s="101">
        <f>IF(F21&lt;&gt;0,(F21/$G$20)-1,"")</f>
        <v>5.0939439250550667E-2</v>
      </c>
      <c r="J21" s="918"/>
      <c r="K21" s="921"/>
      <c r="L21" s="918"/>
      <c r="M21" s="921"/>
      <c r="N21" s="918"/>
      <c r="O21" s="942"/>
      <c r="P21" s="97"/>
      <c r="Q21" s="97"/>
      <c r="R21" s="98"/>
      <c r="S21" s="98"/>
      <c r="T21" s="98"/>
      <c r="U21" s="98"/>
      <c r="V21" s="98"/>
      <c r="W21" s="98"/>
    </row>
    <row r="22" spans="1:23" s="96" customFormat="1" ht="24" customHeight="1">
      <c r="A22" s="929"/>
      <c r="B22" s="1012"/>
      <c r="C22" s="929"/>
      <c r="D22" s="933"/>
      <c r="E22" s="196" t="s">
        <v>484</v>
      </c>
      <c r="F22" s="100">
        <v>1839.63</v>
      </c>
      <c r="G22" s="918"/>
      <c r="H22" s="100">
        <f>IF((F22/G$20)-1&gt;30%,"EXCLUÍDO",IF((F22/G$20)-1&lt;-30%,"EXCLUÍDO",F22))</f>
        <v>1839.63</v>
      </c>
      <c r="I22" s="101">
        <f>IF(F22&lt;&gt;0,(F22/$G$20)-1,"")</f>
        <v>-0.12116927104482456</v>
      </c>
      <c r="J22" s="918"/>
      <c r="K22" s="921"/>
      <c r="L22" s="918"/>
      <c r="M22" s="921"/>
      <c r="N22" s="918"/>
      <c r="O22" s="942"/>
      <c r="P22" s="97"/>
      <c r="Q22" s="97"/>
      <c r="R22" s="98"/>
      <c r="S22" s="98"/>
      <c r="T22" s="98"/>
      <c r="U22" s="98"/>
      <c r="V22" s="98"/>
      <c r="W22" s="98"/>
    </row>
    <row r="23" spans="1:23" s="96" customFormat="1" ht="24" customHeight="1">
      <c r="A23" s="929"/>
      <c r="B23" s="1012"/>
      <c r="C23" s="929"/>
      <c r="D23" s="933"/>
      <c r="E23" s="99" t="s">
        <v>485</v>
      </c>
      <c r="F23" s="100">
        <v>1899</v>
      </c>
      <c r="G23" s="918"/>
      <c r="H23" s="100">
        <f>IF((F23/G$20)-1&gt;30%,"EXCLUÍDO",IF((F23/G$20)-1&lt;-30%,"EXCLUÍDO",F23))</f>
        <v>1899</v>
      </c>
      <c r="I23" s="101">
        <f>IF(F23&lt;&gt;0,(F23/$G$20)-1,"")</f>
        <v>-9.280694798091027E-2</v>
      </c>
      <c r="J23" s="918"/>
      <c r="K23" s="921"/>
      <c r="L23" s="918"/>
      <c r="M23" s="921"/>
      <c r="N23" s="918"/>
      <c r="O23" s="942"/>
      <c r="P23" s="97"/>
      <c r="Q23" s="97"/>
      <c r="R23" s="98"/>
      <c r="S23" s="98"/>
      <c r="T23" s="98"/>
      <c r="U23" s="98"/>
      <c r="V23" s="98"/>
      <c r="W23" s="98"/>
    </row>
    <row r="24" spans="1:23" s="96" customFormat="1" ht="24" customHeight="1">
      <c r="A24" s="929"/>
      <c r="B24" s="1012"/>
      <c r="C24" s="929"/>
      <c r="D24" s="933"/>
      <c r="E24" s="99" t="s">
        <v>486</v>
      </c>
      <c r="F24" s="100">
        <v>2662.52</v>
      </c>
      <c r="G24" s="919"/>
      <c r="H24" s="100">
        <f>IF((F24/G$20)-1&gt;30%,"EXCLUÍDO",IF((F24/G$20)-1&lt;-30%,"EXCLUÍDO",F24))</f>
        <v>2662.52</v>
      </c>
      <c r="I24" s="101">
        <f>IF(F24&lt;&gt;0,(F24/$G$20)-1,"")</f>
        <v>0.2719429409488503</v>
      </c>
      <c r="J24" s="919"/>
      <c r="K24" s="922"/>
      <c r="L24" s="919"/>
      <c r="M24" s="922"/>
      <c r="N24" s="919"/>
      <c r="O24" s="942"/>
      <c r="P24" s="97"/>
      <c r="Q24" s="97"/>
      <c r="R24" s="98"/>
      <c r="S24" s="98"/>
      <c r="T24" s="98"/>
      <c r="U24" s="98"/>
      <c r="V24" s="98"/>
      <c r="W24" s="98"/>
    </row>
    <row r="25" spans="1:23" s="96" customFormat="1" ht="24" customHeight="1">
      <c r="A25" s="937">
        <v>4</v>
      </c>
      <c r="B25" s="953" t="s">
        <v>496</v>
      </c>
      <c r="C25" s="937" t="s">
        <v>196</v>
      </c>
      <c r="D25" s="1014">
        <v>1</v>
      </c>
      <c r="E25" s="102" t="s">
        <v>231</v>
      </c>
      <c r="F25" s="103">
        <v>78491.44</v>
      </c>
      <c r="G25" s="914">
        <f>ROUNDUP(AVERAGE(F25:F29),2)</f>
        <v>76916.599999999991</v>
      </c>
      <c r="H25" s="103">
        <f>IF((F25/G$25)-1&gt;30%,"EXCLUÍDO",IF((F25/G$25)-1&lt;-30%,"EXCLUÍDO",F25))</f>
        <v>78491.44</v>
      </c>
      <c r="I25" s="105">
        <f>IF(F25&lt;&gt;0,(F25/$G$25)-1,"")</f>
        <v>2.0474643965022077E-2</v>
      </c>
      <c r="J25" s="1000">
        <f>AVERAGE(H25:H29)</f>
        <v>76916.593333333338</v>
      </c>
      <c r="K25" s="924">
        <f>MEDIAN(H25:H29)</f>
        <v>78310.34</v>
      </c>
      <c r="L25" s="1000">
        <f>STDEV(H25:H29)</f>
        <v>2572.4713966406898</v>
      </c>
      <c r="M25" s="1015">
        <f>L25/J25</f>
        <v>3.3444947119438503E-2</v>
      </c>
      <c r="N25" s="914">
        <f>IF(M25&lt;25%,J25,K25)</f>
        <v>76916.593333333338</v>
      </c>
      <c r="O25" s="1009">
        <f>N25*D25</f>
        <v>76916.593333333338</v>
      </c>
      <c r="P25" s="97"/>
      <c r="Q25" s="97"/>
      <c r="R25" s="106"/>
      <c r="S25" s="97"/>
      <c r="T25" s="106"/>
      <c r="U25" s="107"/>
    </row>
    <row r="26" spans="1:23" s="96" customFormat="1" ht="24" customHeight="1">
      <c r="A26" s="937"/>
      <c r="B26" s="953"/>
      <c r="C26" s="937"/>
      <c r="D26" s="1014"/>
      <c r="E26" s="102" t="s">
        <v>232</v>
      </c>
      <c r="F26" s="103">
        <v>73948</v>
      </c>
      <c r="G26" s="915"/>
      <c r="H26" s="103">
        <f>IF((F26/G$25)-1&gt;30%,"EXCLUÍDO",IF((F26/G$25)-1&lt;-30%,"EXCLUÍDO",F26))</f>
        <v>73948</v>
      </c>
      <c r="I26" s="105">
        <f>IF(F26&lt;&gt;0,(F26/$G$25)-1,"")</f>
        <v>-3.8595049703184947E-2</v>
      </c>
      <c r="J26" s="1001"/>
      <c r="K26" s="925"/>
      <c r="L26" s="1001"/>
      <c r="M26" s="1016"/>
      <c r="N26" s="915"/>
      <c r="O26" s="1009"/>
      <c r="P26" s="97"/>
      <c r="Q26" s="97"/>
      <c r="R26" s="106"/>
      <c r="S26" s="97"/>
      <c r="T26" s="106"/>
      <c r="U26" s="107"/>
    </row>
    <row r="27" spans="1:23" s="96" customFormat="1" ht="24" customHeight="1">
      <c r="A27" s="937"/>
      <c r="B27" s="953"/>
      <c r="C27" s="937"/>
      <c r="D27" s="1014"/>
      <c r="E27" s="102" t="s">
        <v>249</v>
      </c>
      <c r="F27" s="103">
        <v>78310.34</v>
      </c>
      <c r="G27" s="915"/>
      <c r="H27" s="103">
        <f>IF((F27/G$25)-1&gt;30%,"EXCLUÍDO",IF((F27/G$25)-1&lt;-30%,"EXCLUÍDO",F27))</f>
        <v>78310.34</v>
      </c>
      <c r="I27" s="105">
        <f>IF(F27&lt;&gt;0,(F27/$G$25)-1,"")</f>
        <v>1.8120145716269409E-2</v>
      </c>
      <c r="J27" s="1001"/>
      <c r="K27" s="925"/>
      <c r="L27" s="1001"/>
      <c r="M27" s="1016"/>
      <c r="N27" s="915"/>
      <c r="O27" s="1009"/>
      <c r="P27" s="97"/>
      <c r="Q27" s="97"/>
      <c r="R27" s="106"/>
      <c r="S27" s="97"/>
      <c r="T27" s="106"/>
      <c r="U27" s="107"/>
    </row>
    <row r="28" spans="1:23" s="96" customFormat="1" ht="24" customHeight="1">
      <c r="A28" s="937"/>
      <c r="B28" s="953"/>
      <c r="C28" s="937"/>
      <c r="D28" s="1014"/>
      <c r="E28" s="102"/>
      <c r="F28" s="103"/>
      <c r="G28" s="915"/>
      <c r="H28" s="103" t="str">
        <f>IF((F28/G$25)-1&gt;30%,"EXCLUÍDO",IF((F28/G$25)-1&lt;-30%,"EXCLUÍDO",F28))</f>
        <v>EXCLUÍDO</v>
      </c>
      <c r="I28" s="105" t="str">
        <f>IF(F28&lt;&gt;0,(F28/$G$25)-1,"")</f>
        <v/>
      </c>
      <c r="J28" s="1001"/>
      <c r="K28" s="925"/>
      <c r="L28" s="1001"/>
      <c r="M28" s="1016"/>
      <c r="N28" s="915"/>
      <c r="O28" s="1009"/>
      <c r="P28" s="97"/>
      <c r="Q28" s="97"/>
      <c r="R28" s="106"/>
      <c r="S28" s="97"/>
      <c r="T28" s="106"/>
      <c r="U28" s="107"/>
    </row>
    <row r="29" spans="1:23" s="96" customFormat="1" ht="24" customHeight="1">
      <c r="A29" s="937"/>
      <c r="B29" s="953"/>
      <c r="C29" s="937"/>
      <c r="D29" s="1014"/>
      <c r="E29" s="102"/>
      <c r="F29" s="103"/>
      <c r="G29" s="916"/>
      <c r="H29" s="103" t="str">
        <f>IF((F29/G$25)-1&gt;30%,"EXCLUÍDO",IF((F29/G$25)-1&lt;-30%,"EXCLUÍDO",F29))</f>
        <v>EXCLUÍDO</v>
      </c>
      <c r="I29" s="105" t="str">
        <f>IF(F29&lt;&gt;0,(F29/$G$25)-1,"")</f>
        <v/>
      </c>
      <c r="J29" s="1002"/>
      <c r="K29" s="926"/>
      <c r="L29" s="1002"/>
      <c r="M29" s="1017"/>
      <c r="N29" s="916"/>
      <c r="O29" s="1009"/>
      <c r="P29" s="97"/>
      <c r="Q29" s="97"/>
      <c r="R29" s="106"/>
      <c r="S29" s="97"/>
      <c r="T29" s="106"/>
      <c r="U29" s="107"/>
    </row>
    <row r="30" spans="1:23" s="96" customFormat="1" ht="24" customHeight="1">
      <c r="A30" s="929">
        <v>5</v>
      </c>
      <c r="B30" s="946" t="s">
        <v>494</v>
      </c>
      <c r="C30" s="929" t="s">
        <v>196</v>
      </c>
      <c r="D30" s="933">
        <v>1</v>
      </c>
      <c r="E30" s="99" t="s">
        <v>233</v>
      </c>
      <c r="F30" s="100">
        <v>10250</v>
      </c>
      <c r="G30" s="917">
        <f>ROUNDUP(AVERAGE(F30:F34),2)</f>
        <v>13654.52</v>
      </c>
      <c r="H30" s="100">
        <f>IF((F30/G$30)-1&gt;30%,"EXCLUÍDO",IF((F30/G$30)-1&lt;-30%,"EXCLUÍDO",F30))</f>
        <v>10250</v>
      </c>
      <c r="I30" s="101">
        <f>IF(F30&lt;&gt;0,(F30/$G$30)-1,"")</f>
        <v>-0.24933282165905502</v>
      </c>
      <c r="J30" s="917">
        <f>AVERAGE(H30:H34)</f>
        <v>13654.516</v>
      </c>
      <c r="K30" s="920">
        <f>MEDIAN(H30:H34)</f>
        <v>14244.68</v>
      </c>
      <c r="L30" s="917">
        <f>STDEV(H30:H34)</f>
        <v>2058.8524923558684</v>
      </c>
      <c r="M30" s="923">
        <f>L30/J30</f>
        <v>0.15078179939558961</v>
      </c>
      <c r="N30" s="917">
        <f>IF(M30&lt;25%,J30,K30)</f>
        <v>13654.516</v>
      </c>
      <c r="O30" s="942">
        <f>N30*D30</f>
        <v>13654.516</v>
      </c>
      <c r="P30" s="97"/>
      <c r="Q30" s="97"/>
      <c r="R30" s="98"/>
      <c r="S30" s="98"/>
      <c r="T30" s="98"/>
      <c r="U30" s="98"/>
      <c r="V30" s="98"/>
      <c r="W30" s="98"/>
    </row>
    <row r="31" spans="1:23" s="96" customFormat="1" ht="24" customHeight="1">
      <c r="A31" s="929"/>
      <c r="B31" s="946"/>
      <c r="C31" s="929"/>
      <c r="D31" s="933"/>
      <c r="E31" s="99" t="s">
        <v>234</v>
      </c>
      <c r="F31" s="100">
        <v>14244.68</v>
      </c>
      <c r="G31" s="918"/>
      <c r="H31" s="100">
        <f>IF((F31/G$30)-1&gt;30%,"EXCLUÍDO",IF((F31/G$30)-1&lt;-30%,"EXCLUÍDO",F31))</f>
        <v>14244.68</v>
      </c>
      <c r="I31" s="101">
        <f>IF(F31&lt;&gt;0,(F31/$G$30)-1,"")</f>
        <v>4.322085287509192E-2</v>
      </c>
      <c r="J31" s="918"/>
      <c r="K31" s="921"/>
      <c r="L31" s="918"/>
      <c r="M31" s="921"/>
      <c r="N31" s="918"/>
      <c r="O31" s="942"/>
      <c r="P31" s="97"/>
      <c r="Q31" s="97"/>
      <c r="R31" s="98"/>
      <c r="S31" s="98"/>
      <c r="T31" s="98"/>
      <c r="U31" s="98"/>
      <c r="V31" s="98"/>
      <c r="W31" s="98"/>
    </row>
    <row r="32" spans="1:23" s="96" customFormat="1" ht="24" customHeight="1">
      <c r="A32" s="929"/>
      <c r="B32" s="946"/>
      <c r="C32" s="929"/>
      <c r="D32" s="933"/>
      <c r="E32" s="99" t="s">
        <v>228</v>
      </c>
      <c r="F32" s="100">
        <v>15679</v>
      </c>
      <c r="G32" s="918"/>
      <c r="H32" s="100">
        <f>IF((F32/G$30)-1&gt;30%,"EXCLUÍDO",IF((F32/G$30)-1&lt;-30%,"EXCLUÍDO",F32))</f>
        <v>15679</v>
      </c>
      <c r="I32" s="101">
        <f>IF(F32&lt;&gt;0,(F32/$G$30)-1,"")</f>
        <v>0.14826445748367578</v>
      </c>
      <c r="J32" s="918"/>
      <c r="K32" s="921"/>
      <c r="L32" s="918"/>
      <c r="M32" s="921"/>
      <c r="N32" s="918"/>
      <c r="O32" s="942"/>
      <c r="P32" s="97"/>
      <c r="Q32" s="97"/>
      <c r="R32" s="98"/>
      <c r="S32" s="98"/>
      <c r="T32" s="98"/>
      <c r="U32" s="98"/>
      <c r="V32" s="98"/>
      <c r="W32" s="98"/>
    </row>
    <row r="33" spans="1:23" s="96" customFormat="1" ht="24" customHeight="1">
      <c r="A33" s="929"/>
      <c r="B33" s="946"/>
      <c r="C33" s="929"/>
      <c r="D33" s="933"/>
      <c r="E33" s="99" t="s">
        <v>235</v>
      </c>
      <c r="F33" s="100">
        <v>14599.9</v>
      </c>
      <c r="G33" s="918"/>
      <c r="H33" s="100">
        <f>IF((F33/G$30)-1&gt;30%,"EXCLUÍDO",IF((F33/G$30)-1&lt;-30%,"EXCLUÍDO",F33))</f>
        <v>14599.9</v>
      </c>
      <c r="I33" s="101">
        <f>IF(F33&lt;&gt;0,(F33/$G$30)-1,"")</f>
        <v>6.9235681664386428E-2</v>
      </c>
      <c r="J33" s="918"/>
      <c r="K33" s="921"/>
      <c r="L33" s="918"/>
      <c r="M33" s="921"/>
      <c r="N33" s="918"/>
      <c r="O33" s="942"/>
      <c r="P33" s="97"/>
      <c r="Q33" s="97"/>
      <c r="R33" s="98"/>
      <c r="S33" s="98"/>
      <c r="T33" s="98"/>
      <c r="U33" s="98"/>
      <c r="V33" s="98"/>
      <c r="W33" s="98"/>
    </row>
    <row r="34" spans="1:23" s="96" customFormat="1" ht="24" customHeight="1">
      <c r="A34" s="929"/>
      <c r="B34" s="946"/>
      <c r="C34" s="929"/>
      <c r="D34" s="933"/>
      <c r="E34" s="99" t="s">
        <v>236</v>
      </c>
      <c r="F34" s="100">
        <v>13499</v>
      </c>
      <c r="G34" s="919"/>
      <c r="H34" s="100">
        <f>IF((F34/G$30)-1&gt;30%,"EXCLUÍDO",IF((F34/G$30)-1&lt;-30%,"EXCLUÍDO",F34))</f>
        <v>13499</v>
      </c>
      <c r="I34" s="101">
        <f>IF(F34&lt;&gt;0,(F34/$G$30)-1,"")</f>
        <v>-1.1389635080544802E-2</v>
      </c>
      <c r="J34" s="919"/>
      <c r="K34" s="922"/>
      <c r="L34" s="919"/>
      <c r="M34" s="922"/>
      <c r="N34" s="919"/>
      <c r="O34" s="942"/>
      <c r="P34" s="97"/>
      <c r="Q34" s="97"/>
      <c r="R34" s="98"/>
      <c r="S34" s="98"/>
      <c r="T34" s="98"/>
      <c r="U34" s="98"/>
      <c r="V34" s="98"/>
      <c r="W34" s="98"/>
    </row>
    <row r="35" spans="1:23" s="96" customFormat="1" ht="24" customHeight="1">
      <c r="A35" s="937">
        <v>6</v>
      </c>
      <c r="B35" s="953" t="s">
        <v>495</v>
      </c>
      <c r="C35" s="937" t="s">
        <v>196</v>
      </c>
      <c r="D35" s="1014">
        <v>4</v>
      </c>
      <c r="E35" s="102" t="s">
        <v>234</v>
      </c>
      <c r="F35" s="103">
        <v>1620.11</v>
      </c>
      <c r="G35" s="914">
        <f>ROUNDUP(AVERAGE(F35:F39),2)</f>
        <v>1671.44</v>
      </c>
      <c r="H35" s="103">
        <f>IF((F35/G$35)-1&gt;30%,"EXCLUÍDO",IF((F35/G$35)-1&lt;-30%,"EXCLUÍDO",F35))</f>
        <v>1620.11</v>
      </c>
      <c r="I35" s="105">
        <f>IF(F35&lt;&gt;0,(F35/$G$35)-1,"")</f>
        <v>-3.0710046427033122E-2</v>
      </c>
      <c r="J35" s="1000">
        <f>AVERAGE(H35:H39)</f>
        <v>1671.4349999999999</v>
      </c>
      <c r="K35" s="924">
        <f>MEDIAN(H35:H39)</f>
        <v>1661.2550000000001</v>
      </c>
      <c r="L35" s="1000">
        <f>STDEV(H35:H39)</f>
        <v>75.756649213120866</v>
      </c>
      <c r="M35" s="1015">
        <f>L35/J35</f>
        <v>4.5324316657914226E-2</v>
      </c>
      <c r="N35" s="914">
        <f>IF(M35&lt;25%,J35,K35)</f>
        <v>1671.4349999999999</v>
      </c>
      <c r="O35" s="1009">
        <f>N35*D35</f>
        <v>6685.74</v>
      </c>
      <c r="P35" s="97"/>
      <c r="Q35" s="97"/>
      <c r="R35" s="106"/>
      <c r="S35" s="97"/>
      <c r="T35" s="106"/>
      <c r="U35" s="107"/>
    </row>
    <row r="36" spans="1:23" s="96" customFormat="1" ht="24" customHeight="1">
      <c r="A36" s="937"/>
      <c r="B36" s="953"/>
      <c r="C36" s="937"/>
      <c r="D36" s="1014"/>
      <c r="E36" s="102" t="s">
        <v>228</v>
      </c>
      <c r="F36" s="103">
        <v>1599.71</v>
      </c>
      <c r="G36" s="915"/>
      <c r="H36" s="103">
        <f>IF((F36/G$35)-1&gt;30%,"EXCLUÍDO",IF((F36/G$35)-1&lt;-30%,"EXCLUÍDO",F36))</f>
        <v>1599.71</v>
      </c>
      <c r="I36" s="105">
        <f>IF(F36&lt;&gt;0,(F36/$G$35)-1,"")</f>
        <v>-4.2915091178863718E-2</v>
      </c>
      <c r="J36" s="1001"/>
      <c r="K36" s="925"/>
      <c r="L36" s="1001"/>
      <c r="M36" s="1016"/>
      <c r="N36" s="915"/>
      <c r="O36" s="1009"/>
      <c r="P36" s="97"/>
      <c r="Q36" s="97"/>
      <c r="R36" s="106"/>
      <c r="S36" s="97"/>
      <c r="T36" s="106"/>
      <c r="U36" s="107"/>
    </row>
    <row r="37" spans="1:23" s="96" customFormat="1" ht="24" customHeight="1">
      <c r="A37" s="937"/>
      <c r="B37" s="953"/>
      <c r="C37" s="937"/>
      <c r="D37" s="1014"/>
      <c r="E37" s="102" t="s">
        <v>237</v>
      </c>
      <c r="F37" s="103">
        <v>1763.52</v>
      </c>
      <c r="G37" s="915"/>
      <c r="H37" s="103">
        <f>IF((F37/G$35)-1&gt;30%,"EXCLUÍDO",IF((F37/G$35)-1&lt;-30%,"EXCLUÍDO",F37))</f>
        <v>1763.52</v>
      </c>
      <c r="I37" s="105">
        <f>IF(F37&lt;&gt;0,(F37/$G$35)-1,"")</f>
        <v>5.5090221605322398E-2</v>
      </c>
      <c r="J37" s="1001"/>
      <c r="K37" s="925"/>
      <c r="L37" s="1001"/>
      <c r="M37" s="1016"/>
      <c r="N37" s="915"/>
      <c r="O37" s="1009"/>
      <c r="P37" s="97"/>
      <c r="Q37" s="97"/>
      <c r="R37" s="106"/>
      <c r="S37" s="97"/>
      <c r="T37" s="106"/>
      <c r="U37" s="107"/>
    </row>
    <row r="38" spans="1:23" s="96" customFormat="1" ht="24" customHeight="1">
      <c r="A38" s="937"/>
      <c r="B38" s="953"/>
      <c r="C38" s="937"/>
      <c r="D38" s="1014"/>
      <c r="E38" s="102" t="s">
        <v>238</v>
      </c>
      <c r="F38" s="103">
        <v>1702.4</v>
      </c>
      <c r="G38" s="915"/>
      <c r="H38" s="103">
        <f>IF((F38/G$35)-1&gt;30%,"EXCLUÍDO",IF((F38/G$35)-1&lt;-30%,"EXCLUÍDO",F38))</f>
        <v>1702.4</v>
      </c>
      <c r="I38" s="105">
        <f>IF(F38&lt;&gt;0,(F38/$G$35)-1,"")</f>
        <v>1.8522950270425609E-2</v>
      </c>
      <c r="J38" s="1001"/>
      <c r="K38" s="925"/>
      <c r="L38" s="1001"/>
      <c r="M38" s="1016"/>
      <c r="N38" s="915"/>
      <c r="O38" s="1009"/>
      <c r="P38" s="97"/>
      <c r="Q38" s="97"/>
      <c r="R38" s="106"/>
      <c r="S38" s="97"/>
      <c r="T38" s="106"/>
      <c r="U38" s="107"/>
    </row>
    <row r="39" spans="1:23" s="96" customFormat="1" ht="24" customHeight="1">
      <c r="A39" s="937"/>
      <c r="B39" s="953"/>
      <c r="C39" s="937"/>
      <c r="D39" s="1014"/>
      <c r="E39" s="102"/>
      <c r="F39" s="103"/>
      <c r="G39" s="916"/>
      <c r="H39" s="103" t="str">
        <f>IF((F39/G$35)-1&gt;30%,"EXCLUÍDO",IF((F39/G$35)-1&lt;-30%,"EXCLUÍDO",F39))</f>
        <v>EXCLUÍDO</v>
      </c>
      <c r="I39" s="105" t="str">
        <f>IF(F39&lt;&gt;0,(F39/$G$35)-1,"")</f>
        <v/>
      </c>
      <c r="J39" s="1002"/>
      <c r="K39" s="926"/>
      <c r="L39" s="1002"/>
      <c r="M39" s="1017"/>
      <c r="N39" s="916"/>
      <c r="O39" s="1009"/>
      <c r="P39" s="97"/>
      <c r="Q39" s="97"/>
      <c r="R39" s="106"/>
      <c r="S39" s="97"/>
      <c r="T39" s="106"/>
      <c r="U39" s="107"/>
    </row>
    <row r="40" spans="1:23" s="96" customFormat="1" ht="24" customHeight="1">
      <c r="A40" s="929">
        <v>7</v>
      </c>
      <c r="B40" s="1012" t="s">
        <v>487</v>
      </c>
      <c r="C40" s="929" t="s">
        <v>196</v>
      </c>
      <c r="D40" s="933">
        <v>8</v>
      </c>
      <c r="E40" s="99" t="s">
        <v>228</v>
      </c>
      <c r="F40" s="100">
        <v>1567.31</v>
      </c>
      <c r="G40" s="917">
        <f>ROUNDUP(AVERAGE(F40:F44),2)</f>
        <v>1577.01</v>
      </c>
      <c r="H40" s="100">
        <f>IF((F40/G$40)-1&gt;30%,"EXCLUÍDO",IF((F40/G$40)-1&lt;-30%,"EXCLUÍDO",F40))</f>
        <v>1567.31</v>
      </c>
      <c r="I40" s="101">
        <f>IF(F40&lt;&gt;0,(F40/$G$40)-1,"")</f>
        <v>-6.1508804636623005E-3</v>
      </c>
      <c r="J40" s="917">
        <f>AVERAGE(H40:H44)</f>
        <v>1577.0075000000002</v>
      </c>
      <c r="K40" s="920">
        <f>MEDIAN(H40:H44)</f>
        <v>1548.155</v>
      </c>
      <c r="L40" s="917">
        <f>STDEV(H40:H44)</f>
        <v>94.019037566862139</v>
      </c>
      <c r="M40" s="923">
        <f>L40/J40</f>
        <v>5.9618636922691953E-2</v>
      </c>
      <c r="N40" s="917">
        <f>IF(M40&lt;25%,J40,K40)</f>
        <v>1577.0075000000002</v>
      </c>
      <c r="O40" s="942">
        <f>N40*D40</f>
        <v>12616.060000000001</v>
      </c>
      <c r="P40" s="97"/>
      <c r="Q40" s="97"/>
      <c r="R40" s="98"/>
      <c r="S40" s="98"/>
      <c r="T40" s="98"/>
      <c r="U40" s="98"/>
      <c r="V40" s="98"/>
      <c r="W40" s="98"/>
    </row>
    <row r="41" spans="1:23" s="96" customFormat="1" ht="24" customHeight="1">
      <c r="A41" s="929"/>
      <c r="B41" s="1012"/>
      <c r="C41" s="929"/>
      <c r="D41" s="933"/>
      <c r="E41" s="99" t="s">
        <v>239</v>
      </c>
      <c r="F41" s="100">
        <v>1711.82</v>
      </c>
      <c r="G41" s="918"/>
      <c r="H41" s="100">
        <f>IF((F41/G$40)-1&gt;30%,"EXCLUÍDO",IF((F41/G$40)-1&lt;-30%,"EXCLUÍDO",F41))</f>
        <v>1711.82</v>
      </c>
      <c r="I41" s="101">
        <f>IF(F41&lt;&gt;0,(F41/$G$40)-1,"")</f>
        <v>8.5484556217145125E-2</v>
      </c>
      <c r="J41" s="918"/>
      <c r="K41" s="921"/>
      <c r="L41" s="918"/>
      <c r="M41" s="921"/>
      <c r="N41" s="918"/>
      <c r="O41" s="942"/>
      <c r="P41" s="97"/>
      <c r="Q41" s="97"/>
      <c r="R41" s="98"/>
      <c r="S41" s="98"/>
      <c r="T41" s="98"/>
      <c r="U41" s="98"/>
      <c r="V41" s="98"/>
      <c r="W41" s="98"/>
    </row>
    <row r="42" spans="1:23" s="96" customFormat="1" ht="24" customHeight="1">
      <c r="A42" s="929"/>
      <c r="B42" s="1012"/>
      <c r="C42" s="929"/>
      <c r="D42" s="933"/>
      <c r="E42" s="99" t="s">
        <v>240</v>
      </c>
      <c r="F42" s="100">
        <v>1529</v>
      </c>
      <c r="G42" s="918"/>
      <c r="H42" s="100">
        <f>IF((F42/G$40)-1&gt;30%,"EXCLUÍDO",IF((F42/G$40)-1&lt;-30%,"EXCLUÍDO",F42))</f>
        <v>1529</v>
      </c>
      <c r="I42" s="101">
        <f>IF(F42&lt;&gt;0,(F42/$G$40)-1,"")</f>
        <v>-3.0443687738188063E-2</v>
      </c>
      <c r="J42" s="918"/>
      <c r="K42" s="921"/>
      <c r="L42" s="918"/>
      <c r="M42" s="921"/>
      <c r="N42" s="918"/>
      <c r="O42" s="942"/>
      <c r="P42" s="97"/>
      <c r="Q42" s="97"/>
      <c r="R42" s="98"/>
      <c r="S42" s="98"/>
      <c r="T42" s="98"/>
      <c r="U42" s="98"/>
      <c r="V42" s="98"/>
      <c r="W42" s="98"/>
    </row>
    <row r="43" spans="1:23" s="96" customFormat="1" ht="24" customHeight="1">
      <c r="A43" s="929"/>
      <c r="B43" s="1012"/>
      <c r="C43" s="929"/>
      <c r="D43" s="933"/>
      <c r="E43" s="99" t="s">
        <v>235</v>
      </c>
      <c r="F43" s="100">
        <v>1499.9</v>
      </c>
      <c r="G43" s="918"/>
      <c r="H43" s="100">
        <f>IF((F43/G$40)-1&gt;30%,"EXCLUÍDO",IF((F43/G$40)-1&lt;-30%,"EXCLUÍDO",F43))</f>
        <v>1499.9</v>
      </c>
      <c r="I43" s="101">
        <f>IF(F43&lt;&gt;0,(F43/$G$40)-1,"")</f>
        <v>-4.8896329129174743E-2</v>
      </c>
      <c r="J43" s="918"/>
      <c r="K43" s="921"/>
      <c r="L43" s="918"/>
      <c r="M43" s="921"/>
      <c r="N43" s="918"/>
      <c r="O43" s="942"/>
      <c r="P43" s="97"/>
      <c r="Q43" s="97"/>
      <c r="R43" s="98"/>
      <c r="S43" s="98"/>
      <c r="T43" s="98"/>
      <c r="U43" s="98"/>
      <c r="V43" s="98"/>
      <c r="W43" s="98"/>
    </row>
    <row r="44" spans="1:23" s="96" customFormat="1" ht="24" customHeight="1">
      <c r="A44" s="929"/>
      <c r="B44" s="1012"/>
      <c r="C44" s="929"/>
      <c r="D44" s="933"/>
      <c r="E44" s="99"/>
      <c r="F44" s="100"/>
      <c r="G44" s="919"/>
      <c r="H44" s="100" t="str">
        <f>IF((F44/G$40)-1&gt;30%,"EXCLUÍDO",IF((F44/G$40)-1&lt;-30%,"EXCLUÍDO",F44))</f>
        <v>EXCLUÍDO</v>
      </c>
      <c r="I44" s="101" t="str">
        <f>IF(F44&lt;&gt;0,(F44/$G$40)-1,"")</f>
        <v/>
      </c>
      <c r="J44" s="919"/>
      <c r="K44" s="922"/>
      <c r="L44" s="919"/>
      <c r="M44" s="922"/>
      <c r="N44" s="919"/>
      <c r="O44" s="942"/>
      <c r="P44" s="97"/>
      <c r="Q44" s="97"/>
      <c r="R44" s="98"/>
      <c r="S44" s="98"/>
      <c r="T44" s="98"/>
      <c r="U44" s="98"/>
      <c r="V44" s="98"/>
      <c r="W44" s="98"/>
    </row>
    <row r="45" spans="1:23" s="96" customFormat="1" ht="24" customHeight="1">
      <c r="A45" s="937">
        <v>8</v>
      </c>
      <c r="B45" s="1018" t="s">
        <v>500</v>
      </c>
      <c r="C45" s="937" t="s">
        <v>196</v>
      </c>
      <c r="D45" s="1019">
        <v>0</v>
      </c>
      <c r="E45" s="102" t="s">
        <v>228</v>
      </c>
      <c r="F45" s="103">
        <v>1478.87</v>
      </c>
      <c r="G45" s="914">
        <f>ROUNDUP(AVERAGE(F45:F49),2)</f>
        <v>1510.06</v>
      </c>
      <c r="H45" s="103">
        <f>IF((F45/G$45)-1&gt;30%,"EXCLUÍDO",IF((F45/G$45)-1&lt;-30%,"EXCLUÍDO",F45))</f>
        <v>1478.87</v>
      </c>
      <c r="I45" s="105">
        <f>IF(F45&lt;&gt;0,(F45/$G$45)-1,"")</f>
        <v>-2.0654808418208548E-2</v>
      </c>
      <c r="J45" s="1000">
        <f>AVERAGE(H45:H49)</f>
        <v>1510.0566666666666</v>
      </c>
      <c r="K45" s="924">
        <f>MEDIAN(H45:H49)</f>
        <v>1478.87</v>
      </c>
      <c r="L45" s="1000">
        <f>STDEV(H45:H49)</f>
        <v>138.41068829152428</v>
      </c>
      <c r="M45" s="1015">
        <f>L45/J45</f>
        <v>9.1659267726061686E-2</v>
      </c>
      <c r="N45" s="914">
        <f>IF(M45&lt;25%,J45,K45)</f>
        <v>1510.0566666666666</v>
      </c>
      <c r="O45" s="1009">
        <f>N45*D45</f>
        <v>0</v>
      </c>
      <c r="P45" s="97"/>
      <c r="Q45" s="97"/>
      <c r="R45" s="106"/>
      <c r="S45" s="97"/>
      <c r="T45" s="106"/>
      <c r="U45" s="107"/>
    </row>
    <row r="46" spans="1:23" s="96" customFormat="1" ht="24" customHeight="1">
      <c r="A46" s="937"/>
      <c r="B46" s="1018"/>
      <c r="C46" s="937"/>
      <c r="D46" s="1019"/>
      <c r="E46" s="102" t="s">
        <v>235</v>
      </c>
      <c r="F46" s="103">
        <v>1389.9</v>
      </c>
      <c r="G46" s="915"/>
      <c r="H46" s="103">
        <f>IF((F46/G$45)-1&gt;30%,"EXCLUÍDO",IF((F46/G$45)-1&lt;-30%,"EXCLUÍDO",F46))</f>
        <v>1389.9</v>
      </c>
      <c r="I46" s="105">
        <f>IF(F46&lt;&gt;0,(F46/$G$45)-1,"")</f>
        <v>-7.9572997099452869E-2</v>
      </c>
      <c r="J46" s="1001"/>
      <c r="K46" s="925"/>
      <c r="L46" s="1001"/>
      <c r="M46" s="1016"/>
      <c r="N46" s="915"/>
      <c r="O46" s="1009"/>
      <c r="P46" s="97"/>
      <c r="Q46" s="97"/>
      <c r="R46" s="106"/>
      <c r="S46" s="97"/>
      <c r="T46" s="106"/>
      <c r="U46" s="107"/>
    </row>
    <row r="47" spans="1:23" s="96" customFormat="1" ht="24" customHeight="1">
      <c r="A47" s="937"/>
      <c r="B47" s="1018"/>
      <c r="C47" s="937"/>
      <c r="D47" s="1019"/>
      <c r="E47" s="102" t="s">
        <v>238</v>
      </c>
      <c r="F47" s="103">
        <v>1661.4</v>
      </c>
      <c r="G47" s="915"/>
      <c r="H47" s="103">
        <f>IF((F47/G$45)-1&gt;30%,"EXCLUÍDO",IF((F47/G$45)-1&lt;-30%,"EXCLUÍDO",F47))</f>
        <v>1661.4</v>
      </c>
      <c r="I47" s="105">
        <f>IF(F47&lt;&gt;0,(F47/$G$45)-1,"")</f>
        <v>0.10022118326424123</v>
      </c>
      <c r="J47" s="1001"/>
      <c r="K47" s="925"/>
      <c r="L47" s="1001"/>
      <c r="M47" s="1016"/>
      <c r="N47" s="915"/>
      <c r="O47" s="1009"/>
      <c r="P47" s="97"/>
      <c r="Q47" s="97"/>
      <c r="R47" s="106"/>
      <c r="S47" s="97"/>
      <c r="T47" s="106"/>
      <c r="U47" s="107"/>
    </row>
    <row r="48" spans="1:23" s="96" customFormat="1" ht="24" customHeight="1">
      <c r="A48" s="937"/>
      <c r="B48" s="1018"/>
      <c r="C48" s="937"/>
      <c r="D48" s="1019"/>
      <c r="E48" s="102"/>
      <c r="F48" s="103"/>
      <c r="G48" s="915"/>
      <c r="H48" s="103" t="str">
        <f>IF((F48/G$45)-1&gt;30%,"EXCLUÍDO",IF((F48/G$45)-1&lt;-30%,"EXCLUÍDO",F48))</f>
        <v>EXCLUÍDO</v>
      </c>
      <c r="I48" s="105" t="str">
        <f>IF(F48&lt;&gt;0,(F48/$G$45)-1,"")</f>
        <v/>
      </c>
      <c r="J48" s="1001"/>
      <c r="K48" s="925"/>
      <c r="L48" s="1001"/>
      <c r="M48" s="1016"/>
      <c r="N48" s="915"/>
      <c r="O48" s="1009"/>
      <c r="P48" s="97"/>
      <c r="Q48" s="97"/>
      <c r="R48" s="106"/>
      <c r="S48" s="97"/>
      <c r="T48" s="106"/>
      <c r="U48" s="107"/>
    </row>
    <row r="49" spans="1:23" s="96" customFormat="1" ht="24" customHeight="1">
      <c r="A49" s="937"/>
      <c r="B49" s="1018"/>
      <c r="C49" s="937"/>
      <c r="D49" s="1019"/>
      <c r="E49" s="102"/>
      <c r="F49" s="103"/>
      <c r="G49" s="916"/>
      <c r="H49" s="103" t="str">
        <f>IF((F49/G$45)-1&gt;30%,"EXCLUÍDO",IF((F49/G$45)-1&lt;-30%,"EXCLUÍDO",F49))</f>
        <v>EXCLUÍDO</v>
      </c>
      <c r="I49" s="105" t="str">
        <f>IF(F49&lt;&gt;0,(F49/$G$45)-1,"")</f>
        <v/>
      </c>
      <c r="J49" s="1002"/>
      <c r="K49" s="926"/>
      <c r="L49" s="1002"/>
      <c r="M49" s="1017"/>
      <c r="N49" s="916"/>
      <c r="O49" s="1009"/>
      <c r="P49" s="97"/>
      <c r="Q49" s="97"/>
      <c r="R49" s="106"/>
      <c r="S49" s="97"/>
      <c r="T49" s="106"/>
      <c r="U49" s="107"/>
    </row>
    <row r="50" spans="1:23" s="96" customFormat="1" ht="24" customHeight="1">
      <c r="A50" s="929">
        <v>9</v>
      </c>
      <c r="B50" s="946" t="s">
        <v>499</v>
      </c>
      <c r="C50" s="929" t="s">
        <v>196</v>
      </c>
      <c r="D50" s="933">
        <v>6</v>
      </c>
      <c r="E50" s="99" t="s">
        <v>228</v>
      </c>
      <c r="F50" s="100">
        <v>1219</v>
      </c>
      <c r="G50" s="917">
        <f>ROUNDUP(AVERAGE(F50:F54),2)</f>
        <v>1222.8699999999999</v>
      </c>
      <c r="H50" s="100">
        <f>IF((F50/G$40)-1&gt;30%,"EXCLUÍDO",IF((F50/G$40)-1&lt;-30%,"EXCLUÍDO",F50))</f>
        <v>1219</v>
      </c>
      <c r="I50" s="101">
        <f>IF(F50&lt;&gt;0,(F50/$G$50)-1,"")</f>
        <v>-3.1646863525967017E-3</v>
      </c>
      <c r="J50" s="917">
        <f>AVERAGE(H50:H54)</f>
        <v>1222.865</v>
      </c>
      <c r="K50" s="920">
        <f>MEDIAN(H50:H54)</f>
        <v>1223.23</v>
      </c>
      <c r="L50" s="917">
        <f>STDEV(H50:H54)</f>
        <v>43.007048647090834</v>
      </c>
      <c r="M50" s="923">
        <f>L50/J50</f>
        <v>3.5169089512816894E-2</v>
      </c>
      <c r="N50" s="917">
        <f>IF(M50&lt;25%,J50,K50)</f>
        <v>1222.865</v>
      </c>
      <c r="O50" s="942">
        <f>N50*D50</f>
        <v>7337.1900000000005</v>
      </c>
      <c r="P50" s="97"/>
      <c r="Q50" s="97"/>
      <c r="R50" s="98"/>
      <c r="S50" s="98"/>
      <c r="T50" s="98"/>
      <c r="U50" s="98"/>
      <c r="V50" s="98"/>
      <c r="W50" s="98"/>
    </row>
    <row r="51" spans="1:23" s="96" customFormat="1" ht="24" customHeight="1">
      <c r="A51" s="929"/>
      <c r="B51" s="946"/>
      <c r="C51" s="929"/>
      <c r="D51" s="933"/>
      <c r="E51" s="99" t="s">
        <v>230</v>
      </c>
      <c r="F51" s="100">
        <v>1227.46</v>
      </c>
      <c r="G51" s="918"/>
      <c r="H51" s="100">
        <f>IF((F51/G$40)-1&gt;30%,"EXCLUÍDO",IF((F51/G$40)-1&lt;-30%,"EXCLUÍDO",F51))</f>
        <v>1227.46</v>
      </c>
      <c r="I51" s="101">
        <f>IF(F51&lt;&gt;0,(F51/$G$50)-1,"")</f>
        <v>3.7534652088939691E-3</v>
      </c>
      <c r="J51" s="918"/>
      <c r="K51" s="921"/>
      <c r="L51" s="918"/>
      <c r="M51" s="921"/>
      <c r="N51" s="918"/>
      <c r="O51" s="942"/>
      <c r="P51" s="97"/>
      <c r="Q51" s="97"/>
      <c r="R51" s="98"/>
      <c r="S51" s="98"/>
      <c r="T51" s="98"/>
      <c r="U51" s="98"/>
      <c r="V51" s="98"/>
      <c r="W51" s="98"/>
    </row>
    <row r="52" spans="1:23" s="96" customFormat="1" ht="24" customHeight="1">
      <c r="A52" s="929"/>
      <c r="B52" s="946"/>
      <c r="C52" s="929"/>
      <c r="D52" s="933"/>
      <c r="E52" s="99" t="s">
        <v>241</v>
      </c>
      <c r="F52" s="100">
        <v>1275</v>
      </c>
      <c r="G52" s="918"/>
      <c r="H52" s="100">
        <f>IF((F52/G$40)-1&gt;30%,"EXCLUÍDO",IF((F52/G$40)-1&lt;-30%,"EXCLUÍDO",F52))</f>
        <v>1275</v>
      </c>
      <c r="I52" s="101">
        <f>IF(F52&lt;&gt;0,(F52/$G$50)-1,"")</f>
        <v>4.2629224692731116E-2</v>
      </c>
      <c r="J52" s="918"/>
      <c r="K52" s="921"/>
      <c r="L52" s="918"/>
      <c r="M52" s="921"/>
      <c r="N52" s="918"/>
      <c r="O52" s="942"/>
      <c r="P52" s="97"/>
      <c r="Q52" s="97"/>
      <c r="R52" s="98"/>
      <c r="S52" s="98"/>
      <c r="T52" s="98"/>
      <c r="U52" s="98"/>
      <c r="V52" s="98"/>
      <c r="W52" s="98"/>
    </row>
    <row r="53" spans="1:23" s="96" customFormat="1" ht="24" customHeight="1">
      <c r="A53" s="929"/>
      <c r="B53" s="946"/>
      <c r="C53" s="929"/>
      <c r="D53" s="933"/>
      <c r="E53" s="99" t="s">
        <v>242</v>
      </c>
      <c r="F53" s="100">
        <v>1170</v>
      </c>
      <c r="G53" s="918"/>
      <c r="H53" s="100">
        <f>IF((F53/G$40)-1&gt;30%,"EXCLUÍDO",IF((F53/G$40)-1&lt;-30%,"EXCLUÍDO",F53))</f>
        <v>1170</v>
      </c>
      <c r="I53" s="101">
        <f>IF(F53&lt;&gt;0,(F53/$G$50)-1,"")</f>
        <v>-4.3234358517258542E-2</v>
      </c>
      <c r="J53" s="918"/>
      <c r="K53" s="921"/>
      <c r="L53" s="918"/>
      <c r="M53" s="921"/>
      <c r="N53" s="918"/>
      <c r="O53" s="942"/>
      <c r="P53" s="97"/>
      <c r="Q53" s="97"/>
      <c r="R53" s="98"/>
      <c r="S53" s="98"/>
      <c r="T53" s="98"/>
      <c r="U53" s="98"/>
      <c r="V53" s="98"/>
      <c r="W53" s="98"/>
    </row>
    <row r="54" spans="1:23" s="96" customFormat="1" ht="24" customHeight="1">
      <c r="A54" s="929"/>
      <c r="B54" s="946"/>
      <c r="C54" s="929"/>
      <c r="D54" s="933"/>
      <c r="E54" s="99"/>
      <c r="F54" s="100"/>
      <c r="G54" s="919"/>
      <c r="H54" s="100" t="str">
        <f>IF((F54/G$40)-1&gt;30%,"EXCLUÍDO",IF((F54/G$40)-1&lt;-30%,"EXCLUÍDO",F54))</f>
        <v>EXCLUÍDO</v>
      </c>
      <c r="I54" s="101" t="str">
        <f>IF(F54&lt;&gt;0,(F54/$G$50)-1,"")</f>
        <v/>
      </c>
      <c r="J54" s="919"/>
      <c r="K54" s="922"/>
      <c r="L54" s="919"/>
      <c r="M54" s="922"/>
      <c r="N54" s="919"/>
      <c r="O54" s="942"/>
      <c r="P54" s="97"/>
      <c r="Q54" s="97"/>
      <c r="R54" s="98"/>
      <c r="S54" s="98"/>
      <c r="T54" s="98"/>
      <c r="U54" s="98"/>
      <c r="V54" s="98"/>
      <c r="W54" s="98"/>
    </row>
    <row r="55" spans="1:23" s="96" customFormat="1" ht="24" customHeight="1">
      <c r="A55" s="937">
        <v>10</v>
      </c>
      <c r="B55" s="953" t="s">
        <v>585</v>
      </c>
      <c r="C55" s="937" t="s">
        <v>196</v>
      </c>
      <c r="D55" s="1014">
        <v>7</v>
      </c>
      <c r="E55" s="119" t="s">
        <v>582</v>
      </c>
      <c r="F55" s="120">
        <v>912.9</v>
      </c>
      <c r="G55" s="914">
        <f>ROUNDUP(AVERAGE(F55:F59),2)</f>
        <v>809.42</v>
      </c>
      <c r="H55" s="103">
        <f>IF((F55/G$55)-1&gt;30%,"EXCLUÍDO",IF((F55/G$55)-1&lt;-30%,"EXCLUÍDO",F55))</f>
        <v>912.9</v>
      </c>
      <c r="I55" s="105">
        <f>IF(F55&lt;&gt;0,(F55/$G$55)-1,"")</f>
        <v>0.1278446294877813</v>
      </c>
      <c r="J55" s="1000">
        <f>AVERAGE(H55:H59)</f>
        <v>809.42000000000007</v>
      </c>
      <c r="K55" s="924">
        <f>MEDIAN(H55:H59)</f>
        <v>885</v>
      </c>
      <c r="L55" s="1000">
        <f>STDEV(H55:H59)</f>
        <v>155.6967090210957</v>
      </c>
      <c r="M55" s="1015">
        <f>L55/J55</f>
        <v>0.1923558956056135</v>
      </c>
      <c r="N55" s="914">
        <f>IF(M55&lt;25%,J55,K55)</f>
        <v>809.42000000000007</v>
      </c>
      <c r="O55" s="1009">
        <f>N55*D55</f>
        <v>5665.9400000000005</v>
      </c>
      <c r="P55" s="97"/>
      <c r="Q55" s="97"/>
      <c r="R55" s="106"/>
      <c r="S55" s="97"/>
      <c r="T55" s="106"/>
      <c r="U55" s="107"/>
    </row>
    <row r="56" spans="1:23" s="96" customFormat="1" ht="24" customHeight="1">
      <c r="A56" s="937"/>
      <c r="B56" s="953"/>
      <c r="C56" s="937"/>
      <c r="D56" s="1014"/>
      <c r="E56" s="119" t="s">
        <v>583</v>
      </c>
      <c r="F56" s="120">
        <v>630.36</v>
      </c>
      <c r="G56" s="915"/>
      <c r="H56" s="103">
        <f>IF((F56/G$55)-1&gt;30%,"EXCLUÍDO",IF((F56/G$55)-1&lt;-30%,"EXCLUÍDO",F56))</f>
        <v>630.36</v>
      </c>
      <c r="I56" s="105">
        <f>IF(F56&lt;&gt;0,(F56/$G$55)-1,"")</f>
        <v>-0.22122013293469389</v>
      </c>
      <c r="J56" s="1001"/>
      <c r="K56" s="925"/>
      <c r="L56" s="1001"/>
      <c r="M56" s="1016"/>
      <c r="N56" s="915"/>
      <c r="O56" s="1009"/>
      <c r="P56" s="97"/>
      <c r="Q56" s="97"/>
      <c r="R56" s="106"/>
      <c r="S56" s="97"/>
      <c r="T56" s="106"/>
      <c r="U56" s="107"/>
    </row>
    <row r="57" spans="1:23" s="96" customFormat="1" ht="24" customHeight="1">
      <c r="A57" s="937"/>
      <c r="B57" s="953"/>
      <c r="C57" s="937"/>
      <c r="D57" s="1014"/>
      <c r="E57" s="119" t="s">
        <v>584</v>
      </c>
      <c r="F57" s="120">
        <v>885</v>
      </c>
      <c r="G57" s="915"/>
      <c r="H57" s="103">
        <f>IF((F57/G$55)-1&gt;30%,"EXCLUÍDO",IF((F57/G$55)-1&lt;-30%,"EXCLUÍDO",F57))</f>
        <v>885</v>
      </c>
      <c r="I57" s="105">
        <f>IF(F57&lt;&gt;0,(F57/$G$55)-1,"")</f>
        <v>9.3375503446912589E-2</v>
      </c>
      <c r="J57" s="1001"/>
      <c r="K57" s="925"/>
      <c r="L57" s="1001"/>
      <c r="M57" s="1016"/>
      <c r="N57" s="915"/>
      <c r="O57" s="1009"/>
      <c r="P57" s="97"/>
      <c r="Q57" s="97"/>
      <c r="R57" s="106"/>
      <c r="S57" s="97"/>
      <c r="T57" s="106"/>
      <c r="U57" s="107"/>
    </row>
    <row r="58" spans="1:23" s="96" customFormat="1" ht="24" customHeight="1">
      <c r="A58" s="937"/>
      <c r="B58" s="953"/>
      <c r="C58" s="937"/>
      <c r="D58" s="1014"/>
      <c r="E58" s="102"/>
      <c r="F58" s="103"/>
      <c r="G58" s="915"/>
      <c r="H58" s="103" t="str">
        <f>IF((F58/G$55)-1&gt;30%,"EXCLUÍDO",IF((F58/G$55)-1&lt;-30%,"EXCLUÍDO",F58))</f>
        <v>EXCLUÍDO</v>
      </c>
      <c r="I58" s="105" t="str">
        <f>IF(F58&lt;&gt;0,(F58/$G$55)-1,"")</f>
        <v/>
      </c>
      <c r="J58" s="1001"/>
      <c r="K58" s="925"/>
      <c r="L58" s="1001"/>
      <c r="M58" s="1016"/>
      <c r="N58" s="915"/>
      <c r="O58" s="1009"/>
      <c r="P58" s="97"/>
      <c r="Q58" s="97"/>
      <c r="R58" s="106"/>
      <c r="S58" s="97"/>
      <c r="T58" s="106"/>
      <c r="U58" s="107"/>
    </row>
    <row r="59" spans="1:23" s="96" customFormat="1" ht="24" customHeight="1">
      <c r="A59" s="937"/>
      <c r="B59" s="953"/>
      <c r="C59" s="937"/>
      <c r="D59" s="1014"/>
      <c r="E59" s="102"/>
      <c r="F59" s="103"/>
      <c r="G59" s="916"/>
      <c r="H59" s="103" t="str">
        <f>IF((F59/G$55)-1&gt;30%,"EXCLUÍDO",IF((F59/G$55)-1&lt;-30%,"EXCLUÍDO",F59))</f>
        <v>EXCLUÍDO</v>
      </c>
      <c r="I59" s="105" t="str">
        <f>IF(F59&lt;&gt;0,(F59/$G$55)-1,"")</f>
        <v/>
      </c>
      <c r="J59" s="1002"/>
      <c r="K59" s="926"/>
      <c r="L59" s="1002"/>
      <c r="M59" s="1017"/>
      <c r="N59" s="916"/>
      <c r="O59" s="1009"/>
      <c r="P59" s="97"/>
      <c r="Q59" s="97"/>
      <c r="R59" s="106"/>
      <c r="S59" s="97"/>
      <c r="T59" s="106"/>
      <c r="U59" s="107"/>
    </row>
    <row r="60" spans="1:23" s="96" customFormat="1" ht="24" customHeight="1">
      <c r="A60" s="939">
        <v>11</v>
      </c>
      <c r="B60" s="946" t="s">
        <v>227</v>
      </c>
      <c r="C60" s="929" t="s">
        <v>196</v>
      </c>
      <c r="D60" s="933">
        <v>10</v>
      </c>
      <c r="E60" s="99" t="s">
        <v>235</v>
      </c>
      <c r="F60" s="100">
        <v>142.74</v>
      </c>
      <c r="G60" s="917">
        <f>ROUNDUP(AVERAGE(F60:F64),2)</f>
        <v>127.03</v>
      </c>
      <c r="H60" s="100">
        <f>IF((F60/G$60)-1&gt;30%,"EXCLUÍDO",IF((F60/G$60)-1&lt;-30%,"EXCLUÍDO",F60))</f>
        <v>142.74</v>
      </c>
      <c r="I60" s="101">
        <f>IF(F60&lt;&gt;0,(F60/$G$60)-1,"")</f>
        <v>0.12367157364402126</v>
      </c>
      <c r="J60" s="917">
        <f>AVERAGE(H60:H64)</f>
        <v>127.02999999999999</v>
      </c>
      <c r="K60" s="920">
        <f>MEDIAN(H60:H64)</f>
        <v>124.9</v>
      </c>
      <c r="L60" s="917">
        <f>STDEV(H60:H64)</f>
        <v>14.760714752341809</v>
      </c>
      <c r="M60" s="923">
        <f>L60/J60</f>
        <v>0.11619865191168866</v>
      </c>
      <c r="N60" s="917">
        <f>IF(M60&lt;25%,J60,K60)</f>
        <v>127.02999999999999</v>
      </c>
      <c r="O60" s="942">
        <f>N60*D60</f>
        <v>1270.3</v>
      </c>
      <c r="P60" s="97"/>
      <c r="Q60" s="97"/>
      <c r="R60" s="98"/>
      <c r="S60" s="98"/>
      <c r="T60" s="98"/>
      <c r="U60" s="98"/>
      <c r="V60" s="98"/>
      <c r="W60" s="98"/>
    </row>
    <row r="61" spans="1:23" s="96" customFormat="1" ht="24" customHeight="1">
      <c r="A61" s="939"/>
      <c r="B61" s="946"/>
      <c r="C61" s="929"/>
      <c r="D61" s="933"/>
      <c r="E61" s="99" t="s">
        <v>246</v>
      </c>
      <c r="F61" s="100">
        <v>124.9</v>
      </c>
      <c r="G61" s="918"/>
      <c r="H61" s="100">
        <f>IF((F61/G$60)-1&gt;30%,"EXCLUÍDO",IF((F61/G$60)-1&lt;-30%,"EXCLUÍDO",F61))</f>
        <v>124.9</v>
      </c>
      <c r="I61" s="101">
        <f>IF(F61&lt;&gt;0,(F61/$G$60)-1,"")</f>
        <v>-1.6767692671022516E-2</v>
      </c>
      <c r="J61" s="918"/>
      <c r="K61" s="921"/>
      <c r="L61" s="918"/>
      <c r="M61" s="921"/>
      <c r="N61" s="918"/>
      <c r="O61" s="942"/>
      <c r="P61" s="97"/>
      <c r="Q61" s="97"/>
      <c r="R61" s="98"/>
      <c r="S61" s="98"/>
      <c r="T61" s="98"/>
      <c r="U61" s="98"/>
      <c r="V61" s="98"/>
      <c r="W61" s="98"/>
    </row>
    <row r="62" spans="1:23" s="96" customFormat="1" ht="24" customHeight="1">
      <c r="A62" s="939"/>
      <c r="B62" s="946"/>
      <c r="C62" s="929"/>
      <c r="D62" s="933"/>
      <c r="E62" s="99" t="s">
        <v>235</v>
      </c>
      <c r="F62" s="100">
        <v>113.45</v>
      </c>
      <c r="G62" s="918"/>
      <c r="H62" s="100">
        <f>IF((F62/G$60)-1&gt;30%,"EXCLUÍDO",IF((F62/G$60)-1&lt;-30%,"EXCLUÍDO",F62))</f>
        <v>113.45</v>
      </c>
      <c r="I62" s="101">
        <f>IF(F62&lt;&gt;0,(F62/$G$60)-1,"")</f>
        <v>-0.10690388097299852</v>
      </c>
      <c r="J62" s="918"/>
      <c r="K62" s="921"/>
      <c r="L62" s="918"/>
      <c r="M62" s="921"/>
      <c r="N62" s="918"/>
      <c r="O62" s="942"/>
      <c r="P62" s="97"/>
      <c r="Q62" s="97"/>
      <c r="R62" s="98"/>
      <c r="S62" s="98"/>
      <c r="T62" s="98"/>
      <c r="U62" s="98"/>
      <c r="V62" s="98"/>
      <c r="W62" s="98"/>
    </row>
    <row r="63" spans="1:23" s="96" customFormat="1" ht="24" customHeight="1">
      <c r="A63" s="939"/>
      <c r="B63" s="946"/>
      <c r="C63" s="929"/>
      <c r="D63" s="933"/>
      <c r="E63" s="99"/>
      <c r="F63" s="100"/>
      <c r="G63" s="918"/>
      <c r="H63" s="100" t="str">
        <f>IF((F63/G$60)-1&gt;30%,"EXCLUÍDO",IF((F63/G$60)-1&lt;-30%,"EXCLUÍDO",F63))</f>
        <v>EXCLUÍDO</v>
      </c>
      <c r="I63" s="101" t="str">
        <f>IF(F63&lt;&gt;0,(F63/$G$60)-1,"")</f>
        <v/>
      </c>
      <c r="J63" s="918"/>
      <c r="K63" s="921"/>
      <c r="L63" s="918"/>
      <c r="M63" s="921"/>
      <c r="N63" s="918"/>
      <c r="O63" s="942"/>
      <c r="P63" s="97"/>
      <c r="Q63" s="97"/>
      <c r="R63" s="98"/>
      <c r="S63" s="98"/>
      <c r="T63" s="98"/>
      <c r="U63" s="98"/>
      <c r="V63" s="98"/>
      <c r="W63" s="98"/>
    </row>
    <row r="64" spans="1:23" s="96" customFormat="1" ht="24" customHeight="1">
      <c r="A64" s="939"/>
      <c r="B64" s="946"/>
      <c r="C64" s="929"/>
      <c r="D64" s="933"/>
      <c r="E64" s="99"/>
      <c r="F64" s="100"/>
      <c r="G64" s="919"/>
      <c r="H64" s="100" t="str">
        <f>IF((F64/G$60)-1&gt;30%,"EXCLUÍDO",IF((F64/G$60)-1&lt;-30%,"EXCLUÍDO",F64))</f>
        <v>EXCLUÍDO</v>
      </c>
      <c r="I64" s="101" t="str">
        <f>IF(F64&lt;&gt;0,(F64/$G$60)-1,"")</f>
        <v/>
      </c>
      <c r="J64" s="919"/>
      <c r="K64" s="922"/>
      <c r="L64" s="919"/>
      <c r="M64" s="922"/>
      <c r="N64" s="919"/>
      <c r="O64" s="942"/>
      <c r="P64" s="97"/>
      <c r="Q64" s="97"/>
      <c r="R64" s="98"/>
      <c r="S64" s="98"/>
      <c r="T64" s="98"/>
      <c r="U64" s="98"/>
      <c r="V64" s="98"/>
      <c r="W64" s="98"/>
    </row>
    <row r="65" spans="1:21" s="96" customFormat="1" ht="24" customHeight="1">
      <c r="A65" s="937">
        <v>12</v>
      </c>
      <c r="B65" s="1018" t="s">
        <v>213</v>
      </c>
      <c r="C65" s="937" t="s">
        <v>196</v>
      </c>
      <c r="D65" s="1014">
        <v>10</v>
      </c>
      <c r="E65" s="102" t="s">
        <v>230</v>
      </c>
      <c r="F65" s="103">
        <v>630.23</v>
      </c>
      <c r="G65" s="914">
        <f>ROUNDUP(AVERAGE(F65:F69),2)</f>
        <v>727.34</v>
      </c>
      <c r="H65" s="103">
        <f>IF((F65/G$65)-1&gt;30%,"EXCLUÍDO",IF((F65/G$65)-1&lt;-30%,"EXCLUÍDO",F65))</f>
        <v>630.23</v>
      </c>
      <c r="I65" s="105">
        <f>IF(F65&lt;&gt;0,(F65/$G$65)-1,"")</f>
        <v>-0.13351389996425334</v>
      </c>
      <c r="J65" s="1000">
        <f>AVERAGE(H65:H69)</f>
        <v>727.33999999999992</v>
      </c>
      <c r="K65" s="924">
        <f>MEDIAN(H65:H69)</f>
        <v>687.61</v>
      </c>
      <c r="L65" s="1000">
        <f>STDEV(H65:H69)</f>
        <v>119.06173146733609</v>
      </c>
      <c r="M65" s="1015">
        <f>L65/J65</f>
        <v>0.16369473900422926</v>
      </c>
      <c r="N65" s="914">
        <f>IF(M65&lt;25%,J65,K65)</f>
        <v>727.33999999999992</v>
      </c>
      <c r="O65" s="1009">
        <f>N65*D65</f>
        <v>7273.4</v>
      </c>
      <c r="P65" s="97"/>
      <c r="Q65" s="97"/>
      <c r="R65" s="106"/>
      <c r="S65" s="97"/>
      <c r="T65" s="106"/>
      <c r="U65" s="107"/>
    </row>
    <row r="66" spans="1:21" s="96" customFormat="1" ht="24" customHeight="1">
      <c r="A66" s="937"/>
      <c r="B66" s="1018"/>
      <c r="C66" s="937"/>
      <c r="D66" s="1014"/>
      <c r="E66" s="102" t="s">
        <v>228</v>
      </c>
      <c r="F66" s="103">
        <v>621.04999999999995</v>
      </c>
      <c r="G66" s="915"/>
      <c r="H66" s="103">
        <f>IF((F66/G$65)-1&gt;30%,"EXCLUÍDO",IF((F66/G$65)-1&lt;-30%,"EXCLUÍDO",F66))</f>
        <v>621.04999999999995</v>
      </c>
      <c r="I66" s="105">
        <f>IF(F66&lt;&gt;0,(F66/$G$65)-1,"")</f>
        <v>-0.14613523249099469</v>
      </c>
      <c r="J66" s="1001"/>
      <c r="K66" s="925"/>
      <c r="L66" s="1001"/>
      <c r="M66" s="1016"/>
      <c r="N66" s="915"/>
      <c r="O66" s="1009"/>
      <c r="P66" s="97"/>
      <c r="Q66" s="97"/>
      <c r="R66" s="106"/>
      <c r="S66" s="97"/>
      <c r="T66" s="106"/>
      <c r="U66" s="107"/>
    </row>
    <row r="67" spans="1:21" s="96" customFormat="1" ht="24" customHeight="1">
      <c r="A67" s="937"/>
      <c r="B67" s="1018"/>
      <c r="C67" s="937"/>
      <c r="D67" s="1014"/>
      <c r="E67" s="102" t="s">
        <v>243</v>
      </c>
      <c r="F67" s="103">
        <v>687.61</v>
      </c>
      <c r="G67" s="915"/>
      <c r="H67" s="103">
        <f>IF((F67/G$65)-1&gt;30%,"EXCLUÍDO",IF((F67/G$65)-1&lt;-30%,"EXCLUÍDO",F67))</f>
        <v>687.61</v>
      </c>
      <c r="I67" s="105">
        <f>IF(F67&lt;&gt;0,(F67/$G$65)-1,"")</f>
        <v>-5.4623697307998986E-2</v>
      </c>
      <c r="J67" s="1001"/>
      <c r="K67" s="925"/>
      <c r="L67" s="1001"/>
      <c r="M67" s="1016"/>
      <c r="N67" s="915"/>
      <c r="O67" s="1009"/>
      <c r="P67" s="97"/>
      <c r="Q67" s="97"/>
      <c r="R67" s="106"/>
      <c r="S67" s="97"/>
      <c r="T67" s="106"/>
      <c r="U67" s="107"/>
    </row>
    <row r="68" spans="1:21" s="96" customFormat="1" ht="24" customHeight="1">
      <c r="A68" s="937"/>
      <c r="B68" s="1018"/>
      <c r="C68" s="937"/>
      <c r="D68" s="1014"/>
      <c r="E68" s="102" t="s">
        <v>483</v>
      </c>
      <c r="F68" s="103">
        <v>898.1</v>
      </c>
      <c r="G68" s="915"/>
      <c r="H68" s="103">
        <f>IF((F68/G$65)-1&gt;30%,"EXCLUÍDO",IF((F68/G$65)-1&lt;-30%,"EXCLUÍDO",F68))</f>
        <v>898.1</v>
      </c>
      <c r="I68" s="105">
        <f>IF(F68&lt;&gt;0,(F68/$G$65)-1,"")</f>
        <v>0.23477328347127879</v>
      </c>
      <c r="J68" s="1001"/>
      <c r="K68" s="925"/>
      <c r="L68" s="1001"/>
      <c r="M68" s="1016"/>
      <c r="N68" s="915"/>
      <c r="O68" s="1009"/>
      <c r="P68" s="97"/>
      <c r="Q68" s="97"/>
      <c r="R68" s="106"/>
      <c r="S68" s="97"/>
      <c r="T68" s="106"/>
      <c r="U68" s="107"/>
    </row>
    <row r="69" spans="1:21" s="96" customFormat="1" ht="24" customHeight="1">
      <c r="A69" s="937"/>
      <c r="B69" s="1018"/>
      <c r="C69" s="937"/>
      <c r="D69" s="1014"/>
      <c r="E69" s="102" t="s">
        <v>432</v>
      </c>
      <c r="F69" s="103">
        <v>799.71</v>
      </c>
      <c r="G69" s="916"/>
      <c r="H69" s="103">
        <f>IF((F69/G$65)-1&gt;30%,"EXCLUÍDO",IF((F69/G$65)-1&lt;-30%,"EXCLUÍDO",F69))</f>
        <v>799.71</v>
      </c>
      <c r="I69" s="105">
        <f>IF(F69&lt;&gt;0,(F69/$G$65)-1,"")</f>
        <v>9.9499546291967889E-2</v>
      </c>
      <c r="J69" s="1002"/>
      <c r="K69" s="926"/>
      <c r="L69" s="1002"/>
      <c r="M69" s="1017"/>
      <c r="N69" s="916"/>
      <c r="O69" s="1009"/>
      <c r="P69" s="97"/>
      <c r="Q69" s="97"/>
      <c r="R69" s="106"/>
      <c r="S69" s="97"/>
      <c r="T69" s="106"/>
      <c r="U69" s="107"/>
    </row>
    <row r="70" spans="1:21" s="96" customFormat="1" ht="24" customHeight="1">
      <c r="A70" s="929">
        <v>13</v>
      </c>
      <c r="B70" s="946" t="s">
        <v>508</v>
      </c>
      <c r="C70" s="929" t="s">
        <v>196</v>
      </c>
      <c r="D70" s="933">
        <v>5</v>
      </c>
      <c r="E70" s="99" t="s">
        <v>244</v>
      </c>
      <c r="F70" s="100">
        <v>2790</v>
      </c>
      <c r="G70" s="917">
        <f>ROUNDUP(AVERAGE(F70:F74),2)</f>
        <v>2806</v>
      </c>
      <c r="H70" s="100">
        <f>IF((F70/G$70)-1&gt;30%,"EXCLUÍDO",IF((F70/G$70)-1&lt;-30%,"EXCLUÍDO",F70))</f>
        <v>2790</v>
      </c>
      <c r="I70" s="101">
        <f>IF(F70&lt;&gt;0,(F70/$G$70)-1,"")</f>
        <v>-5.7020669992872142E-3</v>
      </c>
      <c r="J70" s="917">
        <f>AVERAGE(H70:H74)</f>
        <v>2806</v>
      </c>
      <c r="K70" s="920">
        <f>MEDIAN(H70:H74)</f>
        <v>2790</v>
      </c>
      <c r="L70" s="917">
        <f>STDEV(H70:H74)</f>
        <v>175.54771431152272</v>
      </c>
      <c r="M70" s="923">
        <f>L70/J70</f>
        <v>6.2561551786002395E-2</v>
      </c>
      <c r="N70" s="917">
        <f>IF(M70&lt;25%,J70,K70)</f>
        <v>2806</v>
      </c>
      <c r="O70" s="942">
        <f>N70*D70</f>
        <v>14030</v>
      </c>
      <c r="P70" s="97"/>
      <c r="Q70" s="97"/>
      <c r="R70" s="106"/>
      <c r="S70" s="97"/>
      <c r="T70" s="106"/>
      <c r="U70" s="107"/>
    </row>
    <row r="71" spans="1:21" s="96" customFormat="1" ht="24" customHeight="1">
      <c r="A71" s="929"/>
      <c r="B71" s="946"/>
      <c r="C71" s="929"/>
      <c r="D71" s="933"/>
      <c r="E71" s="99" t="s">
        <v>228</v>
      </c>
      <c r="F71" s="100">
        <v>2989</v>
      </c>
      <c r="G71" s="918"/>
      <c r="H71" s="100">
        <f>IF((F71/G$70)-1&gt;30%,"EXCLUÍDO",IF((F71/G$70)-1&lt;-30%,"EXCLUÍDO",F71))</f>
        <v>2989</v>
      </c>
      <c r="I71" s="101">
        <f>IF(F71&lt;&gt;0,(F71/$G$70)-1,"")</f>
        <v>6.5217391304347894E-2</v>
      </c>
      <c r="J71" s="918"/>
      <c r="K71" s="921"/>
      <c r="L71" s="918"/>
      <c r="M71" s="921"/>
      <c r="N71" s="918"/>
      <c r="O71" s="942"/>
      <c r="P71" s="97"/>
      <c r="Q71" s="97"/>
      <c r="R71" s="106"/>
      <c r="S71" s="97"/>
      <c r="T71" s="106"/>
      <c r="U71" s="107"/>
    </row>
    <row r="72" spans="1:21" s="96" customFormat="1" ht="24" customHeight="1">
      <c r="A72" s="929"/>
      <c r="B72" s="946"/>
      <c r="C72" s="929"/>
      <c r="D72" s="933"/>
      <c r="E72" s="99" t="s">
        <v>236</v>
      </c>
      <c r="F72" s="100">
        <v>2639</v>
      </c>
      <c r="G72" s="918"/>
      <c r="H72" s="100">
        <f>IF((F72/G$70)-1&gt;30%,"EXCLUÍDO",IF((F72/G$70)-1&lt;-30%,"EXCLUÍDO",F72))</f>
        <v>2639</v>
      </c>
      <c r="I72" s="101">
        <f>IF(F72&lt;&gt;0,(F72/$G$70)-1,"")</f>
        <v>-5.9515324305060568E-2</v>
      </c>
      <c r="J72" s="918"/>
      <c r="K72" s="921"/>
      <c r="L72" s="918"/>
      <c r="M72" s="921"/>
      <c r="N72" s="918"/>
      <c r="O72" s="942"/>
      <c r="P72" s="97"/>
      <c r="Q72" s="97"/>
      <c r="R72" s="106"/>
      <c r="S72" s="97"/>
      <c r="T72" s="106"/>
      <c r="U72" s="107"/>
    </row>
    <row r="73" spans="1:21" s="96" customFormat="1" ht="24" customHeight="1">
      <c r="A73" s="929"/>
      <c r="B73" s="946"/>
      <c r="C73" s="929"/>
      <c r="D73" s="933"/>
      <c r="E73" s="99"/>
      <c r="F73" s="100"/>
      <c r="G73" s="918"/>
      <c r="H73" s="100" t="str">
        <f>IF((F73/G$70)-1&gt;30%,"EXCLUÍDO",IF((F73/G$70)-1&lt;-30%,"EXCLUÍDO",F73))</f>
        <v>EXCLUÍDO</v>
      </c>
      <c r="I73" s="101" t="str">
        <f>IF(F73&lt;&gt;0,(F73/$G$70)-1,"")</f>
        <v/>
      </c>
      <c r="J73" s="918"/>
      <c r="K73" s="921"/>
      <c r="L73" s="918"/>
      <c r="M73" s="921"/>
      <c r="N73" s="918"/>
      <c r="O73" s="942"/>
      <c r="P73" s="97"/>
      <c r="Q73" s="97"/>
      <c r="R73" s="106"/>
      <c r="S73" s="97"/>
      <c r="T73" s="106"/>
      <c r="U73" s="107"/>
    </row>
    <row r="74" spans="1:21" s="96" customFormat="1" ht="24" customHeight="1">
      <c r="A74" s="929"/>
      <c r="B74" s="946"/>
      <c r="C74" s="929"/>
      <c r="D74" s="933"/>
      <c r="E74" s="99"/>
      <c r="F74" s="100"/>
      <c r="G74" s="919"/>
      <c r="H74" s="100" t="str">
        <f>IF((F74/G$70)-1&gt;30%,"EXCLUÍDO",IF((F74/G$70)-1&lt;-30%,"EXCLUÍDO",F74))</f>
        <v>EXCLUÍDO</v>
      </c>
      <c r="I74" s="101" t="str">
        <f>IF(F74&lt;&gt;0,(F74/$G$70)-1,"")</f>
        <v/>
      </c>
      <c r="J74" s="919"/>
      <c r="K74" s="922"/>
      <c r="L74" s="919"/>
      <c r="M74" s="922"/>
      <c r="N74" s="919"/>
      <c r="O74" s="942"/>
      <c r="P74" s="97"/>
      <c r="Q74" s="97"/>
      <c r="R74" s="106"/>
      <c r="S74" s="97"/>
      <c r="T74" s="106"/>
      <c r="U74" s="107"/>
    </row>
    <row r="75" spans="1:21" s="96" customFormat="1" ht="24" customHeight="1">
      <c r="A75" s="939">
        <v>14</v>
      </c>
      <c r="B75" s="938" t="s">
        <v>453</v>
      </c>
      <c r="C75" s="939" t="s">
        <v>196</v>
      </c>
      <c r="D75" s="940">
        <v>4</v>
      </c>
      <c r="E75" s="114" t="s">
        <v>245</v>
      </c>
      <c r="F75" s="103">
        <v>433.52</v>
      </c>
      <c r="G75" s="914">
        <f>ROUNDUP(AVERAGE(F75:F79),2)</f>
        <v>394.34</v>
      </c>
      <c r="H75" s="103">
        <f>IF((F75/G$75)-1&gt;30%,"EXCLUÍDO",IF((F75/G$75)-1&lt;-30%,"EXCLUÍDO",F75))</f>
        <v>433.52</v>
      </c>
      <c r="I75" s="115">
        <f>IF(F75&lt;&gt;0,(F75/$G$75)-1,"")</f>
        <v>9.9355885783841469E-2</v>
      </c>
      <c r="J75" s="914">
        <f>AVERAGE(H75:H79)</f>
        <v>394.34</v>
      </c>
      <c r="K75" s="924">
        <f>MEDIAN(H75:H79)</f>
        <v>433.52</v>
      </c>
      <c r="L75" s="914">
        <f>STDEV(H75:H79)</f>
        <v>95.108500145886154</v>
      </c>
      <c r="M75" s="927">
        <f>L75/J75</f>
        <v>0.24118400402162135</v>
      </c>
      <c r="N75" s="914">
        <f>IF(M75&lt;25%,J75,K75)</f>
        <v>394.34</v>
      </c>
      <c r="O75" s="974">
        <f>N75*D75</f>
        <v>1577.36</v>
      </c>
      <c r="P75" s="97"/>
      <c r="Q75" s="97"/>
      <c r="R75" s="106"/>
      <c r="S75" s="97"/>
      <c r="T75" s="106"/>
      <c r="U75" s="107"/>
    </row>
    <row r="76" spans="1:21" s="96" customFormat="1" ht="24" customHeight="1">
      <c r="A76" s="939"/>
      <c r="B76" s="938"/>
      <c r="C76" s="939"/>
      <c r="D76" s="940"/>
      <c r="E76" s="114" t="s">
        <v>229</v>
      </c>
      <c r="F76" s="103">
        <v>463.6</v>
      </c>
      <c r="G76" s="915"/>
      <c r="H76" s="103">
        <f>IF((F76/G$75)-1&gt;30%,"EXCLUÍDO",IF((F76/G$75)-1&lt;-30%,"EXCLUÍDO",F76))</f>
        <v>463.6</v>
      </c>
      <c r="I76" s="115">
        <f>IF(F76&lt;&gt;0,(F76/$G$75)-1,"")</f>
        <v>0.17563523862656605</v>
      </c>
      <c r="J76" s="915"/>
      <c r="K76" s="925"/>
      <c r="L76" s="915"/>
      <c r="M76" s="925"/>
      <c r="N76" s="915"/>
      <c r="O76" s="974"/>
      <c r="P76" s="97"/>
      <c r="Q76" s="97"/>
      <c r="R76" s="106"/>
      <c r="S76" s="97"/>
      <c r="T76" s="106"/>
      <c r="U76" s="107"/>
    </row>
    <row r="77" spans="1:21" s="96" customFormat="1" ht="24" customHeight="1">
      <c r="A77" s="939"/>
      <c r="B77" s="938"/>
      <c r="C77" s="939"/>
      <c r="D77" s="940"/>
      <c r="E77" s="114" t="s">
        <v>242</v>
      </c>
      <c r="F77" s="103">
        <v>285.89999999999998</v>
      </c>
      <c r="G77" s="915"/>
      <c r="H77" s="103">
        <f>IF((F77/G$75)-1&gt;30%,"EXCLUÍDO",IF((F77/G$75)-1&lt;-30%,"EXCLUÍDO",F77))</f>
        <v>285.89999999999998</v>
      </c>
      <c r="I77" s="115">
        <f>IF(F77&lt;&gt;0,(F77/$G$75)-1,"")</f>
        <v>-0.27499112441040729</v>
      </c>
      <c r="J77" s="915"/>
      <c r="K77" s="925"/>
      <c r="L77" s="915"/>
      <c r="M77" s="925"/>
      <c r="N77" s="915"/>
      <c r="O77" s="974"/>
      <c r="P77" s="97"/>
      <c r="Q77" s="97"/>
      <c r="R77" s="106"/>
      <c r="S77" s="97"/>
      <c r="T77" s="106"/>
      <c r="U77" s="107"/>
    </row>
    <row r="78" spans="1:21" s="96" customFormat="1" ht="24" customHeight="1">
      <c r="A78" s="939"/>
      <c r="B78" s="938"/>
      <c r="C78" s="939"/>
      <c r="D78" s="940"/>
      <c r="E78" s="114"/>
      <c r="F78" s="103"/>
      <c r="G78" s="915"/>
      <c r="H78" s="103" t="str">
        <f>IF((F78/G$75)-1&gt;30%,"EXCLUÍDO",IF((F78/G$75)-1&lt;-30%,"EXCLUÍDO",F78))</f>
        <v>EXCLUÍDO</v>
      </c>
      <c r="I78" s="115" t="str">
        <f>IF(F78&lt;&gt;0,(F78/$G$75)-1,"")</f>
        <v/>
      </c>
      <c r="J78" s="915"/>
      <c r="K78" s="925"/>
      <c r="L78" s="915"/>
      <c r="M78" s="925"/>
      <c r="N78" s="915"/>
      <c r="O78" s="974"/>
      <c r="P78" s="97"/>
      <c r="Q78" s="97"/>
      <c r="R78" s="106"/>
      <c r="S78" s="97"/>
      <c r="T78" s="106"/>
      <c r="U78" s="107"/>
    </row>
    <row r="79" spans="1:21" s="96" customFormat="1" ht="24" customHeight="1">
      <c r="A79" s="939"/>
      <c r="B79" s="938"/>
      <c r="C79" s="939"/>
      <c r="D79" s="940"/>
      <c r="E79" s="114"/>
      <c r="F79" s="103"/>
      <c r="G79" s="916"/>
      <c r="H79" s="103" t="str">
        <f>IF((F79/G$75)-1&gt;30%,"EXCLUÍDO",IF((F79/G$75)-1&lt;-30%,"EXCLUÍDO",F79))</f>
        <v>EXCLUÍDO</v>
      </c>
      <c r="I79" s="115" t="str">
        <f>IF(F79&lt;&gt;0,(F79/$G$75)-1,"")</f>
        <v/>
      </c>
      <c r="J79" s="916"/>
      <c r="K79" s="926"/>
      <c r="L79" s="916"/>
      <c r="M79" s="926"/>
      <c r="N79" s="916"/>
      <c r="O79" s="974"/>
      <c r="P79" s="97"/>
      <c r="Q79" s="97"/>
      <c r="R79" s="106"/>
      <c r="S79" s="97"/>
      <c r="T79" s="106"/>
      <c r="U79" s="107"/>
    </row>
    <row r="80" spans="1:21" s="96" customFormat="1" ht="24" customHeight="1">
      <c r="A80" s="929">
        <v>15</v>
      </c>
      <c r="B80" s="946" t="s">
        <v>501</v>
      </c>
      <c r="C80" s="929" t="s">
        <v>196</v>
      </c>
      <c r="D80" s="933">
        <v>3</v>
      </c>
      <c r="E80" s="99" t="s">
        <v>231</v>
      </c>
      <c r="F80" s="100">
        <v>16036.23</v>
      </c>
      <c r="G80" s="917">
        <f>ROUNDUP(AVERAGE(F80:F84),2)</f>
        <v>13250.01</v>
      </c>
      <c r="H80" s="100">
        <f>IF((F80/G$80)-1&gt;30%,"EXCLUÍDO",IF((F80/G$80)-1&lt;-30%,"EXCLUÍDO",F80))</f>
        <v>16036.23</v>
      </c>
      <c r="I80" s="101">
        <f>IF(F80&lt;&gt;0,(F80/$G$80)-1,"")</f>
        <v>0.21028059601464455</v>
      </c>
      <c r="J80" s="917">
        <f>AVERAGE(H80:H84)</f>
        <v>13250.01</v>
      </c>
      <c r="K80" s="920">
        <f>MEDIAN(H80:H84)</f>
        <v>13728.8</v>
      </c>
      <c r="L80" s="917">
        <f>STDEV(H80:H84)</f>
        <v>3053.8952218928557</v>
      </c>
      <c r="M80" s="923">
        <f>L80/J80</f>
        <v>0.23048248430701981</v>
      </c>
      <c r="N80" s="917">
        <f>IF(M80&lt;25%,J80,K80)</f>
        <v>13250.01</v>
      </c>
      <c r="O80" s="942">
        <f>N80*D80</f>
        <v>39750.03</v>
      </c>
      <c r="P80" s="97"/>
      <c r="Q80" s="97"/>
      <c r="R80" s="106"/>
      <c r="S80" s="97"/>
      <c r="T80" s="106"/>
      <c r="U80" s="107"/>
    </row>
    <row r="81" spans="1:21" s="96" customFormat="1" ht="24" customHeight="1">
      <c r="A81" s="929"/>
      <c r="B81" s="946"/>
      <c r="C81" s="929"/>
      <c r="D81" s="933"/>
      <c r="E81" s="99" t="s">
        <v>250</v>
      </c>
      <c r="F81" s="100">
        <v>13728.8</v>
      </c>
      <c r="G81" s="918"/>
      <c r="H81" s="100">
        <f>IF((F81/G$80)-1&gt;30%,"EXCLUÍDO",IF((F81/G$80)-1&lt;-30%,"EXCLUÍDO",F81))</f>
        <v>13728.8</v>
      </c>
      <c r="I81" s="101">
        <f>IF(F81&lt;&gt;0,(F81/$G$80)-1,"")</f>
        <v>3.6135067067873949E-2</v>
      </c>
      <c r="J81" s="918"/>
      <c r="K81" s="921"/>
      <c r="L81" s="918"/>
      <c r="M81" s="921"/>
      <c r="N81" s="918"/>
      <c r="O81" s="942"/>
      <c r="P81" s="97"/>
      <c r="Q81" s="97"/>
      <c r="R81" s="106"/>
      <c r="S81" s="97"/>
      <c r="T81" s="106"/>
      <c r="U81" s="107"/>
    </row>
    <row r="82" spans="1:21" s="96" customFormat="1" ht="24" customHeight="1">
      <c r="A82" s="929"/>
      <c r="B82" s="946"/>
      <c r="C82" s="929"/>
      <c r="D82" s="933"/>
      <c r="E82" s="99" t="s">
        <v>254</v>
      </c>
      <c r="F82" s="100">
        <v>9985</v>
      </c>
      <c r="G82" s="918"/>
      <c r="H82" s="100">
        <f>IF((F82/G$80)-1&gt;30%,"EXCLUÍDO",IF((F82/G$80)-1&lt;-30%,"EXCLUÍDO",F82))</f>
        <v>9985</v>
      </c>
      <c r="I82" s="101">
        <f>IF(F82&lt;&gt;0,(F82/$G$80)-1,"")</f>
        <v>-0.24641566308251839</v>
      </c>
      <c r="J82" s="918"/>
      <c r="K82" s="921"/>
      <c r="L82" s="918"/>
      <c r="M82" s="921"/>
      <c r="N82" s="918"/>
      <c r="O82" s="942"/>
      <c r="P82" s="97"/>
      <c r="Q82" s="97"/>
      <c r="R82" s="106"/>
      <c r="S82" s="97"/>
      <c r="T82" s="106"/>
      <c r="U82" s="107"/>
    </row>
    <row r="83" spans="1:21" s="96" customFormat="1" ht="24" customHeight="1">
      <c r="A83" s="929"/>
      <c r="B83" s="946"/>
      <c r="C83" s="929"/>
      <c r="D83" s="933"/>
      <c r="E83" s="99"/>
      <c r="F83" s="100"/>
      <c r="G83" s="918"/>
      <c r="H83" s="100" t="str">
        <f>IF((F83/G$80)-1&gt;30%,"EXCLUÍDO",IF((F83/G$80)-1&lt;-30%,"EXCLUÍDO",F83))</f>
        <v>EXCLUÍDO</v>
      </c>
      <c r="I83" s="101" t="str">
        <f>IF(F83&lt;&gt;0,(F83/$G$80)-1,"")</f>
        <v/>
      </c>
      <c r="J83" s="918"/>
      <c r="K83" s="921"/>
      <c r="L83" s="918"/>
      <c r="M83" s="921"/>
      <c r="N83" s="918"/>
      <c r="O83" s="942"/>
      <c r="P83" s="97"/>
      <c r="Q83" s="97"/>
      <c r="R83" s="106"/>
      <c r="S83" s="97"/>
      <c r="T83" s="106"/>
      <c r="U83" s="107"/>
    </row>
    <row r="84" spans="1:21" s="96" customFormat="1" ht="24" customHeight="1">
      <c r="A84" s="929"/>
      <c r="B84" s="946"/>
      <c r="C84" s="929"/>
      <c r="D84" s="933"/>
      <c r="E84" s="99"/>
      <c r="F84" s="100"/>
      <c r="G84" s="919"/>
      <c r="H84" s="100" t="str">
        <f>IF((F84/G$80)-1&gt;30%,"EXCLUÍDO",IF((F84/G$80)-1&lt;-30%,"EXCLUÍDO",F84))</f>
        <v>EXCLUÍDO</v>
      </c>
      <c r="I84" s="101" t="str">
        <f>IF(F84&lt;&gt;0,(F84/$G$80)-1,"")</f>
        <v/>
      </c>
      <c r="J84" s="919"/>
      <c r="K84" s="922"/>
      <c r="L84" s="919"/>
      <c r="M84" s="922"/>
      <c r="N84" s="919"/>
      <c r="O84" s="942"/>
      <c r="P84" s="97"/>
      <c r="Q84" s="97"/>
      <c r="R84" s="106"/>
      <c r="S84" s="97"/>
      <c r="T84" s="106"/>
      <c r="U84" s="107"/>
    </row>
    <row r="85" spans="1:21" s="96" customFormat="1" ht="24" customHeight="1">
      <c r="A85" s="939">
        <v>16</v>
      </c>
      <c r="B85" s="910" t="s">
        <v>493</v>
      </c>
      <c r="C85" s="939" t="s">
        <v>196</v>
      </c>
      <c r="D85" s="940">
        <v>3</v>
      </c>
      <c r="E85" s="114" t="s">
        <v>488</v>
      </c>
      <c r="F85" s="103">
        <v>3150</v>
      </c>
      <c r="G85" s="914">
        <f>ROUNDUP(AVERAGE(F85:F89),2)</f>
        <v>3086.4</v>
      </c>
      <c r="H85" s="103">
        <f>IF((F85/G$85)-1&gt;30%,"EXCLUÍDO",IF((F85/G$85)-1&lt;-30%,"EXCLUÍDO",F85))</f>
        <v>3150</v>
      </c>
      <c r="I85" s="115">
        <f>IF(F85&lt;&gt;0,(F85/$G$85)-1,"")</f>
        <v>2.0606531881804058E-2</v>
      </c>
      <c r="J85" s="914">
        <f>AVERAGE(H85:H89)</f>
        <v>3086.4</v>
      </c>
      <c r="K85" s="924">
        <f>MEDIAN(H85:H89)</f>
        <v>3150</v>
      </c>
      <c r="L85" s="914">
        <f>STDEV(H85:H89)</f>
        <v>362.89647972941327</v>
      </c>
      <c r="M85" s="927">
        <f>L85/J85</f>
        <v>0.1175792119392863</v>
      </c>
      <c r="N85" s="914">
        <f>IF(M85&lt;25%,J85,K85)</f>
        <v>3086.4</v>
      </c>
      <c r="O85" s="974">
        <f>N85*D85</f>
        <v>9259.2000000000007</v>
      </c>
      <c r="P85" s="97"/>
      <c r="Q85" s="97"/>
      <c r="R85" s="106"/>
      <c r="S85" s="97"/>
      <c r="T85" s="106"/>
      <c r="U85" s="107"/>
    </row>
    <row r="86" spans="1:21" s="96" customFormat="1" ht="24" customHeight="1">
      <c r="A86" s="939"/>
      <c r="B86" s="910"/>
      <c r="C86" s="939"/>
      <c r="D86" s="940"/>
      <c r="E86" s="114" t="s">
        <v>489</v>
      </c>
      <c r="F86" s="103">
        <v>3134.1</v>
      </c>
      <c r="G86" s="915"/>
      <c r="H86" s="103">
        <f>IF((F86/G$85)-1&gt;30%,"EXCLUÍDO",IF((F86/G$85)-1&lt;-30%,"EXCLUÍDO",F86))</f>
        <v>3134.1</v>
      </c>
      <c r="I86" s="115">
        <f>IF(F86&lt;&gt;0,(F86/$G$85)-1,"")</f>
        <v>1.5454898911352988E-2</v>
      </c>
      <c r="J86" s="915"/>
      <c r="K86" s="925"/>
      <c r="L86" s="915"/>
      <c r="M86" s="925"/>
      <c r="N86" s="915"/>
      <c r="O86" s="974"/>
      <c r="P86" s="97"/>
      <c r="Q86" s="97"/>
      <c r="R86" s="106"/>
      <c r="S86" s="97"/>
      <c r="T86" s="106"/>
      <c r="U86" s="107"/>
    </row>
    <row r="87" spans="1:21" s="96" customFormat="1" ht="24" customHeight="1">
      <c r="A87" s="939"/>
      <c r="B87" s="910"/>
      <c r="C87" s="939"/>
      <c r="D87" s="940"/>
      <c r="E87" s="114" t="s">
        <v>490</v>
      </c>
      <c r="F87" s="103">
        <v>3465</v>
      </c>
      <c r="G87" s="915"/>
      <c r="H87" s="103">
        <f>IF((F87/G$85)-1&gt;30%,"EXCLUÍDO",IF((F87/G$85)-1&lt;-30%,"EXCLUÍDO",F87))</f>
        <v>3465</v>
      </c>
      <c r="I87" s="115">
        <f>IF(F87&lt;&gt;0,(F87/$G$85)-1,"")</f>
        <v>0.12266718506998431</v>
      </c>
      <c r="J87" s="915"/>
      <c r="K87" s="925"/>
      <c r="L87" s="915"/>
      <c r="M87" s="925"/>
      <c r="N87" s="915"/>
      <c r="O87" s="974"/>
      <c r="P87" s="97"/>
      <c r="Q87" s="97"/>
      <c r="R87" s="106"/>
      <c r="S87" s="97"/>
      <c r="T87" s="106"/>
      <c r="U87" s="107"/>
    </row>
    <row r="88" spans="1:21" s="96" customFormat="1" ht="24" customHeight="1">
      <c r="A88" s="939"/>
      <c r="B88" s="910"/>
      <c r="C88" s="939"/>
      <c r="D88" s="940"/>
      <c r="E88" s="114" t="s">
        <v>491</v>
      </c>
      <c r="F88" s="103">
        <v>2482.9</v>
      </c>
      <c r="G88" s="915"/>
      <c r="H88" s="103">
        <f>IF((F88/G$85)-1&gt;30%,"EXCLUÍDO",IF((F88/G$85)-1&lt;-30%,"EXCLUÍDO",F88))</f>
        <v>2482.9</v>
      </c>
      <c r="I88" s="115">
        <f>IF(F88&lt;&gt;0,(F88/$G$85)-1,"")</f>
        <v>-0.19553525142560912</v>
      </c>
      <c r="J88" s="915"/>
      <c r="K88" s="925"/>
      <c r="L88" s="915"/>
      <c r="M88" s="925"/>
      <c r="N88" s="915"/>
      <c r="O88" s="974"/>
      <c r="P88" s="97"/>
      <c r="Q88" s="97"/>
      <c r="R88" s="106"/>
      <c r="S88" s="97"/>
      <c r="T88" s="106"/>
      <c r="U88" s="107"/>
    </row>
    <row r="89" spans="1:21" s="96" customFormat="1" ht="24" customHeight="1">
      <c r="A89" s="939"/>
      <c r="B89" s="910"/>
      <c r="C89" s="939"/>
      <c r="D89" s="940"/>
      <c r="E89" s="114" t="s">
        <v>492</v>
      </c>
      <c r="F89" s="103">
        <v>3200</v>
      </c>
      <c r="G89" s="916"/>
      <c r="H89" s="103">
        <f>IF((F89/G$85)-1&gt;30%,"EXCLUÍDO",IF((F89/G$85)-1&lt;-30%,"EXCLUÍDO",F89))</f>
        <v>3200</v>
      </c>
      <c r="I89" s="115">
        <f>IF(F89&lt;&gt;0,(F89/$G$85)-1,"")</f>
        <v>3.680663556246766E-2</v>
      </c>
      <c r="J89" s="916"/>
      <c r="K89" s="926"/>
      <c r="L89" s="916"/>
      <c r="M89" s="926"/>
      <c r="N89" s="916"/>
      <c r="O89" s="974"/>
      <c r="P89" s="97"/>
      <c r="Q89" s="97"/>
      <c r="R89" s="106"/>
      <c r="S89" s="97"/>
      <c r="T89" s="106"/>
      <c r="U89" s="107"/>
    </row>
    <row r="90" spans="1:21" s="96" customFormat="1" ht="24" customHeight="1">
      <c r="A90" s="929">
        <v>17</v>
      </c>
      <c r="B90" s="1012" t="s">
        <v>226</v>
      </c>
      <c r="C90" s="929" t="s">
        <v>196</v>
      </c>
      <c r="D90" s="933">
        <v>6</v>
      </c>
      <c r="E90" s="99" t="s">
        <v>247</v>
      </c>
      <c r="F90" s="100">
        <v>1590</v>
      </c>
      <c r="G90" s="917">
        <f>ROUNDUP(AVERAGE(F90:F94),2)</f>
        <v>2034.73</v>
      </c>
      <c r="H90" s="100">
        <f>IF((F90/G$90)-1&gt;30%,"EXCLUÍDO",IF((F90/G$90)-1&lt;-30%,"EXCLUÍDO",F90))</f>
        <v>1590</v>
      </c>
      <c r="I90" s="101">
        <f>IF(F90&lt;&gt;0,(F90/$G$90)-1,"")</f>
        <v>-0.21856953993896</v>
      </c>
      <c r="J90" s="917">
        <f>AVERAGE(H90:H94)</f>
        <v>2034.7224999999999</v>
      </c>
      <c r="K90" s="920">
        <f>MEDIAN(H90:H94)</f>
        <v>2174.4499999999998</v>
      </c>
      <c r="L90" s="917">
        <f>STDEV(H90:H94)</f>
        <v>297.45274250710929</v>
      </c>
      <c r="M90" s="923">
        <f>L90/J90</f>
        <v>0.1461883586125918</v>
      </c>
      <c r="N90" s="917">
        <f>IF(M90&lt;25%,J90,K90)</f>
        <v>2034.7224999999999</v>
      </c>
      <c r="O90" s="942">
        <f>N90*D90</f>
        <v>12208.334999999999</v>
      </c>
      <c r="P90" s="97"/>
      <c r="Q90" s="97"/>
      <c r="R90" s="106"/>
      <c r="S90" s="97"/>
      <c r="T90" s="106"/>
      <c r="U90" s="107"/>
    </row>
    <row r="91" spans="1:21" s="96" customFormat="1" ht="24" customHeight="1">
      <c r="A91" s="929"/>
      <c r="B91" s="1012"/>
      <c r="C91" s="929"/>
      <c r="D91" s="933"/>
      <c r="E91" s="99" t="s">
        <v>246</v>
      </c>
      <c r="F91" s="100">
        <v>2199.9</v>
      </c>
      <c r="G91" s="918"/>
      <c r="H91" s="100">
        <f>IF((F91/G$90)-1&gt;30%,"EXCLUÍDO",IF((F91/G$90)-1&lt;-30%,"EXCLUÍDO",F91))</f>
        <v>2199.9</v>
      </c>
      <c r="I91" s="101">
        <f>IF(F91&lt;&gt;0,(F91/$G$90)-1,"")</f>
        <v>8.1175389363699502E-2</v>
      </c>
      <c r="J91" s="918"/>
      <c r="K91" s="921"/>
      <c r="L91" s="918"/>
      <c r="M91" s="921"/>
      <c r="N91" s="918"/>
      <c r="O91" s="942"/>
      <c r="P91" s="97"/>
      <c r="Q91" s="97"/>
      <c r="R91" s="106"/>
      <c r="S91" s="97"/>
      <c r="T91" s="106"/>
      <c r="U91" s="107"/>
    </row>
    <row r="92" spans="1:21" s="96" customFormat="1" ht="24" customHeight="1">
      <c r="A92" s="929"/>
      <c r="B92" s="1012"/>
      <c r="C92" s="929"/>
      <c r="D92" s="933"/>
      <c r="E92" s="99" t="s">
        <v>248</v>
      </c>
      <c r="F92" s="100">
        <v>2199.9899999999998</v>
      </c>
      <c r="G92" s="918"/>
      <c r="H92" s="100">
        <f>IF((F92/G$90)-1&gt;30%,"EXCLUÍDO",IF((F92/G$90)-1&lt;-30%,"EXCLUÍDO",F92))</f>
        <v>2199.9899999999998</v>
      </c>
      <c r="I92" s="101">
        <f>IF(F92&lt;&gt;0,(F92/$G$90)-1,"")</f>
        <v>8.1219621276532816E-2</v>
      </c>
      <c r="J92" s="918"/>
      <c r="K92" s="921"/>
      <c r="L92" s="918"/>
      <c r="M92" s="921"/>
      <c r="N92" s="918"/>
      <c r="O92" s="942"/>
      <c r="P92" s="97"/>
      <c r="Q92" s="97"/>
      <c r="R92" s="106"/>
      <c r="S92" s="97"/>
      <c r="T92" s="106"/>
      <c r="U92" s="107"/>
    </row>
    <row r="93" spans="1:21" s="96" customFormat="1" ht="24" customHeight="1">
      <c r="A93" s="929"/>
      <c r="B93" s="1012"/>
      <c r="C93" s="929"/>
      <c r="D93" s="933"/>
      <c r="E93" s="99" t="s">
        <v>228</v>
      </c>
      <c r="F93" s="100">
        <v>2149</v>
      </c>
      <c r="G93" s="918"/>
      <c r="H93" s="100">
        <f>IF((F93/G$90)-1&gt;30%,"EXCLUÍDO",IF((F93/G$90)-1&lt;-30%,"EXCLUÍDO",F93))</f>
        <v>2149</v>
      </c>
      <c r="I93" s="101">
        <f>IF(F93&lt;&gt;0,(F93/$G$90)-1,"")</f>
        <v>5.6159785327783096E-2</v>
      </c>
      <c r="J93" s="918"/>
      <c r="K93" s="921"/>
      <c r="L93" s="918"/>
      <c r="M93" s="921"/>
      <c r="N93" s="918"/>
      <c r="O93" s="942"/>
      <c r="P93" s="97"/>
      <c r="Q93" s="97"/>
      <c r="R93" s="106"/>
      <c r="S93" s="97"/>
      <c r="T93" s="106"/>
      <c r="U93" s="107"/>
    </row>
    <row r="94" spans="1:21" s="96" customFormat="1" ht="24" customHeight="1">
      <c r="A94" s="929"/>
      <c r="B94" s="1012"/>
      <c r="C94" s="929"/>
      <c r="D94" s="933"/>
      <c r="E94" s="99"/>
      <c r="F94" s="100"/>
      <c r="G94" s="919"/>
      <c r="H94" s="100" t="str">
        <f>IF((F94/G$90)-1&gt;30%,"EXCLUÍDO",IF((F94/G$90)-1&lt;-30%,"EXCLUÍDO",F94))</f>
        <v>EXCLUÍDO</v>
      </c>
      <c r="I94" s="101" t="str">
        <f>IF(F94&lt;&gt;0,(F94/$G$90)-1,"")</f>
        <v/>
      </c>
      <c r="J94" s="919"/>
      <c r="K94" s="922"/>
      <c r="L94" s="919"/>
      <c r="M94" s="922"/>
      <c r="N94" s="919"/>
      <c r="O94" s="942"/>
      <c r="P94" s="97"/>
      <c r="Q94" s="97"/>
      <c r="R94" s="106"/>
      <c r="S94" s="97"/>
      <c r="T94" s="106"/>
      <c r="U94" s="107"/>
    </row>
    <row r="95" spans="1:21" s="146" customFormat="1" ht="27" customHeight="1">
      <c r="A95" s="939">
        <v>18</v>
      </c>
      <c r="B95" s="991" t="s">
        <v>586</v>
      </c>
      <c r="C95" s="978" t="s">
        <v>196</v>
      </c>
      <c r="D95" s="987">
        <v>2</v>
      </c>
      <c r="E95" s="114" t="s">
        <v>409</v>
      </c>
      <c r="F95" s="103">
        <v>1283.07</v>
      </c>
      <c r="G95" s="914">
        <f>ROUNDUP(AVERAGE(F95:F99),2)</f>
        <v>1324.54</v>
      </c>
      <c r="H95" s="103">
        <f>IF((F95/G$95)-1&gt;30%,"EXCLUÍDO",IF((F95/G$95)-1&lt;-30%,"EXCLUÍDO",F95))</f>
        <v>1283.07</v>
      </c>
      <c r="I95" s="115">
        <f>IF(F95&lt;&gt;0,(F95/$G$95)-1,"")</f>
        <v>-3.1308982741178104E-2</v>
      </c>
      <c r="J95" s="914">
        <f>AVERAGE(H95:H99)</f>
        <v>1324.54</v>
      </c>
      <c r="K95" s="924">
        <f>MEDIAN(H95:H99)</f>
        <v>1325.1799999999998</v>
      </c>
      <c r="L95" s="914">
        <f>STDEV(H95:H99)</f>
        <v>98.388621632112745</v>
      </c>
      <c r="M95" s="927">
        <f>L95/J95</f>
        <v>7.428135173880196E-2</v>
      </c>
      <c r="N95" s="914">
        <f>IF(M95&lt;25%,J95,K95)</f>
        <v>1324.54</v>
      </c>
      <c r="O95" s="974">
        <f>N95*D95</f>
        <v>2649.08</v>
      </c>
      <c r="P95" s="165"/>
      <c r="Q95" s="165"/>
      <c r="R95" s="166"/>
      <c r="S95" s="165"/>
      <c r="T95" s="166"/>
      <c r="U95" s="167"/>
    </row>
    <row r="96" spans="1:21" s="146" customFormat="1" ht="24" customHeight="1">
      <c r="A96" s="939"/>
      <c r="B96" s="992"/>
      <c r="C96" s="979"/>
      <c r="D96" s="988"/>
      <c r="E96" s="114" t="s">
        <v>410</v>
      </c>
      <c r="F96" s="103">
        <v>1211</v>
      </c>
      <c r="G96" s="915"/>
      <c r="H96" s="103">
        <f>IF((F96/G$95)-1&gt;30%,"EXCLUÍDO",IF((F96/G$95)-1&lt;-30%,"EXCLUÍDO",F96))</f>
        <v>1211</v>
      </c>
      <c r="I96" s="115">
        <f>IF(F96&lt;&gt;0,(F96/$G$95)-1,"")</f>
        <v>-8.5720325546982279E-2</v>
      </c>
      <c r="J96" s="915"/>
      <c r="K96" s="925"/>
      <c r="L96" s="915"/>
      <c r="M96" s="925"/>
      <c r="N96" s="915"/>
      <c r="O96" s="974"/>
      <c r="P96" s="165"/>
      <c r="Q96" s="165"/>
      <c r="R96" s="166"/>
      <c r="S96" s="165"/>
      <c r="T96" s="166"/>
      <c r="U96" s="167"/>
    </row>
    <row r="97" spans="1:21" s="146" customFormat="1" ht="24" customHeight="1">
      <c r="A97" s="939"/>
      <c r="B97" s="992"/>
      <c r="C97" s="979"/>
      <c r="D97" s="988"/>
      <c r="E97" s="114" t="s">
        <v>411</v>
      </c>
      <c r="F97" s="103">
        <v>1367.29</v>
      </c>
      <c r="G97" s="915"/>
      <c r="H97" s="103">
        <f>IF((F97/G$95)-1&gt;30%,"EXCLUÍDO",IF((F97/G$95)-1&lt;-30%,"EXCLUÍDO",F97))</f>
        <v>1367.29</v>
      </c>
      <c r="I97" s="115">
        <f>IF(F97&lt;&gt;0,(F97/$G$95)-1,"")</f>
        <v>3.2275355972639641E-2</v>
      </c>
      <c r="J97" s="915"/>
      <c r="K97" s="925"/>
      <c r="L97" s="915"/>
      <c r="M97" s="925"/>
      <c r="N97" s="915"/>
      <c r="O97" s="974"/>
      <c r="P97" s="165"/>
      <c r="Q97" s="165"/>
      <c r="R97" s="166"/>
      <c r="S97" s="165"/>
      <c r="T97" s="166"/>
      <c r="U97" s="167"/>
    </row>
    <row r="98" spans="1:21" s="146" customFormat="1" ht="24" customHeight="1">
      <c r="A98" s="939"/>
      <c r="B98" s="992"/>
      <c r="C98" s="979"/>
      <c r="D98" s="988"/>
      <c r="E98" s="114" t="s">
        <v>406</v>
      </c>
      <c r="F98" s="103">
        <v>1436.8</v>
      </c>
      <c r="G98" s="915"/>
      <c r="H98" s="103">
        <f>IF((F98/G$95)-1&gt;30%,"EXCLUÍDO",IF((F98/G$95)-1&lt;-30%,"EXCLUÍDO",F98))</f>
        <v>1436.8</v>
      </c>
      <c r="I98" s="115">
        <f>IF(F98&lt;&gt;0,(F98/$G$95)-1,"")</f>
        <v>8.4753952315520964E-2</v>
      </c>
      <c r="J98" s="915"/>
      <c r="K98" s="925"/>
      <c r="L98" s="915"/>
      <c r="M98" s="925"/>
      <c r="N98" s="915"/>
      <c r="O98" s="974"/>
      <c r="P98" s="165"/>
      <c r="Q98" s="165"/>
      <c r="R98" s="166"/>
      <c r="S98" s="165"/>
      <c r="T98" s="166"/>
      <c r="U98" s="167"/>
    </row>
    <row r="99" spans="1:21" s="146" customFormat="1" ht="24" customHeight="1">
      <c r="A99" s="939"/>
      <c r="B99" s="993"/>
      <c r="C99" s="980"/>
      <c r="D99" s="989"/>
      <c r="E99" s="114"/>
      <c r="F99" s="103"/>
      <c r="G99" s="916"/>
      <c r="H99" s="103" t="str">
        <f>IF((F99/G$95)-1&gt;30%,"EXCLUÍDO",IF((F99/G$95)-1&lt;-30%,"EXCLUÍDO",F99))</f>
        <v>EXCLUÍDO</v>
      </c>
      <c r="I99" s="115" t="str">
        <f>IF(F99&lt;&gt;0,(F99/$G$95)-1,"")</f>
        <v/>
      </c>
      <c r="J99" s="916"/>
      <c r="K99" s="926"/>
      <c r="L99" s="916"/>
      <c r="M99" s="926"/>
      <c r="N99" s="916"/>
      <c r="O99" s="974"/>
      <c r="P99" s="165"/>
      <c r="Q99" s="165"/>
      <c r="R99" s="166"/>
      <c r="S99" s="165"/>
      <c r="T99" s="166"/>
      <c r="U99" s="167"/>
    </row>
    <row r="100" spans="1:21" s="96" customFormat="1" ht="24" customHeight="1">
      <c r="A100" s="929">
        <v>19</v>
      </c>
      <c r="B100" s="968" t="s">
        <v>412</v>
      </c>
      <c r="C100" s="971" t="s">
        <v>196</v>
      </c>
      <c r="D100" s="933">
        <v>4</v>
      </c>
      <c r="E100" s="99" t="s">
        <v>413</v>
      </c>
      <c r="F100" s="100">
        <v>990</v>
      </c>
      <c r="G100" s="917">
        <f>ROUNDUP(AVERAGE(F100:F104),2)</f>
        <v>990.93999999999994</v>
      </c>
      <c r="H100" s="100">
        <f>IF((F100/G$100)-1&gt;30%,"EXCLUÍDO",IF((F100/G$100)-1&lt;-30%,"EXCLUÍDO",F100))</f>
        <v>990</v>
      </c>
      <c r="I100" s="101">
        <f>IF(F100&lt;&gt;0,(F100/$G$100)-1,"")</f>
        <v>-9.4859426403204328E-4</v>
      </c>
      <c r="J100" s="917">
        <f>AVERAGE(H100:H104)</f>
        <v>990.93399999999997</v>
      </c>
      <c r="K100" s="920">
        <f>MEDIAN(H100:H104)</f>
        <v>990</v>
      </c>
      <c r="L100" s="917">
        <f>STDEV(H100:H104)</f>
        <v>47.848839902341105</v>
      </c>
      <c r="M100" s="923">
        <f>L100/J100</f>
        <v>4.8286606274828704E-2</v>
      </c>
      <c r="N100" s="917">
        <f>IF(M100&lt;25%,J100,K100)</f>
        <v>990.93399999999997</v>
      </c>
      <c r="O100" s="942">
        <f>N100*D100</f>
        <v>3963.7359999999999</v>
      </c>
      <c r="P100" s="97"/>
      <c r="Q100" s="97"/>
      <c r="R100" s="106"/>
      <c r="S100" s="97"/>
      <c r="T100" s="106"/>
      <c r="U100" s="107"/>
    </row>
    <row r="101" spans="1:21" s="96" customFormat="1" ht="24" customHeight="1">
      <c r="A101" s="929"/>
      <c r="B101" s="969"/>
      <c r="C101" s="972"/>
      <c r="D101" s="933"/>
      <c r="E101" s="99" t="s">
        <v>228</v>
      </c>
      <c r="F101" s="100">
        <v>1049.9000000000001</v>
      </c>
      <c r="G101" s="918"/>
      <c r="H101" s="100">
        <f>IF((F101/G$100)-1&gt;30%,"EXCLUÍDO",IF((F101/G$100)-1&lt;-30%,"EXCLUÍDO",F101))</f>
        <v>1049.9000000000001</v>
      </c>
      <c r="I101" s="101">
        <f>IF(F101&lt;&gt;0,(F101/$G$100)-1,"")</f>
        <v>5.949906149716444E-2</v>
      </c>
      <c r="J101" s="918"/>
      <c r="K101" s="921"/>
      <c r="L101" s="918"/>
      <c r="M101" s="921"/>
      <c r="N101" s="918"/>
      <c r="O101" s="942"/>
      <c r="P101" s="97"/>
      <c r="Q101" s="97"/>
      <c r="R101" s="106"/>
      <c r="S101" s="97"/>
      <c r="T101" s="106"/>
      <c r="U101" s="107"/>
    </row>
    <row r="102" spans="1:21" s="96" customFormat="1" ht="24" customHeight="1">
      <c r="A102" s="929"/>
      <c r="B102" s="969"/>
      <c r="C102" s="972"/>
      <c r="D102" s="933"/>
      <c r="E102" s="99" t="s">
        <v>414</v>
      </c>
      <c r="F102" s="100">
        <v>931.41</v>
      </c>
      <c r="G102" s="918"/>
      <c r="H102" s="100">
        <f>IF((F102/G$100)-1&gt;30%,"EXCLUÍDO",IF((F102/G$100)-1&lt;-30%,"EXCLUÍDO",F102))</f>
        <v>931.41</v>
      </c>
      <c r="I102" s="101">
        <f>IF(F102&lt;&gt;0,(F102/$G$100)-1,"")</f>
        <v>-6.0074272912588045E-2</v>
      </c>
      <c r="J102" s="918"/>
      <c r="K102" s="921"/>
      <c r="L102" s="918"/>
      <c r="M102" s="921"/>
      <c r="N102" s="918"/>
      <c r="O102" s="942"/>
      <c r="P102" s="97"/>
      <c r="Q102" s="97"/>
      <c r="R102" s="106"/>
      <c r="S102" s="97"/>
      <c r="T102" s="106"/>
      <c r="U102" s="107"/>
    </row>
    <row r="103" spans="1:21" s="96" customFormat="1" ht="24" customHeight="1">
      <c r="A103" s="929"/>
      <c r="B103" s="969"/>
      <c r="C103" s="972"/>
      <c r="D103" s="933"/>
      <c r="E103" s="99" t="s">
        <v>234</v>
      </c>
      <c r="F103" s="100">
        <v>1024.3599999999999</v>
      </c>
      <c r="G103" s="918"/>
      <c r="H103" s="100">
        <f>IF((F103/G$100)-1&gt;30%,"EXCLUÍDO",IF((F103/G$100)-1&lt;-30%,"EXCLUÍDO",F103))</f>
        <v>1024.3599999999999</v>
      </c>
      <c r="I103" s="101">
        <f>IF(F103&lt;&gt;0,(F103/$G$100)-1,"")</f>
        <v>3.3725553514844409E-2</v>
      </c>
      <c r="J103" s="918"/>
      <c r="K103" s="921"/>
      <c r="L103" s="918"/>
      <c r="M103" s="921"/>
      <c r="N103" s="918"/>
      <c r="O103" s="942"/>
      <c r="P103" s="97"/>
      <c r="Q103" s="97"/>
      <c r="R103" s="106"/>
      <c r="S103" s="97"/>
      <c r="T103" s="106"/>
      <c r="U103" s="107"/>
    </row>
    <row r="104" spans="1:21" s="96" customFormat="1" ht="24" customHeight="1">
      <c r="A104" s="929"/>
      <c r="B104" s="970"/>
      <c r="C104" s="973"/>
      <c r="D104" s="933"/>
      <c r="E104" s="99" t="s">
        <v>415</v>
      </c>
      <c r="F104" s="100">
        <v>959</v>
      </c>
      <c r="G104" s="919"/>
      <c r="H104" s="100">
        <f>IF((F104/G$100)-1&gt;30%,"EXCLUÍDO",IF((F104/G$100)-1&lt;-30%,"EXCLUÍDO",F104))</f>
        <v>959</v>
      </c>
      <c r="I104" s="101">
        <f>IF(F104&lt;&gt;0,(F104/$G$100)-1,"")</f>
        <v>-3.2232022120410875E-2</v>
      </c>
      <c r="J104" s="919"/>
      <c r="K104" s="922"/>
      <c r="L104" s="919"/>
      <c r="M104" s="922"/>
      <c r="N104" s="919"/>
      <c r="O104" s="942"/>
      <c r="P104" s="97"/>
      <c r="Q104" s="97"/>
      <c r="R104" s="106"/>
      <c r="S104" s="97"/>
      <c r="T104" s="106"/>
      <c r="U104" s="107"/>
    </row>
    <row r="105" spans="1:21" s="146" customFormat="1" ht="24" customHeight="1">
      <c r="A105" s="939">
        <v>20</v>
      </c>
      <c r="B105" s="975" t="s">
        <v>416</v>
      </c>
      <c r="C105" s="978" t="s">
        <v>196</v>
      </c>
      <c r="D105" s="940">
        <v>2</v>
      </c>
      <c r="E105" s="114" t="s">
        <v>234</v>
      </c>
      <c r="F105" s="103">
        <v>2368.7199999999998</v>
      </c>
      <c r="G105" s="914">
        <f>ROUNDUP(AVERAGE(F105:F109),2)</f>
        <v>1926.52</v>
      </c>
      <c r="H105" s="103">
        <f>IF((F105/G$105)-1&gt;30%,"EXCLUÍDO",IF((F105/G$105)-1&lt;-30%,"EXCLUÍDO",F105))</f>
        <v>2368.7199999999998</v>
      </c>
      <c r="I105" s="115">
        <f>IF(F105&lt;&gt;0,(F105/$G$105)-1,"")</f>
        <v>0.22953304403795438</v>
      </c>
      <c r="J105" s="914">
        <f>AVERAGE(H105:H109)</f>
        <v>1926.5119999999999</v>
      </c>
      <c r="K105" s="924">
        <f>MEDIAN(H105:H109)</f>
        <v>2153.79</v>
      </c>
      <c r="L105" s="914">
        <f>STDEV(H105:H109)</f>
        <v>434.02208500259593</v>
      </c>
      <c r="M105" s="927">
        <f>L105/J105</f>
        <v>0.22528906386391362</v>
      </c>
      <c r="N105" s="914">
        <f>IF(M105&lt;25%,J105,K105)</f>
        <v>1926.5119999999999</v>
      </c>
      <c r="O105" s="974">
        <f>N105*D105</f>
        <v>3853.0239999999999</v>
      </c>
      <c r="P105" s="165"/>
      <c r="Q105" s="165"/>
      <c r="R105" s="166"/>
      <c r="S105" s="165"/>
      <c r="T105" s="166"/>
      <c r="U105" s="167"/>
    </row>
    <row r="106" spans="1:21" s="146" customFormat="1" ht="24" customHeight="1">
      <c r="A106" s="939"/>
      <c r="B106" s="976"/>
      <c r="C106" s="979"/>
      <c r="D106" s="940"/>
      <c r="E106" s="114" t="s">
        <v>248</v>
      </c>
      <c r="F106" s="103">
        <v>1420.23</v>
      </c>
      <c r="G106" s="915"/>
      <c r="H106" s="103">
        <f>IF((F106/G$105)-1&gt;30%,"EXCLUÍDO",IF((F106/G$105)-1&lt;-30%,"EXCLUÍDO",F106))</f>
        <v>1420.23</v>
      </c>
      <c r="I106" s="115">
        <f>IF(F106&lt;&gt;0,(F106/$G$105)-1,"")</f>
        <v>-0.26280028237443676</v>
      </c>
      <c r="J106" s="915"/>
      <c r="K106" s="925"/>
      <c r="L106" s="915"/>
      <c r="M106" s="925"/>
      <c r="N106" s="915"/>
      <c r="O106" s="974"/>
      <c r="P106" s="165"/>
      <c r="Q106" s="165"/>
      <c r="R106" s="166"/>
      <c r="S106" s="165"/>
      <c r="T106" s="166"/>
      <c r="U106" s="167"/>
    </row>
    <row r="107" spans="1:21" s="146" customFormat="1" ht="24" customHeight="1">
      <c r="A107" s="939"/>
      <c r="B107" s="976"/>
      <c r="C107" s="979"/>
      <c r="D107" s="940"/>
      <c r="E107" s="114" t="s">
        <v>414</v>
      </c>
      <c r="F107" s="103">
        <v>2153.79</v>
      </c>
      <c r="G107" s="915"/>
      <c r="H107" s="103">
        <f>IF((F107/G$105)-1&gt;30%,"EXCLUÍDO",IF((F107/G$105)-1&lt;-30%,"EXCLUÍDO",F107))</f>
        <v>2153.79</v>
      </c>
      <c r="I107" s="115">
        <f>IF(F107&lt;&gt;0,(F107/$G$105)-1,"")</f>
        <v>0.11796918796586597</v>
      </c>
      <c r="J107" s="915"/>
      <c r="K107" s="925"/>
      <c r="L107" s="915"/>
      <c r="M107" s="925"/>
      <c r="N107" s="915"/>
      <c r="O107" s="974"/>
      <c r="P107" s="165"/>
      <c r="Q107" s="165"/>
      <c r="R107" s="166"/>
      <c r="S107" s="165"/>
      <c r="T107" s="166"/>
      <c r="U107" s="167"/>
    </row>
    <row r="108" spans="1:21" s="146" customFormat="1" ht="24" customHeight="1">
      <c r="A108" s="939"/>
      <c r="B108" s="976"/>
      <c r="C108" s="979"/>
      <c r="D108" s="940"/>
      <c r="E108" s="114" t="s">
        <v>417</v>
      </c>
      <c r="F108" s="103">
        <v>1500.92</v>
      </c>
      <c r="G108" s="915"/>
      <c r="H108" s="103">
        <f>IF((F108/G$105)-1&gt;30%,"EXCLUÍDO",IF((F108/G$105)-1&lt;-30%,"EXCLUÍDO",F108))</f>
        <v>1500.92</v>
      </c>
      <c r="I108" s="115">
        <f>IF(F108&lt;&gt;0,(F108/$G$105)-1,"")</f>
        <v>-0.22091647115005286</v>
      </c>
      <c r="J108" s="915"/>
      <c r="K108" s="925"/>
      <c r="L108" s="915"/>
      <c r="M108" s="925"/>
      <c r="N108" s="915"/>
      <c r="O108" s="974"/>
      <c r="P108" s="165"/>
      <c r="Q108" s="165"/>
      <c r="R108" s="166"/>
      <c r="S108" s="165"/>
      <c r="T108" s="166"/>
      <c r="U108" s="167"/>
    </row>
    <row r="109" spans="1:21" s="146" customFormat="1" ht="24" customHeight="1">
      <c r="A109" s="939"/>
      <c r="B109" s="977"/>
      <c r="C109" s="980"/>
      <c r="D109" s="940"/>
      <c r="E109" s="114" t="s">
        <v>418</v>
      </c>
      <c r="F109" s="103">
        <v>2188.9</v>
      </c>
      <c r="G109" s="916"/>
      <c r="H109" s="103">
        <f>IF((F109/G$105)-1&gt;30%,"EXCLUÍDO",IF((F109/G$105)-1&lt;-30%,"EXCLUÍDO",F109))</f>
        <v>2188.9</v>
      </c>
      <c r="I109" s="115">
        <f>IF(F109&lt;&gt;0,(F109/$G$105)-1,"")</f>
        <v>0.13619375869443351</v>
      </c>
      <c r="J109" s="916"/>
      <c r="K109" s="926"/>
      <c r="L109" s="916"/>
      <c r="M109" s="926"/>
      <c r="N109" s="916"/>
      <c r="O109" s="974"/>
      <c r="P109" s="165"/>
      <c r="Q109" s="165"/>
      <c r="R109" s="166"/>
      <c r="S109" s="165"/>
      <c r="T109" s="166"/>
      <c r="U109" s="167"/>
    </row>
    <row r="110" spans="1:21" s="96" customFormat="1" ht="24" customHeight="1">
      <c r="A110" s="929">
        <v>21</v>
      </c>
      <c r="B110" s="968" t="s">
        <v>419</v>
      </c>
      <c r="C110" s="971" t="s">
        <v>196</v>
      </c>
      <c r="D110" s="933">
        <v>2</v>
      </c>
      <c r="E110" s="99" t="s">
        <v>420</v>
      </c>
      <c r="F110" s="100">
        <v>1719</v>
      </c>
      <c r="G110" s="917">
        <f>ROUNDUP(AVERAGE(F110:F114),2)</f>
        <v>1806.42</v>
      </c>
      <c r="H110" s="100">
        <f>IF((F110/G$110)-1&gt;30%,"EXCLUÍDO",IF((F110/G$110)-1&lt;-30%,"EXCLUÍDO",F110))</f>
        <v>1719</v>
      </c>
      <c r="I110" s="101">
        <f>IF(F110&lt;&gt;0,(F110/$G$110)-1,"")</f>
        <v>-4.839406118178502E-2</v>
      </c>
      <c r="J110" s="917">
        <f>AVERAGE(H110:H114)</f>
        <v>1806.4159999999999</v>
      </c>
      <c r="K110" s="920">
        <f>MEDIAN(H110:H114)</f>
        <v>1745.91</v>
      </c>
      <c r="L110" s="917">
        <f>STDEV(H110:H114)</f>
        <v>123.90972048229516</v>
      </c>
      <c r="M110" s="923">
        <f>L110/J110</f>
        <v>6.8594233267583529E-2</v>
      </c>
      <c r="N110" s="917">
        <f>IF(M110&lt;25%,J110,K110)</f>
        <v>1806.4159999999999</v>
      </c>
      <c r="O110" s="942">
        <f>N110*D110</f>
        <v>3612.8319999999999</v>
      </c>
      <c r="P110" s="97"/>
      <c r="Q110" s="97"/>
      <c r="R110" s="106"/>
      <c r="S110" s="97"/>
      <c r="T110" s="106"/>
      <c r="U110" s="107"/>
    </row>
    <row r="111" spans="1:21" s="96" customFormat="1" ht="24" customHeight="1">
      <c r="A111" s="929"/>
      <c r="B111" s="969"/>
      <c r="C111" s="972"/>
      <c r="D111" s="933"/>
      <c r="E111" s="99" t="s">
        <v>421</v>
      </c>
      <c r="F111" s="100">
        <v>1990.19</v>
      </c>
      <c r="G111" s="918"/>
      <c r="H111" s="100">
        <f>IF((F111/G$110)-1&gt;30%,"EXCLUÍDO",IF((F111/G$110)-1&lt;-30%,"EXCLUÍDO",F111))</f>
        <v>1990.19</v>
      </c>
      <c r="I111" s="101">
        <f>IF(F111&lt;&gt;0,(F111/$G$110)-1,"")</f>
        <v>0.10173160173160167</v>
      </c>
      <c r="J111" s="918"/>
      <c r="K111" s="921"/>
      <c r="L111" s="918"/>
      <c r="M111" s="921"/>
      <c r="N111" s="918"/>
      <c r="O111" s="942"/>
      <c r="P111" s="97"/>
      <c r="Q111" s="97"/>
      <c r="R111" s="106"/>
      <c r="S111" s="97"/>
      <c r="T111" s="106"/>
      <c r="U111" s="107"/>
    </row>
    <row r="112" spans="1:21" s="96" customFormat="1" ht="24" customHeight="1">
      <c r="A112" s="929"/>
      <c r="B112" s="969"/>
      <c r="C112" s="972"/>
      <c r="D112" s="933"/>
      <c r="E112" s="99" t="s">
        <v>235</v>
      </c>
      <c r="F112" s="100">
        <v>1699.9</v>
      </c>
      <c r="G112" s="918"/>
      <c r="H112" s="100">
        <f>IF((F112/G$110)-1&gt;30%,"EXCLUÍDO",IF((F112/G$110)-1&lt;-30%,"EXCLUÍDO",F112))</f>
        <v>1699.9</v>
      </c>
      <c r="I112" s="101">
        <f>IF(F112&lt;&gt;0,(F112/$G$110)-1,"")</f>
        <v>-5.8967460501987312E-2</v>
      </c>
      <c r="J112" s="918"/>
      <c r="K112" s="921"/>
      <c r="L112" s="918"/>
      <c r="M112" s="921"/>
      <c r="N112" s="918"/>
      <c r="O112" s="942"/>
      <c r="P112" s="97"/>
      <c r="Q112" s="97"/>
      <c r="R112" s="106"/>
      <c r="S112" s="97"/>
      <c r="T112" s="106"/>
      <c r="U112" s="107"/>
    </row>
    <row r="113" spans="1:21" s="96" customFormat="1" ht="24" customHeight="1">
      <c r="A113" s="929"/>
      <c r="B113" s="969"/>
      <c r="C113" s="972"/>
      <c r="D113" s="933"/>
      <c r="E113" s="99" t="s">
        <v>422</v>
      </c>
      <c r="F113" s="100">
        <v>1877.08</v>
      </c>
      <c r="G113" s="918"/>
      <c r="H113" s="100">
        <f>IF((F113/G$110)-1&gt;30%,"EXCLUÍDO",IF((F113/G$110)-1&lt;-30%,"EXCLUÍDO",F113))</f>
        <v>1877.08</v>
      </c>
      <c r="I113" s="101">
        <f>IF(F113&lt;&gt;0,(F113/$G$110)-1,"")</f>
        <v>3.9116041673586288E-2</v>
      </c>
      <c r="J113" s="918"/>
      <c r="K113" s="921"/>
      <c r="L113" s="918"/>
      <c r="M113" s="921"/>
      <c r="N113" s="918"/>
      <c r="O113" s="942"/>
      <c r="P113" s="97"/>
      <c r="Q113" s="97"/>
      <c r="R113" s="106"/>
      <c r="S113" s="97"/>
      <c r="T113" s="106"/>
      <c r="U113" s="107"/>
    </row>
    <row r="114" spans="1:21" s="96" customFormat="1" ht="24" customHeight="1">
      <c r="A114" s="929"/>
      <c r="B114" s="970"/>
      <c r="C114" s="973"/>
      <c r="D114" s="933"/>
      <c r="E114" s="99" t="s">
        <v>423</v>
      </c>
      <c r="F114" s="100">
        <v>1745.91</v>
      </c>
      <c r="G114" s="919"/>
      <c r="H114" s="100">
        <f>IF((F114/G$110)-1&gt;30%,"EXCLUÍDO",IF((F114/G$110)-1&lt;-30%,"EXCLUÍDO",F114))</f>
        <v>1745.91</v>
      </c>
      <c r="I114" s="101">
        <f>IF(F114&lt;&gt;0,(F114/$G$110)-1,"")</f>
        <v>-3.3497193343740683E-2</v>
      </c>
      <c r="J114" s="919"/>
      <c r="K114" s="922"/>
      <c r="L114" s="919"/>
      <c r="M114" s="922"/>
      <c r="N114" s="919"/>
      <c r="O114" s="942"/>
      <c r="P114" s="97"/>
      <c r="Q114" s="97"/>
      <c r="R114" s="106"/>
      <c r="S114" s="97"/>
      <c r="T114" s="106"/>
      <c r="U114" s="107"/>
    </row>
    <row r="115" spans="1:21" s="146" customFormat="1" ht="24" customHeight="1">
      <c r="A115" s="939">
        <v>22</v>
      </c>
      <c r="B115" s="975" t="s">
        <v>424</v>
      </c>
      <c r="C115" s="978" t="s">
        <v>196</v>
      </c>
      <c r="D115" s="940">
        <v>2</v>
      </c>
      <c r="E115" s="114" t="s">
        <v>425</v>
      </c>
      <c r="F115" s="103">
        <v>839.43</v>
      </c>
      <c r="G115" s="914">
        <f>ROUNDUP(AVERAGE(F115:F119),2)</f>
        <v>1057.17</v>
      </c>
      <c r="H115" s="103">
        <f>IF((F115/G$115)-1&gt;30%,"EXCLUÍDO",IF((F115/G$115)-1&lt;-30%,"EXCLUÍDO",F115))</f>
        <v>839.43</v>
      </c>
      <c r="I115" s="115">
        <f>IF(F115&lt;&gt;0,(F115/$G$115)-1,"")</f>
        <v>-0.20596498198019253</v>
      </c>
      <c r="J115" s="914">
        <f>AVERAGE(H115:H119)</f>
        <v>1057.1619999999998</v>
      </c>
      <c r="K115" s="924">
        <f>MEDIAN(H115:H119)</f>
        <v>1054.9000000000001</v>
      </c>
      <c r="L115" s="914">
        <f>STDEV(H115:H119)</f>
        <v>157.99591947262545</v>
      </c>
      <c r="M115" s="927">
        <f>L115/J115</f>
        <v>0.14945289319198521</v>
      </c>
      <c r="N115" s="914">
        <f>IF(M115&lt;25%,J115,K115)</f>
        <v>1057.1619999999998</v>
      </c>
      <c r="O115" s="974">
        <f>N115*D115</f>
        <v>2114.3239999999996</v>
      </c>
      <c r="P115" s="165"/>
      <c r="Q115" s="165"/>
      <c r="R115" s="166"/>
      <c r="S115" s="165"/>
      <c r="T115" s="166"/>
      <c r="U115" s="167"/>
    </row>
    <row r="116" spans="1:21" s="146" customFormat="1" ht="24" customHeight="1">
      <c r="A116" s="939"/>
      <c r="B116" s="976"/>
      <c r="C116" s="979"/>
      <c r="D116" s="940"/>
      <c r="E116" s="114" t="s">
        <v>426</v>
      </c>
      <c r="F116" s="103">
        <v>976.56</v>
      </c>
      <c r="G116" s="915"/>
      <c r="H116" s="103">
        <f>IF((F116/G$115)-1&gt;30%,"EXCLUÍDO",IF((F116/G$115)-1&lt;-30%,"EXCLUÍDO",F116))</f>
        <v>976.56</v>
      </c>
      <c r="I116" s="115">
        <f>IF(F116&lt;&gt;0,(F116/$G$115)-1,"")</f>
        <v>-7.6250744913306412E-2</v>
      </c>
      <c r="J116" s="915"/>
      <c r="K116" s="925"/>
      <c r="L116" s="915"/>
      <c r="M116" s="925"/>
      <c r="N116" s="915"/>
      <c r="O116" s="974"/>
      <c r="P116" s="165"/>
      <c r="Q116" s="165"/>
      <c r="R116" s="166"/>
      <c r="S116" s="165"/>
      <c r="T116" s="166"/>
      <c r="U116" s="167"/>
    </row>
    <row r="117" spans="1:21" s="146" customFormat="1" ht="24" customHeight="1">
      <c r="A117" s="939"/>
      <c r="B117" s="976"/>
      <c r="C117" s="979"/>
      <c r="D117" s="940"/>
      <c r="E117" s="114" t="s">
        <v>427</v>
      </c>
      <c r="F117" s="103">
        <v>1187.93</v>
      </c>
      <c r="G117" s="915"/>
      <c r="H117" s="103">
        <f>IF((F117/G$115)-1&gt;30%,"EXCLUÍDO",IF((F117/G$115)-1&lt;-30%,"EXCLUÍDO",F117))</f>
        <v>1187.93</v>
      </c>
      <c r="I117" s="115">
        <f>IF(F117&lt;&gt;0,(F117/$G$115)-1,"")</f>
        <v>0.12368871610053245</v>
      </c>
      <c r="J117" s="915"/>
      <c r="K117" s="925"/>
      <c r="L117" s="915"/>
      <c r="M117" s="925"/>
      <c r="N117" s="915"/>
      <c r="O117" s="974"/>
      <c r="P117" s="165"/>
      <c r="Q117" s="165"/>
      <c r="R117" s="166"/>
      <c r="S117" s="165"/>
      <c r="T117" s="166"/>
      <c r="U117" s="167"/>
    </row>
    <row r="118" spans="1:21" s="146" customFormat="1" ht="24" customHeight="1">
      <c r="A118" s="939"/>
      <c r="B118" s="976"/>
      <c r="C118" s="979"/>
      <c r="D118" s="940"/>
      <c r="E118" s="114" t="s">
        <v>428</v>
      </c>
      <c r="F118" s="103">
        <v>1226.99</v>
      </c>
      <c r="G118" s="915"/>
      <c r="H118" s="103">
        <f>IF((F118/G$115)-1&gt;30%,"EXCLUÍDO",IF((F118/G$115)-1&lt;-30%,"EXCLUÍDO",F118))</f>
        <v>1226.99</v>
      </c>
      <c r="I118" s="115">
        <f>IF(F118&lt;&gt;0,(F118/$G$115)-1,"")</f>
        <v>0.16063641609201929</v>
      </c>
      <c r="J118" s="915"/>
      <c r="K118" s="925"/>
      <c r="L118" s="915"/>
      <c r="M118" s="925"/>
      <c r="N118" s="915"/>
      <c r="O118" s="974"/>
      <c r="P118" s="165"/>
      <c r="Q118" s="165"/>
      <c r="R118" s="166"/>
      <c r="S118" s="165"/>
      <c r="T118" s="166"/>
      <c r="U118" s="167"/>
    </row>
    <row r="119" spans="1:21" s="146" customFormat="1" ht="24" customHeight="1">
      <c r="A119" s="939"/>
      <c r="B119" s="977"/>
      <c r="C119" s="980"/>
      <c r="D119" s="940"/>
      <c r="E119" s="114" t="s">
        <v>429</v>
      </c>
      <c r="F119" s="103">
        <v>1054.9000000000001</v>
      </c>
      <c r="G119" s="916"/>
      <c r="H119" s="103">
        <f>IF((F119/G$115)-1&gt;30%,"EXCLUÍDO",IF((F119/G$115)-1&lt;-30%,"EXCLUÍDO",F119))</f>
        <v>1054.9000000000001</v>
      </c>
      <c r="I119" s="115">
        <f>IF(F119&lt;&gt;0,(F119/$G$115)-1,"")</f>
        <v>-2.1472421654038509E-3</v>
      </c>
      <c r="J119" s="916"/>
      <c r="K119" s="926"/>
      <c r="L119" s="916"/>
      <c r="M119" s="926"/>
      <c r="N119" s="916"/>
      <c r="O119" s="974"/>
      <c r="P119" s="165"/>
      <c r="Q119" s="165"/>
      <c r="R119" s="166"/>
      <c r="S119" s="165"/>
      <c r="T119" s="166"/>
      <c r="U119" s="167"/>
    </row>
    <row r="120" spans="1:21" s="96" customFormat="1" ht="24" customHeight="1">
      <c r="A120" s="929">
        <v>23</v>
      </c>
      <c r="B120" s="968" t="s">
        <v>430</v>
      </c>
      <c r="C120" s="971" t="s">
        <v>196</v>
      </c>
      <c r="D120" s="990">
        <v>10</v>
      </c>
      <c r="E120" s="99" t="s">
        <v>431</v>
      </c>
      <c r="F120" s="100">
        <v>114.38</v>
      </c>
      <c r="G120" s="917">
        <f>ROUNDUP(AVERAGE(F120:F124),2)</f>
        <v>129.22</v>
      </c>
      <c r="H120" s="100">
        <f>IF((F120/G$120)-1&gt;30%,"EXCLUÍDO",IF((F120/G$120)-1&lt;-30%,"EXCLUÍDO",F120))</f>
        <v>114.38</v>
      </c>
      <c r="I120" s="101">
        <f>IF(F120&lt;&gt;0,(F120/$G$120)-1,"")</f>
        <v>-0.11484290357529792</v>
      </c>
      <c r="J120" s="917">
        <f>AVERAGE(H120:H124)</f>
        <v>112.53999999999999</v>
      </c>
      <c r="K120" s="920">
        <f>MEDIAN(H120:H124)</f>
        <v>115.815</v>
      </c>
      <c r="L120" s="917">
        <f>STDEV(H120:H124)</f>
        <v>9.8564192280971117</v>
      </c>
      <c r="M120" s="923">
        <f>L120/J120</f>
        <v>8.7581475280763391E-2</v>
      </c>
      <c r="N120" s="917">
        <f>IF(M120&lt;25%,J120,K120)</f>
        <v>112.53999999999999</v>
      </c>
      <c r="O120" s="942">
        <f>N120*D120</f>
        <v>1125.3999999999999</v>
      </c>
      <c r="P120" s="97"/>
      <c r="Q120" s="97"/>
      <c r="R120" s="106"/>
      <c r="S120" s="97"/>
      <c r="T120" s="106"/>
      <c r="U120" s="107"/>
    </row>
    <row r="121" spans="1:21" s="96" customFormat="1" ht="24" customHeight="1">
      <c r="A121" s="929"/>
      <c r="B121" s="969"/>
      <c r="C121" s="972"/>
      <c r="D121" s="990"/>
      <c r="E121" s="99" t="s">
        <v>432</v>
      </c>
      <c r="F121" s="100">
        <v>120.32</v>
      </c>
      <c r="G121" s="918"/>
      <c r="H121" s="100">
        <f>IF((F121/G$120)-1&gt;30%,"EXCLUÍDO",IF((F121/G$120)-1&lt;-30%,"EXCLUÍDO",F121))</f>
        <v>120.32</v>
      </c>
      <c r="I121" s="101">
        <f>IF(F121&lt;&gt;0,(F121/$G$120)-1,"")</f>
        <v>-6.8874787184646347E-2</v>
      </c>
      <c r="J121" s="918"/>
      <c r="K121" s="921"/>
      <c r="L121" s="918"/>
      <c r="M121" s="921"/>
      <c r="N121" s="918"/>
      <c r="O121" s="942"/>
      <c r="P121" s="97"/>
      <c r="Q121" s="97"/>
      <c r="R121" s="106"/>
      <c r="S121" s="97"/>
      <c r="T121" s="106"/>
      <c r="U121" s="107"/>
    </row>
    <row r="122" spans="1:21" s="96" customFormat="1" ht="24" customHeight="1">
      <c r="A122" s="929"/>
      <c r="B122" s="969"/>
      <c r="C122" s="972"/>
      <c r="D122" s="990"/>
      <c r="E122" s="99" t="s">
        <v>433</v>
      </c>
      <c r="F122" s="100">
        <v>117.25</v>
      </c>
      <c r="G122" s="918"/>
      <c r="H122" s="100">
        <f>IF((F122/G$120)-1&gt;30%,"EXCLUÍDO",IF((F122/G$120)-1&lt;-30%,"EXCLUÍDO",F122))</f>
        <v>117.25</v>
      </c>
      <c r="I122" s="101">
        <f>IF(F122&lt;&gt;0,(F122/$G$120)-1,"")</f>
        <v>-9.263271939328277E-2</v>
      </c>
      <c r="J122" s="918"/>
      <c r="K122" s="921"/>
      <c r="L122" s="918"/>
      <c r="M122" s="921"/>
      <c r="N122" s="918"/>
      <c r="O122" s="942"/>
      <c r="P122" s="97"/>
      <c r="Q122" s="97"/>
      <c r="R122" s="106"/>
      <c r="S122" s="97"/>
      <c r="T122" s="106"/>
      <c r="U122" s="107"/>
    </row>
    <row r="123" spans="1:21" s="96" customFormat="1" ht="24" customHeight="1">
      <c r="A123" s="929"/>
      <c r="B123" s="969"/>
      <c r="C123" s="972"/>
      <c r="D123" s="990"/>
      <c r="E123" s="99" t="s">
        <v>406</v>
      </c>
      <c r="F123" s="100">
        <v>195.9</v>
      </c>
      <c r="G123" s="918"/>
      <c r="H123" s="100" t="str">
        <f>IF((F123/G$120)-1&gt;30%,"EXCLUÍDO",IF((F123/G$120)-1&lt;-30%,"EXCLUÍDO",F123))</f>
        <v>EXCLUÍDO</v>
      </c>
      <c r="I123" s="101">
        <f>IF(F123&lt;&gt;0,(F123/$G$120)-1,"")</f>
        <v>0.51601919207553015</v>
      </c>
      <c r="J123" s="918"/>
      <c r="K123" s="921"/>
      <c r="L123" s="918"/>
      <c r="M123" s="921"/>
      <c r="N123" s="918"/>
      <c r="O123" s="942"/>
      <c r="P123" s="97"/>
      <c r="Q123" s="97"/>
      <c r="R123" s="106"/>
      <c r="S123" s="97"/>
      <c r="T123" s="106"/>
      <c r="U123" s="107"/>
    </row>
    <row r="124" spans="1:21" s="96" customFormat="1" ht="24" customHeight="1">
      <c r="A124" s="929"/>
      <c r="B124" s="970"/>
      <c r="C124" s="973"/>
      <c r="D124" s="990"/>
      <c r="E124" s="99" t="s">
        <v>434</v>
      </c>
      <c r="F124" s="100">
        <v>98.21</v>
      </c>
      <c r="G124" s="919"/>
      <c r="H124" s="100">
        <f>IF((F124/G$120)-1&gt;30%,"EXCLUÍDO",IF((F124/G$120)-1&lt;-30%,"EXCLUÍDO",F124))</f>
        <v>98.21</v>
      </c>
      <c r="I124" s="101">
        <f>IF(F124&lt;&gt;0,(F124/$G$120)-1,"")</f>
        <v>-0.23997833152762738</v>
      </c>
      <c r="J124" s="919"/>
      <c r="K124" s="922"/>
      <c r="L124" s="919"/>
      <c r="M124" s="922"/>
      <c r="N124" s="919"/>
      <c r="O124" s="942"/>
      <c r="P124" s="97"/>
      <c r="Q124" s="97"/>
      <c r="R124" s="106"/>
      <c r="S124" s="97"/>
      <c r="T124" s="106"/>
      <c r="U124" s="107"/>
    </row>
    <row r="125" spans="1:21" s="146" customFormat="1" ht="24" customHeight="1">
      <c r="A125" s="939">
        <v>24</v>
      </c>
      <c r="B125" s="975" t="s">
        <v>438</v>
      </c>
      <c r="C125" s="978" t="s">
        <v>196</v>
      </c>
      <c r="D125" s="913">
        <v>10</v>
      </c>
      <c r="E125" s="114" t="s">
        <v>435</v>
      </c>
      <c r="F125" s="103">
        <v>505.5</v>
      </c>
      <c r="G125" s="914">
        <f>ROUNDUP(AVERAGE(F125:F129),2)</f>
        <v>496.03</v>
      </c>
      <c r="H125" s="103">
        <f>IF((F125/G$125)-1&gt;30%,"EXCLUÍDO",IF((F125/G$125)-1&lt;-30%,"EXCLUÍDO",F125))</f>
        <v>505.5</v>
      </c>
      <c r="I125" s="115">
        <f>IF(F125&lt;&gt;0,(F125/$G$125)-1,"")</f>
        <v>1.9091587202386906E-2</v>
      </c>
      <c r="J125" s="914">
        <f>AVERAGE(H125:H129)</f>
        <v>496.02250000000004</v>
      </c>
      <c r="K125" s="924">
        <f>MEDIAN(H125:H129)</f>
        <v>502.245</v>
      </c>
      <c r="L125" s="914">
        <f>STDEV(H125:H129)</f>
        <v>21.955622476560919</v>
      </c>
      <c r="M125" s="927">
        <f>L125/J125</f>
        <v>4.426335998177687E-2</v>
      </c>
      <c r="N125" s="914">
        <f>IF(M125&lt;25%,J125,K125)</f>
        <v>496.02250000000004</v>
      </c>
      <c r="O125" s="974">
        <f>N125*D125</f>
        <v>4960.2250000000004</v>
      </c>
      <c r="P125" s="165"/>
      <c r="Q125" s="165"/>
      <c r="R125" s="166"/>
      <c r="S125" s="165"/>
      <c r="T125" s="166"/>
      <c r="U125" s="167"/>
    </row>
    <row r="126" spans="1:21" s="146" customFormat="1" ht="24" customHeight="1">
      <c r="A126" s="939"/>
      <c r="B126" s="976"/>
      <c r="C126" s="979"/>
      <c r="D126" s="913"/>
      <c r="E126" s="114" t="s">
        <v>406</v>
      </c>
      <c r="F126" s="103">
        <v>498.99</v>
      </c>
      <c r="G126" s="915"/>
      <c r="H126" s="103">
        <f>IF((F126/G$125)-1&gt;30%,"EXCLUÍDO",IF((F126/G$125)-1&lt;-30%,"EXCLUÍDO",F126))</f>
        <v>498.99</v>
      </c>
      <c r="I126" s="115">
        <f>IF(F126&lt;&gt;0,(F126/$G$125)-1,"")</f>
        <v>5.9673810051812382E-3</v>
      </c>
      <c r="J126" s="915"/>
      <c r="K126" s="925"/>
      <c r="L126" s="915"/>
      <c r="M126" s="925"/>
      <c r="N126" s="915"/>
      <c r="O126" s="974"/>
      <c r="P126" s="165"/>
      <c r="Q126" s="165"/>
      <c r="R126" s="166"/>
      <c r="S126" s="165"/>
      <c r="T126" s="166"/>
      <c r="U126" s="167"/>
    </row>
    <row r="127" spans="1:21" s="146" customFormat="1" ht="24" customHeight="1">
      <c r="A127" s="939"/>
      <c r="B127" s="976"/>
      <c r="C127" s="979"/>
      <c r="D127" s="913"/>
      <c r="E127" s="114" t="s">
        <v>229</v>
      </c>
      <c r="F127" s="103">
        <v>464.6</v>
      </c>
      <c r="G127" s="915"/>
      <c r="H127" s="103">
        <f>IF((F127/G$125)-1&gt;30%,"EXCLUÍDO",IF((F127/G$125)-1&lt;-30%,"EXCLUÍDO",F127))</f>
        <v>464.6</v>
      </c>
      <c r="I127" s="115">
        <f>IF(F127&lt;&gt;0,(F127/$G$125)-1,"")</f>
        <v>-6.3363103038122648E-2</v>
      </c>
      <c r="J127" s="915"/>
      <c r="K127" s="925"/>
      <c r="L127" s="915"/>
      <c r="M127" s="925"/>
      <c r="N127" s="915"/>
      <c r="O127" s="974"/>
      <c r="P127" s="165"/>
      <c r="Q127" s="165"/>
      <c r="R127" s="166"/>
      <c r="S127" s="165"/>
      <c r="T127" s="166"/>
      <c r="U127" s="167"/>
    </row>
    <row r="128" spans="1:21" s="146" customFormat="1" ht="24" customHeight="1">
      <c r="A128" s="939"/>
      <c r="B128" s="976"/>
      <c r="C128" s="979"/>
      <c r="D128" s="913"/>
      <c r="E128" s="114" t="s">
        <v>406</v>
      </c>
      <c r="F128" s="103">
        <v>515</v>
      </c>
      <c r="G128" s="915"/>
      <c r="H128" s="103">
        <f>IF((F128/G$125)-1&gt;30%,"EXCLUÍDO",IF((F128/G$125)-1&lt;-30%,"EXCLUÍDO",F128))</f>
        <v>515</v>
      </c>
      <c r="I128" s="115">
        <f>IF(F128&lt;&gt;0,(F128/$G$125)-1,"")</f>
        <v>3.8243654617664324E-2</v>
      </c>
      <c r="J128" s="915"/>
      <c r="K128" s="925"/>
      <c r="L128" s="915"/>
      <c r="M128" s="925"/>
      <c r="N128" s="915"/>
      <c r="O128" s="974"/>
      <c r="P128" s="165"/>
      <c r="Q128" s="165"/>
      <c r="R128" s="166"/>
      <c r="S128" s="165"/>
      <c r="T128" s="166"/>
      <c r="U128" s="167"/>
    </row>
    <row r="129" spans="1:21" s="146" customFormat="1" ht="24" customHeight="1">
      <c r="A129" s="939"/>
      <c r="B129" s="977"/>
      <c r="C129" s="980"/>
      <c r="D129" s="913"/>
      <c r="E129" s="114"/>
      <c r="F129" s="103"/>
      <c r="G129" s="916"/>
      <c r="H129" s="103" t="str">
        <f>IF((F129/G$125)-1&gt;30%,"EXCLUÍDO",IF((F129/G$125)-1&lt;-30%,"EXCLUÍDO",F129))</f>
        <v>EXCLUÍDO</v>
      </c>
      <c r="I129" s="115" t="str">
        <f>IF(F129&lt;&gt;0,(F129/$G$125)-1,"")</f>
        <v/>
      </c>
      <c r="J129" s="916"/>
      <c r="K129" s="926"/>
      <c r="L129" s="916"/>
      <c r="M129" s="926"/>
      <c r="N129" s="916"/>
      <c r="O129" s="974"/>
      <c r="P129" s="165"/>
      <c r="Q129" s="165"/>
      <c r="R129" s="166"/>
      <c r="S129" s="165"/>
      <c r="T129" s="166"/>
      <c r="U129" s="167"/>
    </row>
    <row r="130" spans="1:21" s="96" customFormat="1" ht="24" customHeight="1">
      <c r="A130" s="929">
        <v>25</v>
      </c>
      <c r="B130" s="968" t="s">
        <v>436</v>
      </c>
      <c r="C130" s="971" t="s">
        <v>196</v>
      </c>
      <c r="D130" s="933">
        <v>12</v>
      </c>
      <c r="E130" s="99" t="s">
        <v>437</v>
      </c>
      <c r="F130" s="100">
        <v>137</v>
      </c>
      <c r="G130" s="917">
        <f>ROUNDUP(AVERAGE(F130:F134),2)</f>
        <v>130</v>
      </c>
      <c r="H130" s="100">
        <f>IF((F130/G$130)-1&gt;30%,"EXCLUÍDO",IF((F130/G$130)-1&lt;-30%,"EXCLUÍDO",F130))</f>
        <v>137</v>
      </c>
      <c r="I130" s="101">
        <f>IF(F130&lt;&gt;0,(F130/$G$130)-1,"")</f>
        <v>5.3846153846153877E-2</v>
      </c>
      <c r="J130" s="917">
        <f>AVERAGE(H130:H134)</f>
        <v>130</v>
      </c>
      <c r="K130" s="920">
        <f>MEDIAN(H130:H134)</f>
        <v>129.9</v>
      </c>
      <c r="L130" s="917">
        <f>STDEV(H130:H134)</f>
        <v>6.9505395474021521</v>
      </c>
      <c r="M130" s="923">
        <f>L130/J130</f>
        <v>5.34656888261704E-2</v>
      </c>
      <c r="N130" s="917">
        <f>IF(M130&lt;25%,J130,K130)</f>
        <v>130</v>
      </c>
      <c r="O130" s="942">
        <f>N130*D130</f>
        <v>1560</v>
      </c>
      <c r="P130" s="97"/>
      <c r="Q130" s="97"/>
      <c r="R130" s="106"/>
      <c r="S130" s="97"/>
      <c r="T130" s="106"/>
      <c r="U130" s="107"/>
    </row>
    <row r="131" spans="1:21" s="96" customFormat="1" ht="24" customHeight="1">
      <c r="A131" s="929"/>
      <c r="B131" s="969"/>
      <c r="C131" s="972"/>
      <c r="D131" s="933"/>
      <c r="E131" s="99" t="s">
        <v>406</v>
      </c>
      <c r="F131" s="100">
        <v>123.1</v>
      </c>
      <c r="G131" s="918"/>
      <c r="H131" s="100">
        <f>IF((F131/G$130)-1&gt;30%,"EXCLUÍDO",IF((F131/G$130)-1&lt;-30%,"EXCLUÍDO",F131))</f>
        <v>123.1</v>
      </c>
      <c r="I131" s="101">
        <f>IF(F131&lt;&gt;0,(F131/$G$130)-1,"")</f>
        <v>-5.3076923076923133E-2</v>
      </c>
      <c r="J131" s="918"/>
      <c r="K131" s="921"/>
      <c r="L131" s="918"/>
      <c r="M131" s="921"/>
      <c r="N131" s="918"/>
      <c r="O131" s="942"/>
      <c r="P131" s="97"/>
      <c r="Q131" s="97"/>
      <c r="R131" s="106"/>
      <c r="S131" s="97"/>
      <c r="T131" s="106"/>
      <c r="U131" s="107"/>
    </row>
    <row r="132" spans="1:21" s="96" customFormat="1" ht="24" customHeight="1">
      <c r="A132" s="929"/>
      <c r="B132" s="969"/>
      <c r="C132" s="972"/>
      <c r="D132" s="933"/>
      <c r="E132" s="99" t="s">
        <v>406</v>
      </c>
      <c r="F132" s="100">
        <v>129.9</v>
      </c>
      <c r="G132" s="918"/>
      <c r="H132" s="100">
        <f>IF((F132/G$130)-1&gt;30%,"EXCLUÍDO",IF((F132/G$130)-1&lt;-30%,"EXCLUÍDO",F132))</f>
        <v>129.9</v>
      </c>
      <c r="I132" s="101">
        <f>IF(F132&lt;&gt;0,(F132/$G$130)-1,"")</f>
        <v>-7.6923076923074429E-4</v>
      </c>
      <c r="J132" s="918"/>
      <c r="K132" s="921"/>
      <c r="L132" s="918"/>
      <c r="M132" s="921"/>
      <c r="N132" s="918"/>
      <c r="O132" s="942"/>
      <c r="P132" s="97"/>
      <c r="Q132" s="97"/>
      <c r="R132" s="106"/>
      <c r="S132" s="97"/>
      <c r="T132" s="106"/>
      <c r="U132" s="107"/>
    </row>
    <row r="133" spans="1:21" s="96" customFormat="1" ht="24" customHeight="1">
      <c r="A133" s="929"/>
      <c r="B133" s="969"/>
      <c r="C133" s="972"/>
      <c r="D133" s="933"/>
      <c r="E133" s="99"/>
      <c r="F133" s="100"/>
      <c r="G133" s="918"/>
      <c r="H133" s="100" t="str">
        <f>IF((F133/G$130)-1&gt;30%,"EXCLUÍDO",IF((F133/G$130)-1&lt;-30%,"EXCLUÍDO",F133))</f>
        <v>EXCLUÍDO</v>
      </c>
      <c r="I133" s="101" t="str">
        <f>IF(F133&lt;&gt;0,(F133/$G$130)-1,"")</f>
        <v/>
      </c>
      <c r="J133" s="918"/>
      <c r="K133" s="921"/>
      <c r="L133" s="918"/>
      <c r="M133" s="921"/>
      <c r="N133" s="918"/>
      <c r="O133" s="942"/>
      <c r="P133" s="97"/>
      <c r="Q133" s="97"/>
      <c r="R133" s="106"/>
      <c r="S133" s="97"/>
      <c r="T133" s="106"/>
      <c r="U133" s="107"/>
    </row>
    <row r="134" spans="1:21" s="96" customFormat="1" ht="24" customHeight="1">
      <c r="A134" s="929"/>
      <c r="B134" s="970"/>
      <c r="C134" s="973"/>
      <c r="D134" s="933"/>
      <c r="E134" s="99"/>
      <c r="F134" s="100"/>
      <c r="G134" s="919"/>
      <c r="H134" s="100" t="str">
        <f>IF((F134/G$130)-1&gt;30%,"EXCLUÍDO",IF((F134/G$130)-1&lt;-30%,"EXCLUÍDO",F134))</f>
        <v>EXCLUÍDO</v>
      </c>
      <c r="I134" s="101" t="str">
        <f>IF(F134&lt;&gt;0,(F134/$G$130)-1,"")</f>
        <v/>
      </c>
      <c r="J134" s="919"/>
      <c r="K134" s="922"/>
      <c r="L134" s="919"/>
      <c r="M134" s="922"/>
      <c r="N134" s="919"/>
      <c r="O134" s="942"/>
      <c r="P134" s="97"/>
      <c r="Q134" s="97"/>
      <c r="R134" s="106"/>
      <c r="S134" s="97"/>
      <c r="T134" s="106"/>
      <c r="U134" s="107"/>
    </row>
    <row r="135" spans="1:21" s="146" customFormat="1" ht="24" customHeight="1">
      <c r="A135" s="939">
        <v>26</v>
      </c>
      <c r="B135" s="981" t="s">
        <v>439</v>
      </c>
      <c r="C135" s="978" t="s">
        <v>196</v>
      </c>
      <c r="D135" s="940">
        <v>5</v>
      </c>
      <c r="E135" s="114" t="s">
        <v>235</v>
      </c>
      <c r="F135" s="103">
        <v>367.9</v>
      </c>
      <c r="G135" s="914">
        <f>ROUNDUP(AVERAGE(F135:F139),2)</f>
        <v>307.57</v>
      </c>
      <c r="H135" s="103">
        <f>IF((F135/G$135)-1&gt;30%,"EXCLUÍDO",IF((F135/G$135)-1&lt;-30%,"EXCLUÍDO",F135))</f>
        <v>367.9</v>
      </c>
      <c r="I135" s="115">
        <f>IF(F135&lt;&gt;0,(F135/$G$135)-1,"")</f>
        <v>0.19615046981175022</v>
      </c>
      <c r="J135" s="914">
        <f>AVERAGE(H135:H139)</f>
        <v>336.98750000000001</v>
      </c>
      <c r="K135" s="924">
        <f>MEDIAN(H135:H139)</f>
        <v>340.52499999999998</v>
      </c>
      <c r="L135" s="914">
        <f>STDEV(H135:H139)</f>
        <v>28.534025741209184</v>
      </c>
      <c r="M135" s="927">
        <f>L135/J135</f>
        <v>8.4673840249888152E-2</v>
      </c>
      <c r="N135" s="914">
        <f>IF(M135&lt;25%,J135,K135)</f>
        <v>336.98750000000001</v>
      </c>
      <c r="O135" s="974">
        <f>N135*D135</f>
        <v>1684.9375</v>
      </c>
      <c r="P135" s="165"/>
      <c r="Q135" s="165"/>
      <c r="R135" s="166"/>
      <c r="S135" s="165"/>
      <c r="T135" s="166"/>
      <c r="U135" s="167"/>
    </row>
    <row r="136" spans="1:21" s="146" customFormat="1" ht="24" customHeight="1">
      <c r="A136" s="939"/>
      <c r="B136" s="982"/>
      <c r="C136" s="979"/>
      <c r="D136" s="940"/>
      <c r="E136" s="114" t="s">
        <v>440</v>
      </c>
      <c r="F136" s="103">
        <v>299</v>
      </c>
      <c r="G136" s="915"/>
      <c r="H136" s="103">
        <f>IF((F136/G$135)-1&gt;30%,"EXCLUÍDO",IF((F136/G$135)-1&lt;-30%,"EXCLUÍDO",F136))</f>
        <v>299</v>
      </c>
      <c r="I136" s="115">
        <f>IF(F136&lt;&gt;0,(F136/$G$135)-1,"")</f>
        <v>-2.7863575771369109E-2</v>
      </c>
      <c r="J136" s="915"/>
      <c r="K136" s="925"/>
      <c r="L136" s="915"/>
      <c r="M136" s="925"/>
      <c r="N136" s="915"/>
      <c r="O136" s="974"/>
      <c r="P136" s="165"/>
      <c r="Q136" s="165"/>
      <c r="R136" s="166"/>
      <c r="S136" s="165"/>
      <c r="T136" s="166"/>
      <c r="U136" s="167"/>
    </row>
    <row r="137" spans="1:21" s="146" customFormat="1" ht="24" customHeight="1">
      <c r="A137" s="939"/>
      <c r="B137" s="982"/>
      <c r="C137" s="979"/>
      <c r="D137" s="940"/>
      <c r="E137" s="114" t="s">
        <v>441</v>
      </c>
      <c r="F137" s="103">
        <v>189.9</v>
      </c>
      <c r="G137" s="915"/>
      <c r="H137" s="103" t="str">
        <f>IF((F137/G$135)-1&gt;30%,"EXCLUÍDO",IF((F137/G$135)-1&lt;-30%,"EXCLUÍDO",F137))</f>
        <v>EXCLUÍDO</v>
      </c>
      <c r="I137" s="115">
        <f>IF(F137&lt;&gt;0,(F137/$G$135)-1,"")</f>
        <v>-0.38257957538121401</v>
      </c>
      <c r="J137" s="915"/>
      <c r="K137" s="925"/>
      <c r="L137" s="915"/>
      <c r="M137" s="925"/>
      <c r="N137" s="915"/>
      <c r="O137" s="974"/>
      <c r="P137" s="165"/>
      <c r="Q137" s="165"/>
      <c r="R137" s="166"/>
      <c r="S137" s="165"/>
      <c r="T137" s="166"/>
      <c r="U137" s="167"/>
    </row>
    <row r="138" spans="1:21" s="146" customFormat="1" ht="24" customHeight="1">
      <c r="A138" s="939"/>
      <c r="B138" s="982"/>
      <c r="C138" s="979"/>
      <c r="D138" s="940"/>
      <c r="E138" s="114" t="s">
        <v>442</v>
      </c>
      <c r="F138" s="103">
        <v>343.6</v>
      </c>
      <c r="G138" s="915"/>
      <c r="H138" s="103">
        <f>IF((F138/G$135)-1&gt;30%,"EXCLUÍDO",IF((F138/G$135)-1&lt;-30%,"EXCLUÍDO",F138))</f>
        <v>343.6</v>
      </c>
      <c r="I138" s="115">
        <f>IF(F138&lt;&gt;0,(F138/$G$135)-1,"")</f>
        <v>0.11714406476574446</v>
      </c>
      <c r="J138" s="915"/>
      <c r="K138" s="925"/>
      <c r="L138" s="915"/>
      <c r="M138" s="925"/>
      <c r="N138" s="915"/>
      <c r="O138" s="974"/>
      <c r="P138" s="165"/>
      <c r="Q138" s="165"/>
      <c r="R138" s="166"/>
      <c r="S138" s="165"/>
      <c r="T138" s="166"/>
      <c r="U138" s="167"/>
    </row>
    <row r="139" spans="1:21" s="146" customFormat="1" ht="24" customHeight="1">
      <c r="A139" s="939"/>
      <c r="B139" s="983"/>
      <c r="C139" s="980"/>
      <c r="D139" s="940"/>
      <c r="E139" s="114" t="s">
        <v>443</v>
      </c>
      <c r="F139" s="103">
        <v>337.45</v>
      </c>
      <c r="G139" s="916"/>
      <c r="H139" s="103">
        <f>IF((F139/G$135)-1&gt;30%,"EXCLUÍDO",IF((F139/G$135)-1&lt;-30%,"EXCLUÍDO",F139))</f>
        <v>337.45</v>
      </c>
      <c r="I139" s="115">
        <f>IF(F139&lt;&gt;0,(F139/$G$135)-1,"")</f>
        <v>9.7148616575088553E-2</v>
      </c>
      <c r="J139" s="916"/>
      <c r="K139" s="926"/>
      <c r="L139" s="916"/>
      <c r="M139" s="926"/>
      <c r="N139" s="916"/>
      <c r="O139" s="974"/>
      <c r="P139" s="165"/>
      <c r="Q139" s="165"/>
      <c r="R139" s="166"/>
      <c r="S139" s="165"/>
      <c r="T139" s="166"/>
      <c r="U139" s="167"/>
    </row>
    <row r="140" spans="1:21" s="96" customFormat="1" ht="24" customHeight="1">
      <c r="A140" s="929">
        <v>27</v>
      </c>
      <c r="B140" s="968" t="s">
        <v>444</v>
      </c>
      <c r="C140" s="971" t="s">
        <v>196</v>
      </c>
      <c r="D140" s="933">
        <v>6</v>
      </c>
      <c r="E140" s="99" t="s">
        <v>445</v>
      </c>
      <c r="F140" s="100">
        <v>255.02</v>
      </c>
      <c r="G140" s="917">
        <f>ROUNDUP(AVERAGE(F140:F144),2)</f>
        <v>214.95</v>
      </c>
      <c r="H140" s="100">
        <f>IF((F140/G$140)-1&gt;30%,"EXCLUÍDO",IF((F140/G$140)-1&lt;-30%,"EXCLUÍDO",F140))</f>
        <v>255.02</v>
      </c>
      <c r="I140" s="101">
        <f>IF(F140&lt;&gt;0,(F140/$G$140)-1,"")</f>
        <v>0.18641544545243094</v>
      </c>
      <c r="J140" s="917">
        <f>AVERAGE(H140:H144)</f>
        <v>233.70250000000001</v>
      </c>
      <c r="K140" s="920">
        <f>MEDIAN(H140:H144)</f>
        <v>237.505</v>
      </c>
      <c r="L140" s="917">
        <f>STDEV(H140:H144)</f>
        <v>25.970409283130977</v>
      </c>
      <c r="M140" s="923">
        <f>L140/J140</f>
        <v>0.11112593696315176</v>
      </c>
      <c r="N140" s="917">
        <f>IF(M140&lt;25%,J140,K140)</f>
        <v>233.70250000000001</v>
      </c>
      <c r="O140" s="942">
        <f>N140*D140</f>
        <v>1402.2150000000001</v>
      </c>
      <c r="P140" s="97"/>
      <c r="Q140" s="97"/>
      <c r="R140" s="106"/>
      <c r="S140" s="97"/>
      <c r="T140" s="106"/>
      <c r="U140" s="107"/>
    </row>
    <row r="141" spans="1:21" s="96" customFormat="1" ht="24" customHeight="1">
      <c r="A141" s="929"/>
      <c r="B141" s="969"/>
      <c r="C141" s="972"/>
      <c r="D141" s="933"/>
      <c r="E141" s="99" t="s">
        <v>446</v>
      </c>
      <c r="F141" s="100">
        <v>203.9</v>
      </c>
      <c r="G141" s="918"/>
      <c r="H141" s="100">
        <f>IF((F141/G$140)-1&gt;30%,"EXCLUÍDO",IF((F141/G$140)-1&lt;-30%,"EXCLUÍDO",F141))</f>
        <v>203.9</v>
      </c>
      <c r="I141" s="101">
        <f>IF(F141&lt;&gt;0,(F141/$G$140)-1,"")</f>
        <v>-5.140730402419158E-2</v>
      </c>
      <c r="J141" s="918"/>
      <c r="K141" s="921"/>
      <c r="L141" s="918"/>
      <c r="M141" s="921"/>
      <c r="N141" s="918"/>
      <c r="O141" s="942"/>
      <c r="P141" s="97"/>
      <c r="Q141" s="97"/>
      <c r="R141" s="106"/>
      <c r="S141" s="97"/>
      <c r="T141" s="106"/>
      <c r="U141" s="107"/>
    </row>
    <row r="142" spans="1:21" s="96" customFormat="1" ht="24" customHeight="1">
      <c r="A142" s="929"/>
      <c r="B142" s="969"/>
      <c r="C142" s="972"/>
      <c r="D142" s="933"/>
      <c r="E142" s="99" t="s">
        <v>447</v>
      </c>
      <c r="F142" s="100">
        <v>139.93</v>
      </c>
      <c r="G142" s="918"/>
      <c r="H142" s="100" t="str">
        <f>IF((F142/G$140)-1&gt;30%,"EXCLUÍDO",IF((F142/G$140)-1&lt;-30%,"EXCLUÍDO",F142))</f>
        <v>EXCLUÍDO</v>
      </c>
      <c r="I142" s="101">
        <f>IF(F142&lt;&gt;0,(F142/$G$140)-1,"")</f>
        <v>-0.34901139799953473</v>
      </c>
      <c r="J142" s="918"/>
      <c r="K142" s="921"/>
      <c r="L142" s="918"/>
      <c r="M142" s="921"/>
      <c r="N142" s="918"/>
      <c r="O142" s="942"/>
      <c r="P142" s="97"/>
      <c r="Q142" s="97"/>
      <c r="R142" s="106"/>
      <c r="S142" s="97"/>
      <c r="T142" s="106"/>
      <c r="U142" s="107"/>
    </row>
    <row r="143" spans="1:21" s="96" customFormat="1" ht="24" customHeight="1">
      <c r="A143" s="929"/>
      <c r="B143" s="969"/>
      <c r="C143" s="972"/>
      <c r="D143" s="933"/>
      <c r="E143" s="99" t="s">
        <v>235</v>
      </c>
      <c r="F143" s="100">
        <v>255.9</v>
      </c>
      <c r="G143" s="918"/>
      <c r="H143" s="100">
        <f>IF((F143/G$140)-1&gt;30%,"EXCLUÍDO",IF((F143/G$140)-1&lt;-30%,"EXCLUÍDO",F143))</f>
        <v>255.9</v>
      </c>
      <c r="I143" s="101">
        <f>IF(F143&lt;&gt;0,(F143/$G$140)-1,"")</f>
        <v>0.19050942079553401</v>
      </c>
      <c r="J143" s="918"/>
      <c r="K143" s="921"/>
      <c r="L143" s="918"/>
      <c r="M143" s="921"/>
      <c r="N143" s="918"/>
      <c r="O143" s="942"/>
      <c r="P143" s="97"/>
      <c r="Q143" s="97"/>
      <c r="R143" s="106"/>
      <c r="S143" s="97"/>
      <c r="T143" s="106"/>
      <c r="U143" s="107"/>
    </row>
    <row r="144" spans="1:21" s="96" customFormat="1" ht="24" customHeight="1">
      <c r="A144" s="929"/>
      <c r="B144" s="970"/>
      <c r="C144" s="973"/>
      <c r="D144" s="933"/>
      <c r="E144" s="99" t="s">
        <v>448</v>
      </c>
      <c r="F144" s="100">
        <v>219.99</v>
      </c>
      <c r="G144" s="919"/>
      <c r="H144" s="100">
        <f>IF((F144/G$140)-1&gt;30%,"EXCLUÍDO",IF((F144/G$140)-1&lt;-30%,"EXCLUÍDO",F144))</f>
        <v>219.99</v>
      </c>
      <c r="I144" s="101">
        <f>IF(F144&lt;&gt;0,(F144/$G$140)-1,"")</f>
        <v>2.3447313328681219E-2</v>
      </c>
      <c r="J144" s="919"/>
      <c r="K144" s="922"/>
      <c r="L144" s="919"/>
      <c r="M144" s="922"/>
      <c r="N144" s="919"/>
      <c r="O144" s="942"/>
      <c r="P144" s="97"/>
      <c r="Q144" s="97"/>
      <c r="R144" s="106"/>
      <c r="S144" s="97"/>
      <c r="T144" s="106"/>
      <c r="U144" s="107"/>
    </row>
    <row r="145" spans="1:21" s="96" customFormat="1" ht="24" customHeight="1">
      <c r="A145" s="939">
        <v>28</v>
      </c>
      <c r="B145" s="975" t="s">
        <v>449</v>
      </c>
      <c r="C145" s="978" t="s">
        <v>196</v>
      </c>
      <c r="D145" s="940">
        <v>2</v>
      </c>
      <c r="E145" s="114" t="s">
        <v>450</v>
      </c>
      <c r="F145" s="103">
        <v>133.72999999999999</v>
      </c>
      <c r="G145" s="914">
        <f>ROUNDUP(AVERAGE(F145:F149),2)</f>
        <v>155.16</v>
      </c>
      <c r="H145" s="103">
        <f>IF((F145/G$145)-1&gt;30%,"EXCLUÍDO",IF((F145/G$145)-1&lt;-30%,"EXCLUÍDO",F145))</f>
        <v>133.72999999999999</v>
      </c>
      <c r="I145" s="115">
        <f>IF(F145&lt;&gt;0,(F145/$G$145)-1,"")</f>
        <v>-0.13811549368393916</v>
      </c>
      <c r="J145" s="914">
        <f>AVERAGE(H145:H149)</f>
        <v>155.15600000000001</v>
      </c>
      <c r="K145" s="924">
        <f>MEDIAN(H145:H149)</f>
        <v>161.9</v>
      </c>
      <c r="L145" s="914">
        <f>STDEV(H145:H149)</f>
        <v>18.129076920792304</v>
      </c>
      <c r="M145" s="927">
        <f>L145/J145</f>
        <v>0.11684418856371848</v>
      </c>
      <c r="N145" s="914">
        <f>IF(M145&lt;25%,J145,K145)</f>
        <v>155.15600000000001</v>
      </c>
      <c r="O145" s="974">
        <f>N145*D145</f>
        <v>310.31200000000001</v>
      </c>
      <c r="P145" s="97"/>
      <c r="Q145" s="97"/>
      <c r="R145" s="106"/>
      <c r="S145" s="97"/>
      <c r="T145" s="106"/>
      <c r="U145" s="107"/>
    </row>
    <row r="146" spans="1:21" s="96" customFormat="1" ht="24" customHeight="1">
      <c r="A146" s="939"/>
      <c r="B146" s="976"/>
      <c r="C146" s="979"/>
      <c r="D146" s="940"/>
      <c r="E146" s="114" t="s">
        <v>451</v>
      </c>
      <c r="F146" s="103">
        <v>170.05</v>
      </c>
      <c r="G146" s="915"/>
      <c r="H146" s="103">
        <f>IF((F146/G$145)-1&gt;30%,"EXCLUÍDO",IF((F146/G$145)-1&lt;-30%,"EXCLUÍDO",F146))</f>
        <v>170.05</v>
      </c>
      <c r="I146" s="115">
        <f>IF(F146&lt;&gt;0,(F146/$G$145)-1,"")</f>
        <v>9.596545501417908E-2</v>
      </c>
      <c r="J146" s="915"/>
      <c r="K146" s="925"/>
      <c r="L146" s="915"/>
      <c r="M146" s="925"/>
      <c r="N146" s="915"/>
      <c r="O146" s="974"/>
      <c r="P146" s="97"/>
      <c r="Q146" s="97"/>
      <c r="R146" s="106"/>
      <c r="S146" s="97"/>
      <c r="T146" s="106"/>
      <c r="U146" s="107"/>
    </row>
    <row r="147" spans="1:21" s="96" customFormat="1" ht="24" customHeight="1">
      <c r="A147" s="939"/>
      <c r="B147" s="976"/>
      <c r="C147" s="979"/>
      <c r="D147" s="940"/>
      <c r="E147" s="114" t="s">
        <v>251</v>
      </c>
      <c r="F147" s="103">
        <v>161.9</v>
      </c>
      <c r="G147" s="915"/>
      <c r="H147" s="103">
        <f>IF((F147/G$145)-1&gt;30%,"EXCLUÍDO",IF((F147/G$145)-1&lt;-30%,"EXCLUÍDO",F147))</f>
        <v>161.9</v>
      </c>
      <c r="I147" s="115">
        <f>IF(F147&lt;&gt;0,(F147/$G$145)-1,"")</f>
        <v>4.3439030678009916E-2</v>
      </c>
      <c r="J147" s="915"/>
      <c r="K147" s="925"/>
      <c r="L147" s="915"/>
      <c r="M147" s="925"/>
      <c r="N147" s="915"/>
      <c r="O147" s="974"/>
      <c r="P147" s="97"/>
      <c r="Q147" s="97"/>
      <c r="R147" s="106"/>
      <c r="S147" s="97"/>
      <c r="T147" s="106"/>
      <c r="U147" s="107"/>
    </row>
    <row r="148" spans="1:21" s="96" customFormat="1" ht="24" customHeight="1">
      <c r="A148" s="939"/>
      <c r="B148" s="976"/>
      <c r="C148" s="979"/>
      <c r="D148" s="940"/>
      <c r="E148" s="114" t="s">
        <v>228</v>
      </c>
      <c r="F148" s="103">
        <v>137.9</v>
      </c>
      <c r="G148" s="915"/>
      <c r="H148" s="103">
        <f>IF((F148/G$145)-1&gt;30%,"EXCLUÍDO",IF((F148/G$145)-1&lt;-30%,"EXCLUÍDO",F148))</f>
        <v>137.9</v>
      </c>
      <c r="I148" s="115">
        <f>IF(F148&lt;&gt;0,(F148/$G$145)-1,"")</f>
        <v>-0.11124001031193598</v>
      </c>
      <c r="J148" s="915"/>
      <c r="K148" s="925"/>
      <c r="L148" s="915"/>
      <c r="M148" s="925"/>
      <c r="N148" s="915"/>
      <c r="O148" s="974"/>
      <c r="P148" s="97"/>
      <c r="Q148" s="97"/>
      <c r="R148" s="106"/>
      <c r="S148" s="97"/>
      <c r="T148" s="106"/>
      <c r="U148" s="107"/>
    </row>
    <row r="149" spans="1:21" s="96" customFormat="1" ht="24" customHeight="1">
      <c r="A149" s="939"/>
      <c r="B149" s="977"/>
      <c r="C149" s="980"/>
      <c r="D149" s="940"/>
      <c r="E149" s="114" t="s">
        <v>452</v>
      </c>
      <c r="F149" s="103">
        <v>172.2</v>
      </c>
      <c r="G149" s="916"/>
      <c r="H149" s="103">
        <f>IF((F149/G$145)-1&gt;30%,"EXCLUÍDO",IF((F149/G$145)-1&lt;-30%,"EXCLUÍDO",F149))</f>
        <v>172.2</v>
      </c>
      <c r="I149" s="115">
        <f>IF(F149&lt;&gt;0,(F149/$G$145)-1,"")</f>
        <v>0.10982211910286144</v>
      </c>
      <c r="J149" s="916"/>
      <c r="K149" s="926"/>
      <c r="L149" s="916"/>
      <c r="M149" s="926"/>
      <c r="N149" s="916"/>
      <c r="O149" s="974"/>
      <c r="P149" s="97"/>
      <c r="Q149" s="97"/>
      <c r="R149" s="106"/>
      <c r="S149" s="97"/>
      <c r="T149" s="106"/>
      <c r="U149" s="107"/>
    </row>
    <row r="150" spans="1:21" s="96" customFormat="1" ht="24" customHeight="1">
      <c r="A150" s="929">
        <v>29</v>
      </c>
      <c r="B150" s="968" t="s">
        <v>502</v>
      </c>
      <c r="C150" s="971" t="s">
        <v>196</v>
      </c>
      <c r="D150" s="933">
        <v>2</v>
      </c>
      <c r="E150" s="99" t="s">
        <v>482</v>
      </c>
      <c r="F150" s="100">
        <f>'Equip Diversos Jardinagem'!E19</f>
        <v>7342.6</v>
      </c>
      <c r="G150" s="917">
        <f>ROUNDUP(AVERAGE(F150:F154),2)</f>
        <v>7159.96</v>
      </c>
      <c r="H150" s="100">
        <f>IF((F150/G$150)-1&gt;30%,"EXCLUÍDO",IF((F150/G$150)-1&lt;-30%,"EXCLUÍDO",F150))</f>
        <v>7342.6</v>
      </c>
      <c r="I150" s="101">
        <f>IF(F150&lt;&gt;0,(F150/$G$150)-1,"")</f>
        <v>2.5508522393979938E-2</v>
      </c>
      <c r="J150" s="917">
        <f>AVERAGE(H150:H154)</f>
        <v>7159.9533333333338</v>
      </c>
      <c r="K150" s="920">
        <f>MEDIAN(H150:H154)</f>
        <v>7342.6</v>
      </c>
      <c r="L150" s="917">
        <f>STDEV(H150:H154)</f>
        <v>523.00293855133339</v>
      </c>
      <c r="M150" s="923">
        <f>L150/J150</f>
        <v>7.3045579238132846E-2</v>
      </c>
      <c r="N150" s="917">
        <f>IF(M150&lt;25%,J150,K150)</f>
        <v>7159.9533333333338</v>
      </c>
      <c r="O150" s="942">
        <f>N150*D150</f>
        <v>14319.906666666668</v>
      </c>
      <c r="P150" s="97"/>
      <c r="Q150" s="97"/>
      <c r="R150" s="106"/>
      <c r="S150" s="97"/>
      <c r="T150" s="106"/>
      <c r="U150" s="107"/>
    </row>
    <row r="151" spans="1:21" s="146" customFormat="1" ht="24" customHeight="1">
      <c r="A151" s="929"/>
      <c r="B151" s="969"/>
      <c r="C151" s="972"/>
      <c r="D151" s="933"/>
      <c r="E151" s="99" t="s">
        <v>448</v>
      </c>
      <c r="F151" s="100">
        <f>'Equip Diversos Jardinagem'!G19</f>
        <v>6570.119999999999</v>
      </c>
      <c r="G151" s="918"/>
      <c r="H151" s="100">
        <f>IF((F151/G$150)-1&gt;30%,"EXCLUÍDO",IF((F151/G$150)-1&lt;-30%,"EXCLUÍDO",F151))</f>
        <v>6570.119999999999</v>
      </c>
      <c r="I151" s="101">
        <f>IF(F151&lt;&gt;0,(F151/$G$150)-1,"")</f>
        <v>-8.2380348493567124E-2</v>
      </c>
      <c r="J151" s="918"/>
      <c r="K151" s="921"/>
      <c r="L151" s="918"/>
      <c r="M151" s="921"/>
      <c r="N151" s="918"/>
      <c r="O151" s="942"/>
      <c r="P151" s="165"/>
      <c r="Q151" s="165"/>
      <c r="R151" s="166"/>
      <c r="S151" s="165"/>
      <c r="T151" s="166"/>
      <c r="U151" s="167"/>
    </row>
    <row r="152" spans="1:21" s="146" customFormat="1" ht="24" customHeight="1">
      <c r="A152" s="929"/>
      <c r="B152" s="969"/>
      <c r="C152" s="972"/>
      <c r="D152" s="933"/>
      <c r="E152" s="99" t="s">
        <v>248</v>
      </c>
      <c r="F152" s="100">
        <f>'Equip Diversos Jardinagem'!I19</f>
        <v>7567.14</v>
      </c>
      <c r="G152" s="918"/>
      <c r="H152" s="100">
        <f>IF((F152/G$150)-1&gt;30%,"EXCLUÍDO",IF((F152/G$150)-1&lt;-30%,"EXCLUÍDO",F152))</f>
        <v>7567.14</v>
      </c>
      <c r="I152" s="101">
        <f>IF(F152&lt;&gt;0,(F152/$G$150)-1,"")</f>
        <v>5.6869032787892682E-2</v>
      </c>
      <c r="J152" s="918"/>
      <c r="K152" s="921"/>
      <c r="L152" s="918"/>
      <c r="M152" s="921"/>
      <c r="N152" s="918"/>
      <c r="O152" s="942"/>
      <c r="P152" s="165"/>
      <c r="Q152" s="165"/>
      <c r="R152" s="166"/>
      <c r="S152" s="165"/>
      <c r="T152" s="166"/>
      <c r="U152" s="167"/>
    </row>
    <row r="153" spans="1:21" s="146" customFormat="1" ht="24" customHeight="1">
      <c r="A153" s="929"/>
      <c r="B153" s="969"/>
      <c r="C153" s="972"/>
      <c r="D153" s="933"/>
      <c r="E153" s="99"/>
      <c r="F153" s="100"/>
      <c r="G153" s="918"/>
      <c r="H153" s="100" t="str">
        <f>IF((F153/G$150)-1&gt;30%,"EXCLUÍDO",IF((F153/G$150)-1&lt;-30%,"EXCLUÍDO",F153))</f>
        <v>EXCLUÍDO</v>
      </c>
      <c r="I153" s="101" t="str">
        <f>IF(F153&lt;&gt;0,(F153/$G$150)-1,"")</f>
        <v/>
      </c>
      <c r="J153" s="918"/>
      <c r="K153" s="921"/>
      <c r="L153" s="918"/>
      <c r="M153" s="921"/>
      <c r="N153" s="918"/>
      <c r="O153" s="942"/>
      <c r="P153" s="165"/>
      <c r="Q153" s="165"/>
      <c r="R153" s="166"/>
      <c r="S153" s="165"/>
      <c r="T153" s="166"/>
      <c r="U153" s="167"/>
    </row>
    <row r="154" spans="1:21" s="146" customFormat="1" ht="24" customHeight="1">
      <c r="A154" s="929"/>
      <c r="B154" s="970"/>
      <c r="C154" s="973"/>
      <c r="D154" s="933"/>
      <c r="E154" s="99"/>
      <c r="F154" s="100"/>
      <c r="G154" s="919"/>
      <c r="H154" s="100" t="str">
        <f>IF((F154/G$150)-1&gt;30%,"EXCLUÍDO",IF((F154/G$150)-1&lt;-30%,"EXCLUÍDO",F154))</f>
        <v>EXCLUÍDO</v>
      </c>
      <c r="I154" s="101" t="str">
        <f>IF(F154&lt;&gt;0,(F154/$G$150)-1,"")</f>
        <v/>
      </c>
      <c r="J154" s="919"/>
      <c r="K154" s="922"/>
      <c r="L154" s="919"/>
      <c r="M154" s="922"/>
      <c r="N154" s="919"/>
      <c r="O154" s="942"/>
      <c r="P154" s="165"/>
      <c r="Q154" s="165"/>
      <c r="R154" s="166"/>
      <c r="S154" s="165"/>
      <c r="T154" s="166"/>
      <c r="U154" s="167"/>
    </row>
    <row r="155" spans="1:21" s="146" customFormat="1" ht="24" customHeight="1">
      <c r="A155" s="939">
        <v>30</v>
      </c>
      <c r="B155" s="984"/>
      <c r="C155" s="978" t="s">
        <v>196</v>
      </c>
      <c r="D155" s="987"/>
      <c r="E155" s="114"/>
      <c r="F155" s="103"/>
      <c r="G155" s="914" t="e">
        <f>ROUNDUP(AVERAGE(F155:F159),2)</f>
        <v>#DIV/0!</v>
      </c>
      <c r="H155" s="103"/>
      <c r="I155" s="115"/>
      <c r="J155" s="914" t="e">
        <f>AVERAGE(H155:H159)</f>
        <v>#DIV/0!</v>
      </c>
      <c r="K155" s="924" t="e">
        <f>MEDIAN(H155:H159)</f>
        <v>#NUM!</v>
      </c>
      <c r="L155" s="914" t="e">
        <f>STDEV(H155:H159)</f>
        <v>#DIV/0!</v>
      </c>
      <c r="M155" s="927" t="e">
        <f>L155/J155</f>
        <v>#DIV/0!</v>
      </c>
      <c r="N155" s="914" t="e">
        <f>IF(M155&lt;25%,J155,K155)</f>
        <v>#DIV/0!</v>
      </c>
      <c r="O155" s="974" t="e">
        <f>N155*D155</f>
        <v>#DIV/0!</v>
      </c>
      <c r="P155" s="165"/>
      <c r="Q155" s="165"/>
      <c r="R155" s="166"/>
      <c r="S155" s="165"/>
      <c r="T155" s="166"/>
      <c r="U155" s="167"/>
    </row>
    <row r="156" spans="1:21" s="146" customFormat="1" ht="24" customHeight="1">
      <c r="A156" s="939"/>
      <c r="B156" s="985"/>
      <c r="C156" s="979"/>
      <c r="D156" s="988"/>
      <c r="E156" s="114"/>
      <c r="F156" s="103"/>
      <c r="G156" s="915"/>
      <c r="H156" s="103"/>
      <c r="I156" s="115"/>
      <c r="J156" s="915"/>
      <c r="K156" s="925"/>
      <c r="L156" s="915"/>
      <c r="M156" s="925"/>
      <c r="N156" s="915"/>
      <c r="O156" s="974"/>
      <c r="P156" s="165"/>
      <c r="Q156" s="165"/>
      <c r="R156" s="166"/>
      <c r="S156" s="165"/>
      <c r="T156" s="166"/>
      <c r="U156" s="167"/>
    </row>
    <row r="157" spans="1:21" s="146" customFormat="1" ht="24" customHeight="1">
      <c r="A157" s="939"/>
      <c r="B157" s="985"/>
      <c r="C157" s="979"/>
      <c r="D157" s="988"/>
      <c r="E157" s="114"/>
      <c r="F157" s="103"/>
      <c r="G157" s="915"/>
      <c r="H157" s="103"/>
      <c r="I157" s="115"/>
      <c r="J157" s="915"/>
      <c r="K157" s="925"/>
      <c r="L157" s="915"/>
      <c r="M157" s="925"/>
      <c r="N157" s="915"/>
      <c r="O157" s="974"/>
      <c r="P157" s="165"/>
      <c r="Q157" s="165"/>
      <c r="R157" s="166"/>
      <c r="S157" s="165"/>
      <c r="T157" s="166"/>
      <c r="U157" s="167"/>
    </row>
    <row r="158" spans="1:21" s="146" customFormat="1" ht="24" customHeight="1">
      <c r="A158" s="939"/>
      <c r="B158" s="985"/>
      <c r="C158" s="979"/>
      <c r="D158" s="988"/>
      <c r="E158" s="114"/>
      <c r="F158" s="103"/>
      <c r="G158" s="915"/>
      <c r="H158" s="103"/>
      <c r="I158" s="115"/>
      <c r="J158" s="915"/>
      <c r="K158" s="925"/>
      <c r="L158" s="915"/>
      <c r="M158" s="925"/>
      <c r="N158" s="915"/>
      <c r="O158" s="974"/>
      <c r="P158" s="165"/>
      <c r="Q158" s="165"/>
      <c r="R158" s="166"/>
      <c r="S158" s="165"/>
      <c r="T158" s="166"/>
      <c r="U158" s="167"/>
    </row>
    <row r="159" spans="1:21" s="146" customFormat="1" ht="24" customHeight="1">
      <c r="A159" s="939"/>
      <c r="B159" s="986"/>
      <c r="C159" s="980"/>
      <c r="D159" s="989"/>
      <c r="E159" s="114"/>
      <c r="F159" s="103"/>
      <c r="G159" s="916"/>
      <c r="H159" s="103"/>
      <c r="I159" s="115"/>
      <c r="J159" s="916"/>
      <c r="K159" s="926"/>
      <c r="L159" s="916"/>
      <c r="M159" s="926"/>
      <c r="N159" s="916"/>
      <c r="O159" s="974"/>
      <c r="P159" s="165"/>
      <c r="Q159" s="165"/>
      <c r="R159" s="166"/>
      <c r="S159" s="165"/>
      <c r="T159" s="166"/>
      <c r="U159" s="167"/>
    </row>
    <row r="160" spans="1:21" ht="30.75" customHeight="1">
      <c r="A160" s="1010" t="s">
        <v>209</v>
      </c>
      <c r="B160" s="1011"/>
      <c r="C160" s="1011"/>
      <c r="D160" s="1011"/>
      <c r="E160" s="1011"/>
      <c r="F160" s="1011"/>
      <c r="G160" s="1011"/>
      <c r="H160" s="1011"/>
      <c r="I160" s="1011"/>
      <c r="J160" s="1011"/>
      <c r="K160" s="1011"/>
      <c r="L160" s="1011"/>
      <c r="M160" s="1011"/>
      <c r="N160" s="1011"/>
      <c r="O160" s="129">
        <f>SUM(O10:O154)</f>
        <v>259569.31649999999</v>
      </c>
    </row>
    <row r="161" spans="1:15" ht="28.5" customHeight="1">
      <c r="A161" s="1010" t="s">
        <v>271</v>
      </c>
      <c r="B161" s="1011"/>
      <c r="C161" s="1011"/>
      <c r="D161" s="1011"/>
      <c r="E161" s="1011"/>
      <c r="F161" s="1011"/>
      <c r="G161" s="1011"/>
      <c r="H161" s="1011"/>
      <c r="I161" s="1011"/>
      <c r="J161" s="1011"/>
      <c r="K161" s="1011"/>
      <c r="L161" s="1011"/>
      <c r="M161" s="1011"/>
      <c r="N161" s="1011"/>
      <c r="O161" s="129">
        <f>O160*0.2</f>
        <v>51913.863299999997</v>
      </c>
    </row>
    <row r="162" spans="1:15" ht="28.5" customHeight="1">
      <c r="A162" s="1010" t="s">
        <v>272</v>
      </c>
      <c r="B162" s="1011"/>
      <c r="C162" s="1011"/>
      <c r="D162" s="1011"/>
      <c r="E162" s="1011"/>
      <c r="F162" s="1011"/>
      <c r="G162" s="1011"/>
      <c r="H162" s="1011"/>
      <c r="I162" s="1011"/>
      <c r="J162" s="1011"/>
      <c r="K162" s="1011"/>
      <c r="L162" s="1011"/>
      <c r="M162" s="1011"/>
      <c r="N162" s="1011"/>
      <c r="O162" s="129">
        <f>O160-O161</f>
        <v>207655.45319999999</v>
      </c>
    </row>
    <row r="163" spans="1:15" ht="28.5" customHeight="1">
      <c r="A163" s="1010" t="s">
        <v>629</v>
      </c>
      <c r="B163" s="1011"/>
      <c r="C163" s="1011"/>
      <c r="D163" s="1011"/>
      <c r="E163" s="1011"/>
      <c r="F163" s="1011"/>
      <c r="G163" s="1011"/>
      <c r="H163" s="1011"/>
      <c r="I163" s="1011"/>
      <c r="J163" s="1011"/>
      <c r="K163" s="1011"/>
      <c r="L163" s="1011"/>
      <c r="M163" s="1011"/>
      <c r="N163" s="1011"/>
      <c r="O163" s="129">
        <f>O162*(0.5/100)</f>
        <v>1038.2772660000001</v>
      </c>
    </row>
    <row r="164" spans="1:15" ht="28.5" customHeight="1">
      <c r="A164" s="1010" t="s">
        <v>633</v>
      </c>
      <c r="B164" s="1011"/>
      <c r="C164" s="1011"/>
      <c r="D164" s="1011"/>
      <c r="E164" s="1011"/>
      <c r="F164" s="1011"/>
      <c r="G164" s="1011"/>
      <c r="H164" s="1011"/>
      <c r="I164" s="1011"/>
      <c r="J164" s="1011"/>
      <c r="K164" s="1011"/>
      <c r="L164" s="1011"/>
      <c r="M164" s="1011"/>
      <c r="N164" s="1011"/>
      <c r="O164" s="129">
        <f>O162/60+O163</f>
        <v>4499.2014859999999</v>
      </c>
    </row>
    <row r="165" spans="1:15" ht="28.5" customHeight="1">
      <c r="A165" s="1010" t="s">
        <v>630</v>
      </c>
      <c r="B165" s="1011"/>
      <c r="C165" s="1011"/>
      <c r="D165" s="1011"/>
      <c r="E165" s="1011"/>
      <c r="F165" s="1011"/>
      <c r="G165" s="1011"/>
      <c r="H165" s="1011"/>
      <c r="I165" s="1011"/>
      <c r="J165" s="1011"/>
      <c r="K165" s="1011"/>
      <c r="L165" s="1011"/>
      <c r="M165" s="1011"/>
      <c r="N165" s="1011"/>
      <c r="O165" s="129">
        <f>O164/29</f>
        <v>155.14487882758621</v>
      </c>
    </row>
    <row r="166" spans="1:15" ht="28.5" customHeight="1">
      <c r="A166" s="423" t="s">
        <v>632</v>
      </c>
      <c r="H166" s="90"/>
      <c r="M166" s="420"/>
      <c r="N166" s="421" t="s">
        <v>634</v>
      </c>
      <c r="O166" s="422">
        <f>(O164-O163)/O162</f>
        <v>1.6666666666666666E-2</v>
      </c>
    </row>
    <row r="167" spans="1:15" ht="28.5" customHeight="1">
      <c r="O167" s="419"/>
    </row>
  </sheetData>
  <mergeCells count="354">
    <mergeCell ref="A161:N161"/>
    <mergeCell ref="A162:N162"/>
    <mergeCell ref="A164:N164"/>
    <mergeCell ref="A165:N165"/>
    <mergeCell ref="N85:N89"/>
    <mergeCell ref="O85:O89"/>
    <mergeCell ref="A85:A89"/>
    <mergeCell ref="B85:B89"/>
    <mergeCell ref="C85:C89"/>
    <mergeCell ref="D85:D89"/>
    <mergeCell ref="G85:G89"/>
    <mergeCell ref="J85:J89"/>
    <mergeCell ref="K85:K89"/>
    <mergeCell ref="L85:L89"/>
    <mergeCell ref="M85:M89"/>
    <mergeCell ref="N90:N94"/>
    <mergeCell ref="K80:K84"/>
    <mergeCell ref="L80:L84"/>
    <mergeCell ref="O90:O94"/>
    <mergeCell ref="A90:A94"/>
    <mergeCell ref="B90:B94"/>
    <mergeCell ref="C90:C94"/>
    <mergeCell ref="D90:D94"/>
    <mergeCell ref="G90:G94"/>
    <mergeCell ref="J90:J94"/>
    <mergeCell ref="K90:K94"/>
    <mergeCell ref="A80:A84"/>
    <mergeCell ref="B80:B84"/>
    <mergeCell ref="C80:C84"/>
    <mergeCell ref="D80:D84"/>
    <mergeCell ref="G80:G84"/>
    <mergeCell ref="J80:J84"/>
    <mergeCell ref="M80:M84"/>
    <mergeCell ref="L75:L79"/>
    <mergeCell ref="M75:M79"/>
    <mergeCell ref="N75:N79"/>
    <mergeCell ref="O75:O79"/>
    <mergeCell ref="M70:M74"/>
    <mergeCell ref="N70:N74"/>
    <mergeCell ref="O70:O74"/>
    <mergeCell ref="N80:N84"/>
    <mergeCell ref="O80:O84"/>
    <mergeCell ref="A75:A79"/>
    <mergeCell ref="B75:B79"/>
    <mergeCell ref="C75:C79"/>
    <mergeCell ref="D75:D79"/>
    <mergeCell ref="G75:G79"/>
    <mergeCell ref="J75:J79"/>
    <mergeCell ref="K75:K79"/>
    <mergeCell ref="O65:O69"/>
    <mergeCell ref="A70:A74"/>
    <mergeCell ref="B70:B74"/>
    <mergeCell ref="C70:C74"/>
    <mergeCell ref="D70:D74"/>
    <mergeCell ref="G70:G74"/>
    <mergeCell ref="J70:J74"/>
    <mergeCell ref="K70:K74"/>
    <mergeCell ref="L70:L74"/>
    <mergeCell ref="M60:M64"/>
    <mergeCell ref="N60:N64"/>
    <mergeCell ref="N65:N69"/>
    <mergeCell ref="J50:J54"/>
    <mergeCell ref="K50:K54"/>
    <mergeCell ref="L50:L54"/>
    <mergeCell ref="M50:M54"/>
    <mergeCell ref="N50:N54"/>
    <mergeCell ref="M55:M59"/>
    <mergeCell ref="N55:N59"/>
    <mergeCell ref="O50:O54"/>
    <mergeCell ref="K45:K49"/>
    <mergeCell ref="L45:L49"/>
    <mergeCell ref="M45:M49"/>
    <mergeCell ref="N45:N49"/>
    <mergeCell ref="O45:O49"/>
    <mergeCell ref="O55:O59"/>
    <mergeCell ref="A50:A54"/>
    <mergeCell ref="B50:B54"/>
    <mergeCell ref="C50:C54"/>
    <mergeCell ref="D50:D54"/>
    <mergeCell ref="G50:G54"/>
    <mergeCell ref="B55:B59"/>
    <mergeCell ref="C55:C59"/>
    <mergeCell ref="K55:K59"/>
    <mergeCell ref="D55:D59"/>
    <mergeCell ref="A45:A49"/>
    <mergeCell ref="B45:B49"/>
    <mergeCell ref="C45:C49"/>
    <mergeCell ref="D45:D49"/>
    <mergeCell ref="A160:N160"/>
    <mergeCell ref="A60:A64"/>
    <mergeCell ref="B60:B64"/>
    <mergeCell ref="C60:C64"/>
    <mergeCell ref="D60:D64"/>
    <mergeCell ref="A55:A59"/>
    <mergeCell ref="O60:O64"/>
    <mergeCell ref="A65:A69"/>
    <mergeCell ref="B65:B69"/>
    <mergeCell ref="C65:C69"/>
    <mergeCell ref="D65:D69"/>
    <mergeCell ref="G65:G69"/>
    <mergeCell ref="J65:J69"/>
    <mergeCell ref="K65:K69"/>
    <mergeCell ref="L65:L69"/>
    <mergeCell ref="M65:M69"/>
    <mergeCell ref="G60:G64"/>
    <mergeCell ref="J60:J64"/>
    <mergeCell ref="K60:K64"/>
    <mergeCell ref="L60:L64"/>
    <mergeCell ref="J40:J44"/>
    <mergeCell ref="K40:K44"/>
    <mergeCell ref="L40:L44"/>
    <mergeCell ref="G45:G49"/>
    <mergeCell ref="J45:J49"/>
    <mergeCell ref="G55:G59"/>
    <mergeCell ref="N40:N44"/>
    <mergeCell ref="O40:O44"/>
    <mergeCell ref="K35:K39"/>
    <mergeCell ref="L35:L39"/>
    <mergeCell ref="M35:M39"/>
    <mergeCell ref="N35:N39"/>
    <mergeCell ref="O35:O39"/>
    <mergeCell ref="A40:A44"/>
    <mergeCell ref="B40:B44"/>
    <mergeCell ref="C40:C44"/>
    <mergeCell ref="D40:D44"/>
    <mergeCell ref="G40:G44"/>
    <mergeCell ref="A35:A39"/>
    <mergeCell ref="B35:B39"/>
    <mergeCell ref="C35:C39"/>
    <mergeCell ref="D35:D39"/>
    <mergeCell ref="G35:G39"/>
    <mergeCell ref="N30:N34"/>
    <mergeCell ref="O30:O34"/>
    <mergeCell ref="K25:K29"/>
    <mergeCell ref="L25:L29"/>
    <mergeCell ref="M25:M29"/>
    <mergeCell ref="N25:N29"/>
    <mergeCell ref="O25:O29"/>
    <mergeCell ref="O20:O24"/>
    <mergeCell ref="A25:A29"/>
    <mergeCell ref="B25:B29"/>
    <mergeCell ref="C25:C29"/>
    <mergeCell ref="D25:D29"/>
    <mergeCell ref="G25:G29"/>
    <mergeCell ref="J25:J29"/>
    <mergeCell ref="D20:D24"/>
    <mergeCell ref="G20:G24"/>
    <mergeCell ref="J20:J24"/>
    <mergeCell ref="N20:N24"/>
    <mergeCell ref="B8:B9"/>
    <mergeCell ref="C8:C9"/>
    <mergeCell ref="A8:A9"/>
    <mergeCell ref="K20:K24"/>
    <mergeCell ref="N10:N14"/>
    <mergeCell ref="N15:N19"/>
    <mergeCell ref="A10:A14"/>
    <mergeCell ref="B10:B14"/>
    <mergeCell ref="C10:C14"/>
    <mergeCell ref="C30:C34"/>
    <mergeCell ref="D30:D34"/>
    <mergeCell ref="G30:G34"/>
    <mergeCell ref="J30:J34"/>
    <mergeCell ref="L20:L24"/>
    <mergeCell ref="M20:M24"/>
    <mergeCell ref="L30:L34"/>
    <mergeCell ref="M30:M34"/>
    <mergeCell ref="O10:O14"/>
    <mergeCell ref="A15:A19"/>
    <mergeCell ref="B15:B19"/>
    <mergeCell ref="C15:C19"/>
    <mergeCell ref="D15:D19"/>
    <mergeCell ref="G15:G19"/>
    <mergeCell ref="J15:J19"/>
    <mergeCell ref="K15:K19"/>
    <mergeCell ref="L15:L19"/>
    <mergeCell ref="M15:M19"/>
    <mergeCell ref="O15:O19"/>
    <mergeCell ref="A163:N163"/>
    <mergeCell ref="L90:L94"/>
    <mergeCell ref="M90:M94"/>
    <mergeCell ref="K30:K34"/>
    <mergeCell ref="A20:A24"/>
    <mergeCell ref="B20:B24"/>
    <mergeCell ref="C20:C24"/>
    <mergeCell ref="A30:A34"/>
    <mergeCell ref="B30:B34"/>
    <mergeCell ref="A1:O1"/>
    <mergeCell ref="A2:O2"/>
    <mergeCell ref="A3:O3"/>
    <mergeCell ref="A4:O4"/>
    <mergeCell ref="A7:O7"/>
    <mergeCell ref="O8:O9"/>
    <mergeCell ref="N8:N9"/>
    <mergeCell ref="D8:D9"/>
    <mergeCell ref="E8:F8"/>
    <mergeCell ref="H8:H9"/>
    <mergeCell ref="D10:D14"/>
    <mergeCell ref="G10:G14"/>
    <mergeCell ref="J10:J14"/>
    <mergeCell ref="K10:K14"/>
    <mergeCell ref="L10:L14"/>
    <mergeCell ref="M10:M14"/>
    <mergeCell ref="J95:J99"/>
    <mergeCell ref="I8:I9"/>
    <mergeCell ref="J8:J9"/>
    <mergeCell ref="K8:K9"/>
    <mergeCell ref="L8:L9"/>
    <mergeCell ref="M8:M9"/>
    <mergeCell ref="J35:J39"/>
    <mergeCell ref="M40:M44"/>
    <mergeCell ref="J55:J59"/>
    <mergeCell ref="L55:L59"/>
    <mergeCell ref="A100:A104"/>
    <mergeCell ref="B100:B104"/>
    <mergeCell ref="C100:C104"/>
    <mergeCell ref="D100:D104"/>
    <mergeCell ref="G100:G104"/>
    <mergeCell ref="A95:A99"/>
    <mergeCell ref="B95:B99"/>
    <mergeCell ref="C95:C99"/>
    <mergeCell ref="D95:D99"/>
    <mergeCell ref="G95:G99"/>
    <mergeCell ref="O100:O104"/>
    <mergeCell ref="K95:K99"/>
    <mergeCell ref="L95:L99"/>
    <mergeCell ref="M95:M99"/>
    <mergeCell ref="N95:N99"/>
    <mergeCell ref="O95:O99"/>
    <mergeCell ref="J105:J109"/>
    <mergeCell ref="J100:J104"/>
    <mergeCell ref="K100:K104"/>
    <mergeCell ref="L100:L104"/>
    <mergeCell ref="M100:M104"/>
    <mergeCell ref="N100:N104"/>
    <mergeCell ref="A110:A114"/>
    <mergeCell ref="B110:B114"/>
    <mergeCell ref="C110:C114"/>
    <mergeCell ref="D110:D114"/>
    <mergeCell ref="G110:G114"/>
    <mergeCell ref="A105:A109"/>
    <mergeCell ref="B105:B109"/>
    <mergeCell ref="C105:C109"/>
    <mergeCell ref="D105:D109"/>
    <mergeCell ref="G105:G109"/>
    <mergeCell ref="O110:O114"/>
    <mergeCell ref="K105:K109"/>
    <mergeCell ref="L105:L109"/>
    <mergeCell ref="M105:M109"/>
    <mergeCell ref="N105:N109"/>
    <mergeCell ref="O105:O109"/>
    <mergeCell ref="J115:J119"/>
    <mergeCell ref="J110:J114"/>
    <mergeCell ref="K110:K114"/>
    <mergeCell ref="L110:L114"/>
    <mergeCell ref="M110:M114"/>
    <mergeCell ref="N110:N114"/>
    <mergeCell ref="A120:A124"/>
    <mergeCell ref="B120:B124"/>
    <mergeCell ref="C120:C124"/>
    <mergeCell ref="D120:D124"/>
    <mergeCell ref="G120:G124"/>
    <mergeCell ref="A115:A119"/>
    <mergeCell ref="B115:B119"/>
    <mergeCell ref="C115:C119"/>
    <mergeCell ref="D115:D119"/>
    <mergeCell ref="G115:G119"/>
    <mergeCell ref="O120:O124"/>
    <mergeCell ref="K115:K119"/>
    <mergeCell ref="L115:L119"/>
    <mergeCell ref="M115:M119"/>
    <mergeCell ref="N115:N119"/>
    <mergeCell ref="O115:O119"/>
    <mergeCell ref="J125:J129"/>
    <mergeCell ref="J120:J124"/>
    <mergeCell ref="K120:K124"/>
    <mergeCell ref="L120:L124"/>
    <mergeCell ref="M120:M124"/>
    <mergeCell ref="N120:N124"/>
    <mergeCell ref="A130:A134"/>
    <mergeCell ref="B130:B134"/>
    <mergeCell ref="C130:C134"/>
    <mergeCell ref="D130:D134"/>
    <mergeCell ref="G130:G134"/>
    <mergeCell ref="A125:A129"/>
    <mergeCell ref="B125:B129"/>
    <mergeCell ref="C125:C129"/>
    <mergeCell ref="D125:D129"/>
    <mergeCell ref="G125:G129"/>
    <mergeCell ref="O130:O134"/>
    <mergeCell ref="K125:K129"/>
    <mergeCell ref="L125:L129"/>
    <mergeCell ref="M125:M129"/>
    <mergeCell ref="N125:N129"/>
    <mergeCell ref="O125:O129"/>
    <mergeCell ref="J155:J159"/>
    <mergeCell ref="J130:J134"/>
    <mergeCell ref="K130:K134"/>
    <mergeCell ref="L130:L134"/>
    <mergeCell ref="M130:M134"/>
    <mergeCell ref="N130:N134"/>
    <mergeCell ref="J140:J144"/>
    <mergeCell ref="J135:J139"/>
    <mergeCell ref="J150:J154"/>
    <mergeCell ref="J145:J149"/>
    <mergeCell ref="A135:A139"/>
    <mergeCell ref="B135:B139"/>
    <mergeCell ref="C135:C139"/>
    <mergeCell ref="D135:D139"/>
    <mergeCell ref="G135:G139"/>
    <mergeCell ref="A155:A159"/>
    <mergeCell ref="B155:B159"/>
    <mergeCell ref="C155:C159"/>
    <mergeCell ref="D155:D159"/>
    <mergeCell ref="G155:G159"/>
    <mergeCell ref="O135:O139"/>
    <mergeCell ref="K155:K159"/>
    <mergeCell ref="L155:L159"/>
    <mergeCell ref="M155:M159"/>
    <mergeCell ref="N155:N159"/>
    <mergeCell ref="O155:O159"/>
    <mergeCell ref="K135:K139"/>
    <mergeCell ref="L135:L139"/>
    <mergeCell ref="M135:M139"/>
    <mergeCell ref="N135:N139"/>
    <mergeCell ref="A145:A149"/>
    <mergeCell ref="B145:B149"/>
    <mergeCell ref="C145:C149"/>
    <mergeCell ref="D145:D149"/>
    <mergeCell ref="G145:G149"/>
    <mergeCell ref="A140:A144"/>
    <mergeCell ref="B140:B144"/>
    <mergeCell ref="C140:C144"/>
    <mergeCell ref="D140:D144"/>
    <mergeCell ref="G140:G144"/>
    <mergeCell ref="O145:O149"/>
    <mergeCell ref="K140:K144"/>
    <mergeCell ref="L140:L144"/>
    <mergeCell ref="M140:M144"/>
    <mergeCell ref="N140:N144"/>
    <mergeCell ref="O140:O144"/>
    <mergeCell ref="K145:K149"/>
    <mergeCell ref="L145:L149"/>
    <mergeCell ref="M145:M149"/>
    <mergeCell ref="N145:N149"/>
    <mergeCell ref="K150:K154"/>
    <mergeCell ref="L150:L154"/>
    <mergeCell ref="M150:M154"/>
    <mergeCell ref="N150:N154"/>
    <mergeCell ref="O150:O154"/>
    <mergeCell ref="A150:A154"/>
    <mergeCell ref="B150:B154"/>
    <mergeCell ref="C150:C154"/>
    <mergeCell ref="D150:D154"/>
    <mergeCell ref="G150:G154"/>
  </mergeCells>
  <printOptions horizontalCentered="1" verticalCentered="1"/>
  <pageMargins left="0" right="0" top="0" bottom="0" header="0" footer="0"/>
  <pageSetup paperSize="9" scale="20" pageOrder="overThenDown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P19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22" sqref="B22"/>
    </sheetView>
  </sheetViews>
  <sheetFormatPr defaultRowHeight="15"/>
  <cols>
    <col min="1" max="1" width="48.28515625" customWidth="1"/>
    <col min="2" max="2" width="12.7109375" customWidth="1"/>
    <col min="3" max="3" width="7.28515625" style="182" customWidth="1"/>
    <col min="4" max="4" width="9.140625" style="183"/>
    <col min="5" max="5" width="9.5703125" style="183" bestFit="1" customWidth="1"/>
    <col min="6" max="6" width="9.140625" style="183"/>
    <col min="7" max="7" width="9.5703125" style="183" bestFit="1" customWidth="1"/>
    <col min="8" max="8" width="9.140625" style="183"/>
    <col min="9" max="9" width="9.5703125" style="183" bestFit="1" customWidth="1"/>
    <col min="10" max="15" width="5.28515625" style="182" customWidth="1"/>
  </cols>
  <sheetData>
    <row r="1" spans="1:16">
      <c r="A1" t="s">
        <v>458</v>
      </c>
    </row>
    <row r="2" spans="1:16">
      <c r="B2" s="182"/>
      <c r="D2" s="1020" t="s">
        <v>459</v>
      </c>
      <c r="E2" s="1020"/>
      <c r="F2" s="1021" t="s">
        <v>460</v>
      </c>
      <c r="G2" s="1021"/>
      <c r="H2" s="1022" t="s">
        <v>461</v>
      </c>
      <c r="I2" s="1022"/>
      <c r="J2" s="185" t="s">
        <v>476</v>
      </c>
      <c r="K2" s="185" t="s">
        <v>477</v>
      </c>
      <c r="L2" s="185" t="s">
        <v>478</v>
      </c>
      <c r="M2" s="185" t="s">
        <v>479</v>
      </c>
      <c r="N2" s="185" t="s">
        <v>480</v>
      </c>
      <c r="O2" s="185" t="s">
        <v>481</v>
      </c>
      <c r="P2" s="182"/>
    </row>
    <row r="3" spans="1:16">
      <c r="A3" s="184" t="s">
        <v>130</v>
      </c>
      <c r="B3" s="185" t="s">
        <v>455</v>
      </c>
      <c r="C3" s="185" t="s">
        <v>454</v>
      </c>
      <c r="D3" s="187" t="s">
        <v>456</v>
      </c>
      <c r="E3" s="187" t="s">
        <v>457</v>
      </c>
      <c r="F3" s="190" t="s">
        <v>456</v>
      </c>
      <c r="G3" s="190" t="s">
        <v>457</v>
      </c>
      <c r="H3" s="193" t="s">
        <v>456</v>
      </c>
      <c r="I3" s="193" t="s">
        <v>457</v>
      </c>
    </row>
    <row r="4" spans="1:16">
      <c r="A4" s="184"/>
      <c r="B4" s="433" t="s">
        <v>655</v>
      </c>
      <c r="C4" s="185"/>
      <c r="D4" s="188"/>
      <c r="E4" s="188"/>
      <c r="F4" s="191"/>
      <c r="G4" s="191"/>
      <c r="H4" s="194"/>
      <c r="I4" s="194"/>
    </row>
    <row r="5" spans="1:16">
      <c r="A5" s="184" t="s">
        <v>462</v>
      </c>
      <c r="B5" s="186" t="s">
        <v>459</v>
      </c>
      <c r="C5" s="185">
        <f>SUM(J5:O5)</f>
        <v>6</v>
      </c>
      <c r="D5" s="188">
        <v>294</v>
      </c>
      <c r="E5" s="188">
        <f>C5*D5</f>
        <v>1764</v>
      </c>
      <c r="F5" s="191">
        <v>333.01</v>
      </c>
      <c r="G5" s="191">
        <f>F5*C5</f>
        <v>1998.06</v>
      </c>
      <c r="H5" s="194">
        <v>310.25</v>
      </c>
      <c r="I5" s="194">
        <f>H5*C5</f>
        <v>1861.5</v>
      </c>
      <c r="J5" s="185">
        <v>3</v>
      </c>
      <c r="K5" s="185">
        <v>1</v>
      </c>
      <c r="L5" s="185">
        <v>0</v>
      </c>
      <c r="M5" s="185">
        <v>1</v>
      </c>
      <c r="N5" s="185">
        <v>0</v>
      </c>
      <c r="O5" s="185">
        <v>1</v>
      </c>
    </row>
    <row r="6" spans="1:16">
      <c r="A6" s="184" t="s">
        <v>463</v>
      </c>
      <c r="B6" s="186" t="s">
        <v>459</v>
      </c>
      <c r="C6" s="185">
        <f t="shared" ref="C6:C18" si="0">SUM(J6:O6)</f>
        <v>6</v>
      </c>
      <c r="D6" s="188">
        <v>164</v>
      </c>
      <c r="E6" s="188">
        <f t="shared" ref="E6:E18" si="1">C6*D6</f>
        <v>984</v>
      </c>
      <c r="F6" s="191">
        <v>116.21</v>
      </c>
      <c r="G6" s="191">
        <f t="shared" ref="G6:G18" si="2">F6*C6</f>
        <v>697.26</v>
      </c>
      <c r="H6" s="194">
        <v>179.35</v>
      </c>
      <c r="I6" s="194">
        <f t="shared" ref="I6:I18" si="3">H6*C6</f>
        <v>1076.0999999999999</v>
      </c>
      <c r="J6" s="185">
        <v>1</v>
      </c>
      <c r="K6" s="185">
        <v>1</v>
      </c>
      <c r="L6" s="185">
        <v>1</v>
      </c>
      <c r="M6" s="185">
        <v>1</v>
      </c>
      <c r="N6" s="185">
        <v>1</v>
      </c>
      <c r="O6" s="185">
        <v>1</v>
      </c>
    </row>
    <row r="7" spans="1:16">
      <c r="A7" s="184" t="s">
        <v>464</v>
      </c>
      <c r="B7" s="186" t="s">
        <v>459</v>
      </c>
      <c r="C7" s="185">
        <f t="shared" si="0"/>
        <v>2</v>
      </c>
      <c r="D7" s="188">
        <v>54.9</v>
      </c>
      <c r="E7" s="188">
        <f t="shared" si="1"/>
        <v>109.8</v>
      </c>
      <c r="F7" s="191"/>
      <c r="G7" s="191">
        <f t="shared" si="2"/>
        <v>0</v>
      </c>
      <c r="H7" s="194">
        <v>44.22</v>
      </c>
      <c r="I7" s="194">
        <f t="shared" si="3"/>
        <v>88.44</v>
      </c>
      <c r="J7" s="185">
        <v>1</v>
      </c>
      <c r="K7" s="185">
        <v>1</v>
      </c>
      <c r="L7" s="185"/>
      <c r="M7" s="185"/>
      <c r="N7" s="185"/>
      <c r="O7" s="185"/>
    </row>
    <row r="8" spans="1:16">
      <c r="A8" s="184" t="s">
        <v>466</v>
      </c>
      <c r="B8" s="186" t="s">
        <v>459</v>
      </c>
      <c r="C8" s="185">
        <f t="shared" si="0"/>
        <v>2</v>
      </c>
      <c r="D8" s="188">
        <v>349</v>
      </c>
      <c r="E8" s="188">
        <f t="shared" si="1"/>
        <v>698</v>
      </c>
      <c r="F8" s="191">
        <v>399.9</v>
      </c>
      <c r="G8" s="191">
        <f t="shared" si="2"/>
        <v>799.8</v>
      </c>
      <c r="H8" s="194">
        <v>549.85</v>
      </c>
      <c r="I8" s="194">
        <f t="shared" si="3"/>
        <v>1099.7</v>
      </c>
      <c r="J8" s="185">
        <v>1</v>
      </c>
      <c r="K8" s="185">
        <v>1</v>
      </c>
      <c r="L8" s="185"/>
      <c r="M8" s="185"/>
      <c r="N8" s="185"/>
      <c r="O8" s="185"/>
    </row>
    <row r="9" spans="1:16">
      <c r="A9" s="184" t="s">
        <v>465</v>
      </c>
      <c r="B9" s="186" t="s">
        <v>459</v>
      </c>
      <c r="C9" s="185">
        <f t="shared" si="0"/>
        <v>2</v>
      </c>
      <c r="D9" s="188">
        <v>49.9</v>
      </c>
      <c r="E9" s="188">
        <f t="shared" si="1"/>
        <v>99.8</v>
      </c>
      <c r="F9" s="191">
        <v>48.09</v>
      </c>
      <c r="G9" s="191">
        <f t="shared" si="2"/>
        <v>96.18</v>
      </c>
      <c r="H9" s="194">
        <v>36.479999999999997</v>
      </c>
      <c r="I9" s="194">
        <f t="shared" si="3"/>
        <v>72.959999999999994</v>
      </c>
      <c r="J9" s="185">
        <v>1</v>
      </c>
      <c r="K9" s="185">
        <v>1</v>
      </c>
      <c r="L9" s="185"/>
      <c r="M9" s="185"/>
      <c r="N9" s="185"/>
      <c r="O9" s="185"/>
    </row>
    <row r="10" spans="1:16">
      <c r="A10" s="184" t="s">
        <v>467</v>
      </c>
      <c r="B10" s="186" t="s">
        <v>459</v>
      </c>
      <c r="C10" s="185">
        <f t="shared" si="0"/>
        <v>2</v>
      </c>
      <c r="D10" s="188">
        <v>239</v>
      </c>
      <c r="E10" s="188">
        <f t="shared" si="1"/>
        <v>478</v>
      </c>
      <c r="F10" s="191">
        <v>210.08</v>
      </c>
      <c r="G10" s="191">
        <f t="shared" si="2"/>
        <v>420.16</v>
      </c>
      <c r="H10" s="194">
        <v>274.89999999999998</v>
      </c>
      <c r="I10" s="194">
        <f t="shared" si="3"/>
        <v>549.79999999999995</v>
      </c>
      <c r="J10" s="185">
        <v>1</v>
      </c>
      <c r="K10" s="185">
        <v>1</v>
      </c>
      <c r="L10" s="185"/>
      <c r="M10" s="185"/>
      <c r="N10" s="185"/>
      <c r="O10" s="185"/>
    </row>
    <row r="11" spans="1:16">
      <c r="A11" s="184" t="s">
        <v>475</v>
      </c>
      <c r="B11" s="186" t="s">
        <v>459</v>
      </c>
      <c r="C11" s="185">
        <f t="shared" si="0"/>
        <v>2</v>
      </c>
      <c r="D11" s="188">
        <v>104</v>
      </c>
      <c r="E11" s="188">
        <f t="shared" si="1"/>
        <v>208</v>
      </c>
      <c r="F11" s="191">
        <v>77.3</v>
      </c>
      <c r="G11" s="191">
        <f t="shared" si="2"/>
        <v>154.6</v>
      </c>
      <c r="H11" s="194">
        <v>87.82</v>
      </c>
      <c r="I11" s="194">
        <f t="shared" si="3"/>
        <v>175.64</v>
      </c>
      <c r="J11" s="185">
        <v>1</v>
      </c>
      <c r="K11" s="185">
        <v>1</v>
      </c>
      <c r="L11" s="185"/>
      <c r="M11" s="185"/>
      <c r="N11" s="185"/>
      <c r="O11" s="185"/>
    </row>
    <row r="12" spans="1:16">
      <c r="A12" s="184" t="s">
        <v>468</v>
      </c>
      <c r="B12" s="186" t="s">
        <v>459</v>
      </c>
      <c r="C12" s="185">
        <f t="shared" si="0"/>
        <v>2</v>
      </c>
      <c r="D12" s="188">
        <v>54.9</v>
      </c>
      <c r="E12" s="188">
        <f t="shared" si="1"/>
        <v>109.8</v>
      </c>
      <c r="F12" s="191">
        <v>55.77</v>
      </c>
      <c r="G12" s="191">
        <f t="shared" si="2"/>
        <v>111.54</v>
      </c>
      <c r="H12" s="194">
        <v>37.24</v>
      </c>
      <c r="I12" s="194">
        <f t="shared" si="3"/>
        <v>74.48</v>
      </c>
      <c r="J12" s="185">
        <v>1</v>
      </c>
      <c r="K12" s="185">
        <v>1</v>
      </c>
      <c r="L12" s="185"/>
      <c r="M12" s="185"/>
      <c r="N12" s="185"/>
      <c r="O12" s="185"/>
    </row>
    <row r="13" spans="1:16">
      <c r="A13" s="184" t="s">
        <v>469</v>
      </c>
      <c r="B13" s="186" t="s">
        <v>459</v>
      </c>
      <c r="C13" s="185">
        <f t="shared" si="0"/>
        <v>2</v>
      </c>
      <c r="D13" s="188">
        <v>69.900000000000006</v>
      </c>
      <c r="E13" s="188">
        <f t="shared" si="1"/>
        <v>139.80000000000001</v>
      </c>
      <c r="F13" s="191">
        <v>49.91</v>
      </c>
      <c r="G13" s="191">
        <f t="shared" si="2"/>
        <v>99.82</v>
      </c>
      <c r="H13" s="194"/>
      <c r="I13" s="194">
        <f t="shared" si="3"/>
        <v>0</v>
      </c>
      <c r="J13" s="185">
        <v>1</v>
      </c>
      <c r="K13" s="185">
        <v>1</v>
      </c>
      <c r="L13" s="185"/>
      <c r="M13" s="185"/>
      <c r="N13" s="185"/>
      <c r="O13" s="185"/>
    </row>
    <row r="14" spans="1:16">
      <c r="A14" s="184" t="s">
        <v>470</v>
      </c>
      <c r="B14" s="186" t="s">
        <v>459</v>
      </c>
      <c r="C14" s="185">
        <f t="shared" si="0"/>
        <v>2</v>
      </c>
      <c r="D14" s="188">
        <v>79.900000000000006</v>
      </c>
      <c r="E14" s="188">
        <f t="shared" si="1"/>
        <v>159.80000000000001</v>
      </c>
      <c r="F14" s="191">
        <v>71.069999999999993</v>
      </c>
      <c r="G14" s="191">
        <f t="shared" si="2"/>
        <v>142.13999999999999</v>
      </c>
      <c r="H14" s="194">
        <v>71.510000000000005</v>
      </c>
      <c r="I14" s="194">
        <f t="shared" si="3"/>
        <v>143.02000000000001</v>
      </c>
      <c r="J14" s="185">
        <v>1</v>
      </c>
      <c r="K14" s="185">
        <v>1</v>
      </c>
      <c r="L14" s="185"/>
      <c r="M14" s="185"/>
      <c r="N14" s="185"/>
      <c r="O14" s="185"/>
    </row>
    <row r="15" spans="1:16">
      <c r="A15" s="184" t="s">
        <v>471</v>
      </c>
      <c r="B15" s="186" t="s">
        <v>459</v>
      </c>
      <c r="C15" s="185">
        <f t="shared" si="0"/>
        <v>5</v>
      </c>
      <c r="D15" s="188">
        <v>59.9</v>
      </c>
      <c r="E15" s="188">
        <f t="shared" si="1"/>
        <v>299.5</v>
      </c>
      <c r="F15" s="191">
        <v>51.7</v>
      </c>
      <c r="G15" s="191">
        <f t="shared" si="2"/>
        <v>258.5</v>
      </c>
      <c r="H15" s="194">
        <v>63.35</v>
      </c>
      <c r="I15" s="194">
        <f t="shared" si="3"/>
        <v>316.75</v>
      </c>
      <c r="J15" s="185">
        <v>3</v>
      </c>
      <c r="K15" s="185">
        <v>2</v>
      </c>
      <c r="L15" s="185"/>
      <c r="M15" s="185"/>
      <c r="N15" s="185"/>
      <c r="O15" s="185"/>
    </row>
    <row r="16" spans="1:16">
      <c r="A16" s="184" t="s">
        <v>472</v>
      </c>
      <c r="B16" s="186" t="s">
        <v>459</v>
      </c>
      <c r="C16" s="185">
        <f t="shared" si="0"/>
        <v>8</v>
      </c>
      <c r="D16" s="188">
        <v>64.900000000000006</v>
      </c>
      <c r="E16" s="188">
        <f t="shared" si="1"/>
        <v>519.20000000000005</v>
      </c>
      <c r="F16" s="191">
        <v>47.9</v>
      </c>
      <c r="G16" s="191">
        <f t="shared" si="2"/>
        <v>383.2</v>
      </c>
      <c r="H16" s="194">
        <v>74.78</v>
      </c>
      <c r="I16" s="194">
        <f t="shared" si="3"/>
        <v>598.24</v>
      </c>
      <c r="J16" s="185">
        <v>3</v>
      </c>
      <c r="K16" s="185">
        <v>1</v>
      </c>
      <c r="L16" s="185">
        <v>1</v>
      </c>
      <c r="M16" s="185">
        <v>1</v>
      </c>
      <c r="N16" s="185">
        <v>1</v>
      </c>
      <c r="O16" s="185">
        <v>1</v>
      </c>
    </row>
    <row r="17" spans="1:15">
      <c r="A17" s="184" t="s">
        <v>473</v>
      </c>
      <c r="B17" s="186" t="s">
        <v>459</v>
      </c>
      <c r="C17" s="185">
        <f t="shared" si="0"/>
        <v>11</v>
      </c>
      <c r="D17" s="188">
        <v>5.9</v>
      </c>
      <c r="E17" s="188">
        <f t="shared" si="1"/>
        <v>64.900000000000006</v>
      </c>
      <c r="F17" s="191">
        <v>3.79</v>
      </c>
      <c r="G17" s="191">
        <f t="shared" si="2"/>
        <v>41.69</v>
      </c>
      <c r="H17" s="194">
        <v>4.0199999999999996</v>
      </c>
      <c r="I17" s="194">
        <f t="shared" si="3"/>
        <v>44.22</v>
      </c>
      <c r="J17" s="185">
        <v>5</v>
      </c>
      <c r="K17" s="185">
        <v>2</v>
      </c>
      <c r="L17" s="185">
        <v>1</v>
      </c>
      <c r="M17" s="185">
        <v>1</v>
      </c>
      <c r="N17" s="185">
        <v>1</v>
      </c>
      <c r="O17" s="185">
        <v>1</v>
      </c>
    </row>
    <row r="18" spans="1:15">
      <c r="A18" s="184" t="s">
        <v>474</v>
      </c>
      <c r="B18" s="186" t="s">
        <v>459</v>
      </c>
      <c r="C18" s="185">
        <f t="shared" si="0"/>
        <v>7</v>
      </c>
      <c r="D18" s="188">
        <v>244</v>
      </c>
      <c r="E18" s="188">
        <f t="shared" si="1"/>
        <v>1708</v>
      </c>
      <c r="F18" s="191">
        <v>195.31</v>
      </c>
      <c r="G18" s="191">
        <f t="shared" si="2"/>
        <v>1367.17</v>
      </c>
      <c r="H18" s="194">
        <v>209.47</v>
      </c>
      <c r="I18" s="194">
        <f t="shared" si="3"/>
        <v>1466.29</v>
      </c>
      <c r="J18" s="185">
        <v>2</v>
      </c>
      <c r="K18" s="185">
        <v>1</v>
      </c>
      <c r="L18" s="185">
        <v>1</v>
      </c>
      <c r="M18" s="185">
        <v>1</v>
      </c>
      <c r="N18" s="185">
        <v>1</v>
      </c>
      <c r="O18" s="185">
        <v>1</v>
      </c>
    </row>
    <row r="19" spans="1:15">
      <c r="D19" s="189" t="s">
        <v>57</v>
      </c>
      <c r="E19" s="189">
        <f>SUM(E5:E18)</f>
        <v>7342.6</v>
      </c>
      <c r="F19" s="192" t="s">
        <v>57</v>
      </c>
      <c r="G19" s="192">
        <f>SUM(G5:G18)</f>
        <v>6570.119999999999</v>
      </c>
      <c r="H19" s="195" t="s">
        <v>57</v>
      </c>
      <c r="I19" s="195">
        <f>SUM(I5:I18)</f>
        <v>7567.14</v>
      </c>
    </row>
  </sheetData>
  <mergeCells count="3">
    <mergeCell ref="D2:E2"/>
    <mergeCell ref="F2:G2"/>
    <mergeCell ref="H2:I2"/>
  </mergeCells>
  <pageMargins left="0.51181102362204722" right="0.51181102362204722" top="0.78740157480314965" bottom="0.78740157480314965" header="0.31496062992125984" footer="0.31496062992125984"/>
  <pageSetup paperSize="9" scale="8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0"/>
    <pageSetUpPr fitToPage="1"/>
  </sheetPr>
  <dimension ref="A1:Z1000"/>
  <sheetViews>
    <sheetView showGridLines="0" topLeftCell="A19" zoomScale="150" zoomScaleNormal="150" workbookViewId="0">
      <selection activeCell="A59" sqref="A59"/>
    </sheetView>
  </sheetViews>
  <sheetFormatPr defaultColWidth="15.140625" defaultRowHeight="15"/>
  <cols>
    <col min="1" max="11" width="8" style="24" customWidth="1"/>
    <col min="12" max="26" width="7" style="24" customWidth="1"/>
    <col min="27" max="16384" width="15.140625" style="24"/>
  </cols>
  <sheetData>
    <row r="1" spans="1:26" ht="12.75" customHeight="1">
      <c r="A1" s="20"/>
      <c r="B1" s="21"/>
      <c r="C1" s="21"/>
      <c r="D1" s="21"/>
      <c r="E1" s="21"/>
      <c r="F1" s="21"/>
      <c r="G1" s="21"/>
      <c r="H1" s="21"/>
      <c r="I1" s="21"/>
      <c r="J1" s="22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ht="12.75" customHeight="1">
      <c r="A2" s="25"/>
      <c r="B2" s="26"/>
      <c r="C2" s="26"/>
      <c r="D2" s="26"/>
      <c r="E2" s="26"/>
      <c r="F2" s="26"/>
      <c r="G2" s="26"/>
      <c r="H2" s="26"/>
      <c r="I2" s="26"/>
      <c r="J2" s="27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>
      <c r="A3" s="25"/>
      <c r="B3" s="26"/>
      <c r="C3" s="26"/>
      <c r="D3" s="26"/>
      <c r="E3" s="26"/>
      <c r="F3" s="26"/>
      <c r="G3" s="26"/>
      <c r="H3" s="26"/>
      <c r="I3" s="26"/>
      <c r="J3" s="27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2.75" customHeight="1">
      <c r="A4" s="25"/>
      <c r="B4" s="26"/>
      <c r="C4" s="26"/>
      <c r="D4" s="26"/>
      <c r="E4" s="26"/>
      <c r="F4" s="26"/>
      <c r="G4" s="26"/>
      <c r="H4" s="26"/>
      <c r="I4" s="26"/>
      <c r="J4" s="27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ht="12.75" customHeight="1">
      <c r="A5" s="25"/>
      <c r="B5" s="26"/>
      <c r="C5" s="26"/>
      <c r="D5" s="26"/>
      <c r="E5" s="26"/>
      <c r="F5" s="26"/>
      <c r="G5" s="26"/>
      <c r="H5" s="26"/>
      <c r="I5" s="26"/>
      <c r="J5" s="27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ht="12.75" customHeight="1">
      <c r="A6" s="25"/>
      <c r="B6" s="26"/>
      <c r="C6" s="26"/>
      <c r="D6" s="26"/>
      <c r="E6" s="26"/>
      <c r="F6" s="26"/>
      <c r="G6" s="26"/>
      <c r="H6" s="26"/>
      <c r="I6" s="26"/>
      <c r="J6" s="27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4.5" customHeight="1">
      <c r="A7" s="679"/>
      <c r="B7" s="672"/>
      <c r="C7" s="672"/>
      <c r="D7" s="672"/>
      <c r="E7" s="672"/>
      <c r="F7" s="672"/>
      <c r="G7" s="672"/>
      <c r="H7" s="672"/>
      <c r="I7" s="672"/>
      <c r="J7" s="67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2.75" customHeight="1">
      <c r="A8" s="25"/>
      <c r="B8" s="26"/>
      <c r="C8" s="26"/>
      <c r="D8" s="26"/>
      <c r="E8" s="26"/>
      <c r="F8" s="26"/>
      <c r="G8" s="26"/>
      <c r="H8" s="26"/>
      <c r="I8" s="26"/>
      <c r="J8" s="27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2.75" customHeight="1">
      <c r="A9" s="25"/>
      <c r="B9" s="26"/>
      <c r="C9" s="26"/>
      <c r="D9" s="26"/>
      <c r="E9" s="26"/>
      <c r="F9" s="26"/>
      <c r="G9" s="26"/>
      <c r="H9" s="26"/>
      <c r="I9" s="26"/>
      <c r="J9" s="27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2.75" customHeight="1">
      <c r="A10" s="25"/>
      <c r="B10" s="26"/>
      <c r="C10" s="26"/>
      <c r="D10" s="26"/>
      <c r="E10" s="26"/>
      <c r="F10" s="26"/>
      <c r="G10" s="26"/>
      <c r="H10" s="26"/>
      <c r="I10" s="26"/>
      <c r="J10" s="27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2.75" customHeight="1">
      <c r="A11" s="25"/>
      <c r="B11" s="26"/>
      <c r="C11" s="26"/>
      <c r="D11" s="26"/>
      <c r="E11" s="26"/>
      <c r="F11" s="26"/>
      <c r="G11" s="26"/>
      <c r="H11" s="26"/>
      <c r="I11" s="26"/>
      <c r="J11" s="27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2.75" customHeight="1">
      <c r="A12" s="25"/>
      <c r="B12" s="26"/>
      <c r="C12" s="26"/>
      <c r="D12" s="26"/>
      <c r="E12" s="26"/>
      <c r="F12" s="26"/>
      <c r="G12" s="26"/>
      <c r="H12" s="26"/>
      <c r="I12" s="26"/>
      <c r="J12" s="27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2.75" customHeight="1">
      <c r="A13" s="25"/>
      <c r="B13" s="26"/>
      <c r="C13" s="26"/>
      <c r="D13" s="26"/>
      <c r="E13" s="26"/>
      <c r="F13" s="26"/>
      <c r="G13" s="26"/>
      <c r="H13" s="26"/>
      <c r="I13" s="26"/>
      <c r="J13" s="27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2.75" customHeight="1">
      <c r="A14" s="25"/>
      <c r="B14" s="26"/>
      <c r="C14" s="26"/>
      <c r="D14" s="26"/>
      <c r="E14" s="26"/>
      <c r="F14" s="26"/>
      <c r="G14" s="26"/>
      <c r="H14" s="26"/>
      <c r="I14" s="26"/>
      <c r="J14" s="27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2.75" customHeight="1">
      <c r="A15" s="25"/>
      <c r="B15" s="26"/>
      <c r="C15" s="26"/>
      <c r="D15" s="26"/>
      <c r="E15" s="26"/>
      <c r="F15" s="26"/>
      <c r="G15" s="26"/>
      <c r="H15" s="26"/>
      <c r="I15" s="26"/>
      <c r="J15" s="27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2.75" customHeight="1">
      <c r="A16" s="25"/>
      <c r="B16" s="26"/>
      <c r="C16" s="26"/>
      <c r="D16" s="26"/>
      <c r="E16" s="26"/>
      <c r="F16" s="26"/>
      <c r="G16" s="26"/>
      <c r="H16" s="26"/>
      <c r="I16" s="26"/>
      <c r="J16" s="27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2.75" customHeight="1">
      <c r="A17" s="25"/>
      <c r="B17" s="26"/>
      <c r="C17" s="26"/>
      <c r="D17" s="26"/>
      <c r="E17" s="26"/>
      <c r="F17" s="26"/>
      <c r="G17" s="26"/>
      <c r="H17" s="26"/>
      <c r="I17" s="26"/>
      <c r="J17" s="27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2.75" customHeight="1">
      <c r="A18" s="25"/>
      <c r="B18" s="26"/>
      <c r="C18" s="26"/>
      <c r="D18" s="26"/>
      <c r="E18" s="26"/>
      <c r="F18" s="26"/>
      <c r="G18" s="26"/>
      <c r="H18" s="26"/>
      <c r="I18" s="26"/>
      <c r="J18" s="27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2.75" customHeight="1">
      <c r="A19" s="25"/>
      <c r="B19" s="26"/>
      <c r="C19" s="26"/>
      <c r="D19" s="26"/>
      <c r="E19" s="26"/>
      <c r="F19" s="26"/>
      <c r="G19" s="26"/>
      <c r="H19" s="26"/>
      <c r="I19" s="26"/>
      <c r="J19" s="27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2.75" customHeight="1">
      <c r="A20" s="25"/>
      <c r="B20" s="26"/>
      <c r="C20" s="26"/>
      <c r="D20" s="26"/>
      <c r="E20" s="26"/>
      <c r="F20" s="26"/>
      <c r="G20" s="26"/>
      <c r="H20" s="26"/>
      <c r="I20" s="26"/>
      <c r="J20" s="27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2.75" customHeight="1">
      <c r="A21" s="50"/>
      <c r="B21" s="51"/>
      <c r="C21" s="51"/>
      <c r="D21" s="51"/>
      <c r="E21" s="51"/>
      <c r="F21" s="51"/>
      <c r="G21" s="51"/>
      <c r="H21" s="51"/>
      <c r="I21" s="51"/>
      <c r="J21" s="52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2.75" customHeight="1">
      <c r="A22" s="53"/>
      <c r="B22" s="47"/>
      <c r="C22" s="47"/>
      <c r="D22" s="47"/>
      <c r="E22" s="47"/>
      <c r="F22" s="47"/>
      <c r="G22" s="47"/>
      <c r="H22" s="47"/>
      <c r="I22" s="47"/>
      <c r="J22" s="52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2.75" customHeight="1">
      <c r="A23" s="53"/>
      <c r="B23" s="47"/>
      <c r="C23" s="47"/>
      <c r="D23" s="47"/>
      <c r="E23" s="47"/>
      <c r="F23" s="47"/>
      <c r="G23" s="47"/>
      <c r="H23" s="47"/>
      <c r="I23" s="47"/>
      <c r="J23" s="52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2.75" customHeight="1">
      <c r="A24" s="53"/>
      <c r="B24" s="47"/>
      <c r="C24" s="47"/>
      <c r="D24" s="47"/>
      <c r="E24" s="47"/>
      <c r="F24" s="47"/>
      <c r="G24" s="47"/>
      <c r="H24" s="47"/>
      <c r="I24" s="47"/>
      <c r="J24" s="52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2.75" customHeight="1">
      <c r="A25" s="53"/>
      <c r="B25" s="51"/>
      <c r="C25" s="51"/>
      <c r="D25" s="51"/>
      <c r="E25" s="51"/>
      <c r="F25" s="51"/>
      <c r="G25" s="51"/>
      <c r="H25" s="51"/>
      <c r="I25" s="51"/>
      <c r="J25" s="52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2.75" customHeight="1">
      <c r="A26" s="671"/>
      <c r="B26" s="672"/>
      <c r="C26" s="672"/>
      <c r="D26" s="672"/>
      <c r="E26" s="672"/>
      <c r="F26" s="672"/>
      <c r="G26" s="672"/>
      <c r="H26" s="672"/>
      <c r="I26" s="672"/>
      <c r="J26" s="67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2.75" customHeight="1">
      <c r="A27" s="674"/>
      <c r="B27" s="672"/>
      <c r="C27" s="672"/>
      <c r="D27" s="672"/>
      <c r="E27" s="672"/>
      <c r="F27" s="672"/>
      <c r="G27" s="672"/>
      <c r="H27" s="672"/>
      <c r="I27" s="672"/>
      <c r="J27" s="67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2.75" customHeight="1">
      <c r="A28" s="25"/>
      <c r="B28" s="26"/>
      <c r="C28" s="26"/>
      <c r="D28" s="26"/>
      <c r="E28" s="26"/>
      <c r="F28" s="26"/>
      <c r="G28" s="26"/>
      <c r="H28" s="26"/>
      <c r="I28" s="26"/>
      <c r="J28" s="27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2.75" customHeight="1">
      <c r="A29" s="25"/>
      <c r="B29" s="26"/>
      <c r="C29" s="26"/>
      <c r="D29" s="26"/>
      <c r="E29" s="26"/>
      <c r="F29" s="26"/>
      <c r="G29" s="26"/>
      <c r="H29" s="26"/>
      <c r="I29" s="26"/>
      <c r="J29" s="27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2.75" customHeight="1">
      <c r="A30" s="25"/>
      <c r="B30" s="26"/>
      <c r="C30" s="26"/>
      <c r="D30" s="26"/>
      <c r="E30" s="26"/>
      <c r="F30" s="26"/>
      <c r="G30" s="26"/>
      <c r="H30" s="26"/>
      <c r="I30" s="26"/>
      <c r="J30" s="27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2.75" customHeight="1">
      <c r="A31" s="25"/>
      <c r="B31" s="26"/>
      <c r="C31" s="26"/>
      <c r="D31" s="26"/>
      <c r="E31" s="26"/>
      <c r="F31" s="26"/>
      <c r="G31" s="26"/>
      <c r="H31" s="26"/>
      <c r="I31" s="26"/>
      <c r="J31" s="27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2.75" customHeight="1">
      <c r="A32" s="25"/>
      <c r="B32" s="26"/>
      <c r="C32" s="26"/>
      <c r="D32" s="26"/>
      <c r="E32" s="26"/>
      <c r="F32" s="26"/>
      <c r="G32" s="26"/>
      <c r="H32" s="26"/>
      <c r="I32" s="26"/>
      <c r="J32" s="27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2.75" customHeight="1">
      <c r="A33" s="25"/>
      <c r="B33" s="26"/>
      <c r="C33" s="26"/>
      <c r="D33" s="26"/>
      <c r="E33" s="26"/>
      <c r="F33" s="26"/>
      <c r="G33" s="26"/>
      <c r="H33" s="26"/>
      <c r="I33" s="26"/>
      <c r="J33" s="27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2.75" customHeight="1">
      <c r="A34" s="25"/>
      <c r="B34" s="26"/>
      <c r="C34" s="26"/>
      <c r="D34" s="26"/>
      <c r="E34" s="26"/>
      <c r="F34" s="26"/>
      <c r="G34" s="26"/>
      <c r="H34" s="26"/>
      <c r="I34" s="26"/>
      <c r="J34" s="27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2.75" customHeight="1">
      <c r="A35" s="25"/>
      <c r="B35" s="26"/>
      <c r="C35" s="26"/>
      <c r="D35" s="26"/>
      <c r="E35" s="26"/>
      <c r="F35" s="26"/>
      <c r="G35" s="26"/>
      <c r="H35" s="26"/>
      <c r="I35" s="26"/>
      <c r="J35" s="27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2.75" customHeight="1">
      <c r="A36" s="675" t="s">
        <v>143</v>
      </c>
      <c r="B36" s="676"/>
      <c r="C36" s="676"/>
      <c r="D36" s="676"/>
      <c r="E36" s="676"/>
      <c r="F36" s="676"/>
      <c r="G36" s="676"/>
      <c r="H36" s="676"/>
      <c r="I36" s="676"/>
      <c r="J36" s="677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2.75" customHeight="1">
      <c r="A37" s="678"/>
      <c r="B37" s="676"/>
      <c r="C37" s="676"/>
      <c r="D37" s="676"/>
      <c r="E37" s="676"/>
      <c r="F37" s="676"/>
      <c r="G37" s="676"/>
      <c r="H37" s="676"/>
      <c r="I37" s="676"/>
      <c r="J37" s="677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2.75" customHeight="1">
      <c r="A38" s="25"/>
      <c r="B38" s="26"/>
      <c r="C38" s="26"/>
      <c r="D38" s="26"/>
      <c r="E38" s="26"/>
      <c r="F38" s="26"/>
      <c r="G38" s="26"/>
      <c r="H38" s="26"/>
      <c r="I38" s="26"/>
      <c r="J38" s="27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2.75" customHeight="1">
      <c r="A39" s="25"/>
      <c r="B39" s="26"/>
      <c r="C39" s="26"/>
      <c r="D39" s="26"/>
      <c r="E39" s="26"/>
      <c r="F39" s="26"/>
      <c r="G39" s="26"/>
      <c r="H39" s="26"/>
      <c r="I39" s="26"/>
      <c r="J39" s="27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2.75" customHeight="1">
      <c r="A40" s="25"/>
      <c r="B40" s="26"/>
      <c r="C40" s="26"/>
      <c r="D40" s="26"/>
      <c r="E40" s="26"/>
      <c r="F40" s="26"/>
      <c r="G40" s="26"/>
      <c r="H40" s="26"/>
      <c r="I40" s="26"/>
      <c r="J40" s="27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2.75" customHeight="1">
      <c r="A41" s="25"/>
      <c r="B41" s="26"/>
      <c r="C41" s="26"/>
      <c r="D41" s="26"/>
      <c r="E41" s="26"/>
      <c r="F41" s="26"/>
      <c r="G41" s="26"/>
      <c r="H41" s="26"/>
      <c r="I41" s="26"/>
      <c r="J41" s="27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2.75" customHeight="1">
      <c r="A42" s="25"/>
      <c r="B42" s="26"/>
      <c r="C42" s="26"/>
      <c r="D42" s="26"/>
      <c r="E42" s="26"/>
      <c r="F42" s="26"/>
      <c r="G42" s="26"/>
      <c r="H42" s="26"/>
      <c r="I42" s="26"/>
      <c r="J42" s="27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2.75" customHeight="1">
      <c r="A43" s="25"/>
      <c r="B43" s="26"/>
      <c r="C43" s="26"/>
      <c r="D43" s="26"/>
      <c r="E43" s="26"/>
      <c r="F43" s="26"/>
      <c r="G43" s="26"/>
      <c r="H43" s="26"/>
      <c r="I43" s="26"/>
      <c r="J43" s="27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2.75" customHeight="1">
      <c r="A44" s="25"/>
      <c r="B44" s="26"/>
      <c r="C44" s="26"/>
      <c r="D44" s="26"/>
      <c r="E44" s="26"/>
      <c r="F44" s="26"/>
      <c r="G44" s="26"/>
      <c r="H44" s="26"/>
      <c r="I44" s="26"/>
      <c r="J44" s="27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2.75" customHeight="1">
      <c r="A45" s="25"/>
      <c r="B45" s="26"/>
      <c r="C45" s="26"/>
      <c r="D45" s="26"/>
      <c r="E45" s="26"/>
      <c r="F45" s="26"/>
      <c r="G45" s="26"/>
      <c r="H45" s="26"/>
      <c r="I45" s="26"/>
      <c r="J45" s="27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2.75" customHeight="1">
      <c r="A46" s="25"/>
      <c r="B46" s="26"/>
      <c r="C46" s="26"/>
      <c r="D46" s="26"/>
      <c r="E46" s="26"/>
      <c r="F46" s="26"/>
      <c r="G46" s="26"/>
      <c r="H46" s="26"/>
      <c r="I46" s="26"/>
      <c r="J46" s="27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2.75" customHeight="1">
      <c r="A47" s="25"/>
      <c r="B47" s="26"/>
      <c r="C47" s="26"/>
      <c r="D47" s="26"/>
      <c r="E47" s="26"/>
      <c r="F47" s="26"/>
      <c r="G47" s="26"/>
      <c r="H47" s="26"/>
      <c r="I47" s="26"/>
      <c r="J47" s="27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2.75" customHeight="1">
      <c r="A48" s="25"/>
      <c r="B48" s="26"/>
      <c r="C48" s="26"/>
      <c r="D48" s="26"/>
      <c r="E48" s="26"/>
      <c r="F48" s="26"/>
      <c r="G48" s="26"/>
      <c r="H48" s="26"/>
      <c r="I48" s="26"/>
      <c r="J48" s="27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2.75" customHeight="1">
      <c r="A49" s="25"/>
      <c r="B49" s="26"/>
      <c r="C49" s="26"/>
      <c r="D49" s="26"/>
      <c r="E49" s="26"/>
      <c r="F49" s="26"/>
      <c r="G49" s="26"/>
      <c r="H49" s="26"/>
      <c r="I49" s="26"/>
      <c r="J49" s="27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2.75" customHeight="1">
      <c r="A50" s="25"/>
      <c r="B50" s="26"/>
      <c r="C50" s="26"/>
      <c r="D50" s="26"/>
      <c r="E50" s="26"/>
      <c r="F50" s="26"/>
      <c r="G50" s="26"/>
      <c r="H50" s="26"/>
      <c r="I50" s="26"/>
      <c r="J50" s="27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2.75" customHeight="1">
      <c r="A51" s="25"/>
      <c r="B51" s="26"/>
      <c r="C51" s="26"/>
      <c r="D51" s="26"/>
      <c r="E51" s="26"/>
      <c r="F51" s="26"/>
      <c r="G51" s="26"/>
      <c r="H51" s="26"/>
      <c r="I51" s="26"/>
      <c r="J51" s="27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2.75" customHeight="1">
      <c r="A52" s="25"/>
      <c r="B52" s="26"/>
      <c r="C52" s="26"/>
      <c r="D52" s="26"/>
      <c r="E52" s="26"/>
      <c r="F52" s="26"/>
      <c r="G52" s="26"/>
      <c r="H52" s="26"/>
      <c r="I52" s="26"/>
      <c r="J52" s="27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2.75" customHeight="1">
      <c r="A53" s="25"/>
      <c r="B53" s="26"/>
      <c r="C53" s="26"/>
      <c r="D53" s="26"/>
      <c r="E53" s="26"/>
      <c r="F53" s="26"/>
      <c r="G53" s="26"/>
      <c r="H53" s="26"/>
      <c r="I53" s="26"/>
      <c r="J53" s="27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2.75" customHeight="1">
      <c r="A54" s="25"/>
      <c r="B54" s="26"/>
      <c r="C54" s="26"/>
      <c r="D54" s="26"/>
      <c r="E54" s="26"/>
      <c r="F54" s="26"/>
      <c r="G54" s="26"/>
      <c r="H54" s="26"/>
      <c r="I54" s="26"/>
      <c r="J54" s="27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2.75" customHeight="1">
      <c r="A55" s="25"/>
      <c r="B55" s="26"/>
      <c r="C55" s="26"/>
      <c r="D55" s="26"/>
      <c r="E55" s="26"/>
      <c r="F55" s="26"/>
      <c r="G55" s="26"/>
      <c r="H55" s="26"/>
      <c r="I55" s="26"/>
      <c r="J55" s="27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2.75" customHeight="1">
      <c r="A56" s="25"/>
      <c r="B56" s="26"/>
      <c r="C56" s="26"/>
      <c r="D56" s="26"/>
      <c r="E56" s="26"/>
      <c r="F56" s="26"/>
      <c r="G56" s="26"/>
      <c r="H56" s="26"/>
      <c r="I56" s="26"/>
      <c r="J56" s="27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2.75" customHeight="1">
      <c r="A57" s="675" t="s">
        <v>651</v>
      </c>
      <c r="B57" s="676"/>
      <c r="C57" s="676"/>
      <c r="D57" s="676"/>
      <c r="E57" s="676"/>
      <c r="F57" s="676"/>
      <c r="G57" s="676"/>
      <c r="H57" s="676"/>
      <c r="I57" s="676"/>
      <c r="J57" s="677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2.75" customHeight="1">
      <c r="A58" s="678"/>
      <c r="B58" s="676"/>
      <c r="C58" s="676"/>
      <c r="D58" s="676"/>
      <c r="E58" s="676"/>
      <c r="F58" s="676"/>
      <c r="G58" s="676"/>
      <c r="H58" s="676"/>
      <c r="I58" s="676"/>
      <c r="J58" s="677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3.5" customHeight="1" thickBot="1">
      <c r="A59" s="28"/>
      <c r="B59" s="29"/>
      <c r="C59" s="29"/>
      <c r="D59" s="29"/>
      <c r="E59" s="29"/>
      <c r="F59" s="29"/>
      <c r="G59" s="29"/>
      <c r="H59" s="29"/>
      <c r="I59" s="29"/>
      <c r="J59" s="30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2.7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2.7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2.7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2.7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2.7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2.7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2.7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2.7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2.7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2.7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2.7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2.7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2.7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2.7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2.7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2.7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2.7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2.7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2.7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2.7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2.7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2.7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2.7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2.7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2.7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2.7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2.7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2.7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2.7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2.7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2.7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2.7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2.7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2.7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2.7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2.7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2.7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2.7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2.7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2.7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2.7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2.7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2.7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2.7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2.7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2.7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2.7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2.7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2.7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2.7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2.7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2.7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2.7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2.7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2.7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2.7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2.7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2.7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2.7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2.7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2.7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2.7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2.7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2.7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2.7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2.7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2.7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2.7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2.7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2.7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2.7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2.7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2.7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2.7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2.7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2.7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2.7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2.7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2.7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2.7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 ht="12.7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 ht="12.7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 ht="12.7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2.7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2.7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2.7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2.7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2.7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2.7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2.7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2.7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2.7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2.7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2.7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2.7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2.7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2.7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2.7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2.7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2.7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2.7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2.7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2.7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2.7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2.7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2.7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2.7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2.7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2.7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2.7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2.7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2.7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2.7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2.7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2.7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2.7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2.7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2.7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2.7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2.7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2.7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2.7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2.7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2.7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2.7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2.7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2.7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2.7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2.7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2.7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2.7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2.7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2.7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2.7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2.7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2.7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2.7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2.7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2.7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2.7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2.7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2.7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2.7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2.7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2.7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2.7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2.7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2.7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2.7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2.7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2.7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2.7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2.7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2.7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2.7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2.7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2.7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2.7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2.7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2.7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2.7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2.7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2.7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2.7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2.7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2.7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2.7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2.7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2.7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2.7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2.7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2.7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2.7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2.7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2.7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2.7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2.7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2.7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2.7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2.7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2.7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2.7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2.7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2.7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2.7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2.7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2.7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2.7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2.7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2.7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2.7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2.7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2.7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2.7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2.7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2.7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2.7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2.7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2.7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2.7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2.7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2.7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2.7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2.7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2.7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2.7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2.7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2.7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2.7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2.7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2.7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2.7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2.7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2.7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2.7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2.7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2.7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2.7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2.7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2.7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2.7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2.7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2.7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2.7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2.7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2.7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2.7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2.7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2.7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2.7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2.7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2.7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2.7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2.7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2.7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2.7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2.7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2.7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2.7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2.7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2.7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2.7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2.7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2.7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2.7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2.7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2.7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2.7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2.7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2.7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2.7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2.7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2.7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2.7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2.7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2.7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2.7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2.7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2.7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2.7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2.7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2.7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2.7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2.7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2.7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2.7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2.7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2.7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2.7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2.7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2.7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2.7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2.7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2.7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2.7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2.7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2.7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2.7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2.7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2.7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2.7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2.7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2.7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2.7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2.7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2.7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2.7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2.7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2.7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2.7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2.7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2.7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2.7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2.7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2.7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2.7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2.7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2.7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2.7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2.7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2.7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2.7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2.7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2.7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2.7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2.7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2.7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2.7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2.7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2.7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2.7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2.7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2.7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2.7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2.7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2.7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2.7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2.7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2.7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2.7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2.7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2.7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2.7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2.7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2.7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2.7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2.7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2.7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2.7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2.7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2.7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2.7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2.7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2.7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2.7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2.7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2.7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2.7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2.7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2.7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2.7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2.7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2.7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2.7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2.7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2.7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2.7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2.7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2.7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2.7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2.7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2.7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2.7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2.7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2.7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2.7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2.7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2.7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2.7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2.7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2.7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2.7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2.7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2.7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2.7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2.7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2.7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2.7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2.7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2.7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2.7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2.7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2.7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2.7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2.7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2.7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2.7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2.7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2.7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2.7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2.7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2.7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2.7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2.7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2.7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2.7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2.7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2.7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2.7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2.7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2.7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2.7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2.7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2.7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2.7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2.7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2.7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2.7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2.7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2.7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2.7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2.7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2.7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2.7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2.7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2.7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2.7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2.7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2.7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2.7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2.7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2.7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2.7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2.7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2.7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2.7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2.7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2.7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2.7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2.7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2.7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2.7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2.7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2.7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2.7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2.7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2.7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2.7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2.7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2.7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2.7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2.7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2.7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2.7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2.7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2.7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2.7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2.7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2.7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2.7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2.7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2.7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2.7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2.7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2.7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2.7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2.7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2.7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2.7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2.7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2.7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2.7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2.7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2.7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2.7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2.7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2.7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2.7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2.7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2.7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2.7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2.7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2.7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2.7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2.7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2.7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2.7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2.7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2.7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2.7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2.7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2.7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2.7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2.7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2.7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2.7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2.7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2.7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2.7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2.7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2.7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2.7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2.7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2.7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2.7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2.7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2.7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2.7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2.7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2.7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2.7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2.7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2.7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2.7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2.7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2.7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2.7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2.7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2.7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2.7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2.7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2.7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2.7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2.7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2.7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2.7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2.7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2.7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2.7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2.7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2.7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2.7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2.7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2.7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2.7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2.7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2.7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2.7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2.7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2.7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2.7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2.7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2.7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2.7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2.7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2.7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2.7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2.7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2.7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2.7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2.7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2.7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2.7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2.7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2.7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2.7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2.7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2.7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2.7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2.7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2.7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2.7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2.7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2.7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2.7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2.75" customHeight="1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2.75" customHeight="1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2.75" customHeight="1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2.75" customHeight="1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2.75" customHeight="1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2.75" customHeight="1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2.75" customHeight="1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2.75" customHeight="1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2.75" customHeight="1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2.75" customHeight="1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2.75" customHeight="1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2.75" customHeight="1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2.75" customHeight="1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2.75" customHeight="1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2.75" customHeight="1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2.75" customHeight="1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2.75" customHeight="1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2.75" customHeight="1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2.75" customHeight="1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2.75" customHeight="1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2.75" customHeight="1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2.75" customHeight="1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2.75" customHeight="1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2.75" customHeight="1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2.75" customHeight="1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2.75" customHeight="1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2.75" customHeight="1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2.75" customHeight="1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2.75" customHeight="1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2.75" customHeight="1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2.75" customHeight="1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2.75" customHeight="1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2.75" customHeight="1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2.75" customHeight="1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2.75" customHeight="1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2.75" customHeight="1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2.75" customHeight="1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2.75" customHeight="1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2.75" customHeight="1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2.75" customHeight="1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2.75" customHeight="1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2.75" customHeight="1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2.75" customHeight="1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2.75" customHeight="1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2.75" customHeight="1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2.75" customHeight="1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2.75" customHeight="1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2.75" customHeight="1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2.75" customHeight="1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2.75" customHeight="1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2.75" customHeight="1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2.75" customHeight="1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2.75" customHeight="1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2.75" customHeight="1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2.75" customHeight="1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2.75" customHeight="1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2.75" customHeight="1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2.75" customHeight="1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2.75" customHeight="1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2.75" customHeight="1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2.75" customHeight="1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2.75" customHeight="1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2.75" customHeight="1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2.75" customHeight="1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2.75" customHeight="1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2.75" customHeight="1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2.75" customHeight="1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2.75" customHeight="1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2.75" customHeight="1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2.75" customHeight="1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2.75" customHeight="1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2.75" customHeight="1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2.75" customHeight="1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2.75" customHeight="1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2.75" customHeight="1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2.75" customHeight="1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2.75" customHeight="1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2.75" customHeight="1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2.75" customHeight="1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2.75" customHeight="1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2.75" customHeight="1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2.75" customHeight="1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2.75" customHeight="1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2.75" customHeight="1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2.75" customHeight="1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2.75" customHeight="1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2.75" customHeight="1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2.75" customHeight="1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2.75" customHeight="1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2.75" customHeight="1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2.75" customHeight="1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2.75" customHeight="1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2.75" customHeight="1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2.75" customHeight="1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2.75" customHeight="1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2.75" customHeight="1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2.75" customHeight="1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2.75" customHeight="1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2.75" customHeight="1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2.75" customHeight="1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2.75" customHeight="1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2.75" customHeight="1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2.75" customHeight="1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2.75" customHeight="1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2.75" customHeight="1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2.75" customHeight="1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2.75" customHeight="1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2.75" customHeight="1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2.75" customHeight="1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2.75" customHeight="1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2.75" customHeight="1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2.75" customHeight="1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2.75" customHeight="1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2.75" customHeight="1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2.75" customHeight="1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2.75" customHeight="1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2.75" customHeight="1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2.75" customHeight="1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2.75" customHeight="1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2.75" customHeight="1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2.75" customHeight="1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2.75" customHeight="1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2.75" customHeight="1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2.75" customHeight="1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2.75" customHeight="1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2.75" customHeight="1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2.75" customHeight="1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2.75" customHeight="1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2.75" customHeight="1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2.75" customHeight="1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2.75" customHeight="1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2.75" customHeight="1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2.75" customHeight="1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2.75" customHeight="1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2.75" customHeight="1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2.75" customHeight="1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2.75" customHeight="1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2.75" customHeight="1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2.75" customHeight="1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2.75" customHeight="1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2.75" customHeight="1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2.75" customHeight="1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2.75" customHeight="1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2.75" customHeight="1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2.75" customHeight="1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2.75" customHeight="1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2.75" customHeight="1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2.75" customHeight="1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2.75" customHeight="1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2.75" customHeight="1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2.75" customHeight="1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2.75" customHeight="1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2.75" customHeight="1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2.75" customHeight="1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2.75" customHeight="1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2.75" customHeight="1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2.75" customHeight="1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2.75" customHeight="1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2.75" customHeight="1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2.75" customHeight="1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2.75" customHeight="1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2.75" customHeight="1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2.75" customHeight="1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2.75" customHeight="1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2.75" customHeight="1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2.75" customHeight="1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2.75" customHeight="1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2.75" customHeight="1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2.75" customHeight="1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2.75" customHeight="1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2.75" customHeight="1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2.75" customHeight="1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2.75" customHeight="1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2.75" customHeight="1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2.75" customHeight="1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2.75" customHeight="1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2.75" customHeight="1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2.75" customHeight="1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2.75" customHeight="1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2.75" customHeight="1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2.75" customHeight="1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2.75" customHeight="1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2.75" customHeight="1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2.75" customHeight="1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2.75" customHeight="1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2.75" customHeight="1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2.75" customHeight="1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2.75" customHeight="1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2.75" customHeight="1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2.75" customHeight="1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2.75" customHeight="1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2.75" customHeight="1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2.75" customHeight="1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2.75" customHeight="1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2.75" customHeight="1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2.75" customHeight="1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2.75" customHeight="1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2.75" customHeight="1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2.75" customHeight="1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2.75" customHeight="1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2.75" customHeight="1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2.75" customHeight="1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2.75" customHeight="1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2.75" customHeight="1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2.75" customHeight="1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2.75" customHeight="1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2.75" customHeight="1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2.75" customHeight="1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2.75" customHeight="1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2.75" customHeight="1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2.75" customHeight="1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2.75" customHeight="1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2.75" customHeight="1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2.75" customHeight="1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2.75" customHeight="1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2.75" customHeight="1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2.75" customHeight="1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2.75" customHeight="1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2.75" customHeight="1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2.75" customHeight="1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2.75" customHeight="1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2.75" customHeight="1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2.75" customHeight="1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2.75" customHeight="1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2.75" customHeight="1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2.75" customHeight="1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2.75" customHeight="1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2.75" customHeight="1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2.75" customHeight="1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2.75" customHeight="1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2.75" customHeight="1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2.75" customHeight="1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2.75" customHeight="1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2.75" customHeight="1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2.75" customHeight="1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2.75" customHeight="1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2.75" customHeight="1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2.75" customHeight="1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2.75" customHeight="1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2.75" customHeight="1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2.75" customHeight="1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2.75" customHeight="1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2.75" customHeight="1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2.75" customHeight="1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2.75" customHeight="1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2.75" customHeight="1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2.75" customHeight="1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2.75" customHeight="1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2.75" customHeight="1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2.75" customHeight="1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2.75" customHeight="1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2.75" customHeight="1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2.75" customHeight="1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2.75" customHeight="1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2.75" customHeight="1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2.75" customHeight="1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2.75" customHeight="1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2.75" customHeight="1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2.75" customHeight="1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2.75" customHeight="1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2.75" customHeight="1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2.75" customHeight="1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2.75" customHeight="1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2.75" customHeight="1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2.75" customHeight="1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2.75" customHeight="1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2.75" customHeight="1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2.75" customHeight="1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2.75" customHeight="1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2.75" customHeight="1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2.75" customHeight="1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2.75" customHeight="1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2.75" customHeight="1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2.75" customHeight="1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2.75" customHeight="1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2.75" customHeight="1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2.75" customHeight="1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2.75" customHeight="1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2.75" customHeight="1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2.75" customHeight="1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2.75" customHeight="1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2.75" customHeight="1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2.75" customHeight="1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2.75" customHeight="1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2.75" customHeight="1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2.75" customHeight="1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2.75" customHeight="1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2.75" customHeight="1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2.75" customHeight="1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2.75" customHeight="1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2.75" customHeight="1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2.75" customHeight="1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2.75" customHeight="1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2.75" customHeight="1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2.75" customHeight="1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2.75" customHeight="1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2.75" customHeight="1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2.75" customHeight="1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2.75" customHeight="1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2.75" customHeight="1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2.75" customHeight="1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2.75" customHeight="1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2.75" customHeight="1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2.75" customHeight="1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2.75" customHeight="1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2.75" customHeight="1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2.75" customHeight="1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2.75" customHeight="1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2.75" customHeight="1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2.75" customHeight="1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2.75" customHeight="1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2.75" customHeight="1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2.75" customHeight="1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2.75" customHeight="1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2.75" customHeight="1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2.75" customHeight="1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2.75" customHeight="1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2.75" customHeight="1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2.75" customHeight="1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2.75" customHeight="1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2.75" customHeight="1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2.75" customHeight="1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2.75" customHeight="1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2.75" customHeight="1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2.75" customHeight="1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2.75" customHeight="1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2.75" customHeight="1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2.75" customHeight="1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2.75" customHeight="1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2.75" customHeight="1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2.75" customHeight="1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2.75" customHeight="1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2.75" customHeight="1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2.75" customHeight="1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2.75" customHeight="1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2.75" customHeight="1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2.75" customHeight="1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2.75" customHeight="1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2.75" customHeight="1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2.75" customHeight="1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2.75" customHeight="1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2.75" customHeight="1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2.75" customHeight="1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2.75" customHeight="1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2.75" customHeight="1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2.75" customHeight="1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2.75" customHeight="1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2.75" customHeight="1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2.75" customHeight="1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2.75" customHeight="1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2.75" customHeight="1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2.75" customHeight="1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2.75" customHeight="1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2.75" customHeight="1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2.75" customHeight="1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2.75" customHeight="1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2.75" customHeight="1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2.75" customHeight="1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2.75" customHeight="1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2.75" customHeight="1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2.75" customHeight="1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2.75" customHeight="1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2.75" customHeight="1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2.75" customHeight="1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2.75" customHeight="1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2.75" customHeight="1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2.75" customHeight="1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2.75" customHeight="1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2.75" customHeight="1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2.75" customHeight="1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2.75" customHeight="1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2.75" customHeight="1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2.75" customHeight="1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2.75" customHeight="1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2.75" customHeight="1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2.75" customHeight="1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2.75" customHeight="1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2.75" customHeight="1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2.75" customHeight="1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2.75" customHeight="1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2.75" customHeight="1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2.75" customHeight="1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2.75" customHeight="1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2.75" customHeight="1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2.75" customHeight="1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2.75" customHeight="1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2.75" customHeight="1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2.75" customHeight="1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2.75" customHeight="1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2.75" customHeight="1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2.75" customHeight="1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2.75" customHeight="1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2.75" customHeight="1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2.75" customHeight="1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2.75" customHeight="1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2.75" customHeight="1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</sheetData>
  <mergeCells count="4">
    <mergeCell ref="A26:J27"/>
    <mergeCell ref="A36:J37"/>
    <mergeCell ref="A7:J7"/>
    <mergeCell ref="A57:J58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Z1000"/>
  <sheetViews>
    <sheetView showGridLines="0" topLeftCell="A25" workbookViewId="0">
      <selection activeCell="I46" sqref="I46"/>
    </sheetView>
  </sheetViews>
  <sheetFormatPr defaultColWidth="15.140625" defaultRowHeight="15"/>
  <cols>
    <col min="1" max="11" width="8" style="24" customWidth="1"/>
    <col min="12" max="26" width="7" style="24" customWidth="1"/>
    <col min="27" max="16384" width="15.140625" style="24"/>
  </cols>
  <sheetData>
    <row r="1" spans="1:26" ht="12.75" customHeight="1">
      <c r="A1" s="20"/>
      <c r="B1" s="21"/>
      <c r="C1" s="21"/>
      <c r="D1" s="21"/>
      <c r="E1" s="21"/>
      <c r="F1" s="21"/>
      <c r="G1" s="21"/>
      <c r="H1" s="21"/>
      <c r="I1" s="21"/>
      <c r="J1" s="22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ht="12.75" customHeight="1">
      <c r="A2" s="25"/>
      <c r="B2" s="26"/>
      <c r="C2" s="26"/>
      <c r="D2" s="26"/>
      <c r="E2" s="26"/>
      <c r="F2" s="26"/>
      <c r="G2" s="26"/>
      <c r="H2" s="26"/>
      <c r="I2" s="26"/>
      <c r="J2" s="27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>
      <c r="A3" s="25"/>
      <c r="B3" s="26"/>
      <c r="C3" s="26"/>
      <c r="D3" s="26"/>
      <c r="E3" s="26"/>
      <c r="F3" s="26"/>
      <c r="G3" s="26"/>
      <c r="H3" s="26"/>
      <c r="I3" s="26"/>
      <c r="J3" s="27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2.75" customHeight="1">
      <c r="A4" s="25"/>
      <c r="B4" s="26"/>
      <c r="C4" s="26"/>
      <c r="D4" s="26"/>
      <c r="E4" s="26"/>
      <c r="F4" s="26"/>
      <c r="G4" s="26"/>
      <c r="H4" s="26"/>
      <c r="I4" s="26"/>
      <c r="J4" s="27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ht="12.75" customHeight="1">
      <c r="A5" s="25"/>
      <c r="B5" s="26"/>
      <c r="C5" s="26"/>
      <c r="D5" s="26"/>
      <c r="E5" s="26"/>
      <c r="F5" s="26"/>
      <c r="G5" s="26"/>
      <c r="H5" s="26"/>
      <c r="I5" s="26"/>
      <c r="J5" s="27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ht="12.75" customHeight="1">
      <c r="A6" s="25"/>
      <c r="B6" s="26"/>
      <c r="C6" s="26"/>
      <c r="D6" s="26"/>
      <c r="E6" s="26"/>
      <c r="F6" s="26"/>
      <c r="G6" s="26"/>
      <c r="H6" s="26"/>
      <c r="I6" s="26"/>
      <c r="J6" s="27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4.5" customHeight="1">
      <c r="A7" s="679"/>
      <c r="B7" s="672"/>
      <c r="C7" s="672"/>
      <c r="D7" s="672"/>
      <c r="E7" s="672"/>
      <c r="F7" s="672"/>
      <c r="G7" s="672"/>
      <c r="H7" s="672"/>
      <c r="I7" s="672"/>
      <c r="J7" s="67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2.75" customHeight="1">
      <c r="A8" s="25"/>
      <c r="B8" s="26"/>
      <c r="C8" s="26"/>
      <c r="D8" s="26"/>
      <c r="E8" s="26"/>
      <c r="F8" s="26"/>
      <c r="G8" s="26"/>
      <c r="H8" s="26"/>
      <c r="I8" s="26"/>
      <c r="J8" s="27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2.75" customHeight="1">
      <c r="A9" s="25"/>
      <c r="B9" s="26"/>
      <c r="C9" s="26"/>
      <c r="D9" s="26"/>
      <c r="E9" s="26"/>
      <c r="F9" s="26"/>
      <c r="G9" s="26"/>
      <c r="H9" s="26"/>
      <c r="I9" s="26"/>
      <c r="J9" s="27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2.75" customHeight="1">
      <c r="A10" s="25"/>
      <c r="B10" s="26"/>
      <c r="C10" s="26"/>
      <c r="D10" s="26"/>
      <c r="E10" s="26"/>
      <c r="F10" s="26"/>
      <c r="G10" s="26"/>
      <c r="H10" s="26"/>
      <c r="I10" s="26"/>
      <c r="J10" s="27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2.75" customHeight="1">
      <c r="A11" s="25"/>
      <c r="B11" s="26"/>
      <c r="C11" s="26"/>
      <c r="D11" s="26"/>
      <c r="E11" s="26"/>
      <c r="F11" s="26"/>
      <c r="G11" s="26"/>
      <c r="H11" s="26"/>
      <c r="I11" s="26"/>
      <c r="J11" s="27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2.75" customHeight="1">
      <c r="A12" s="25"/>
      <c r="B12" s="26"/>
      <c r="C12" s="26"/>
      <c r="D12" s="26"/>
      <c r="E12" s="26"/>
      <c r="F12" s="26"/>
      <c r="G12" s="26"/>
      <c r="H12" s="26"/>
      <c r="I12" s="26"/>
      <c r="J12" s="27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2.75" customHeight="1">
      <c r="A13" s="25"/>
      <c r="B13" s="26"/>
      <c r="C13" s="26"/>
      <c r="D13" s="26"/>
      <c r="E13" s="26"/>
      <c r="F13" s="26"/>
      <c r="G13" s="26"/>
      <c r="H13" s="26"/>
      <c r="I13" s="26"/>
      <c r="J13" s="27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2.75" customHeight="1">
      <c r="A14" s="25"/>
      <c r="B14" s="26"/>
      <c r="C14" s="26"/>
      <c r="D14" s="26"/>
      <c r="E14" s="26"/>
      <c r="F14" s="26"/>
      <c r="G14" s="26"/>
      <c r="H14" s="26"/>
      <c r="I14" s="26"/>
      <c r="J14" s="27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2.75" customHeight="1">
      <c r="A15" s="25"/>
      <c r="B15" s="26"/>
      <c r="C15" s="26"/>
      <c r="D15" s="26"/>
      <c r="E15" s="26"/>
      <c r="F15" s="26"/>
      <c r="G15" s="26"/>
      <c r="H15" s="26"/>
      <c r="I15" s="26"/>
      <c r="J15" s="27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2.75" customHeight="1">
      <c r="A16" s="25"/>
      <c r="B16" s="26"/>
      <c r="C16" s="26"/>
      <c r="D16" s="26"/>
      <c r="E16" s="26"/>
      <c r="F16" s="26"/>
      <c r="G16" s="26"/>
      <c r="H16" s="26"/>
      <c r="I16" s="26"/>
      <c r="J16" s="27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2.75" customHeight="1">
      <c r="A17" s="25"/>
      <c r="B17" s="26"/>
      <c r="C17" s="26"/>
      <c r="D17" s="26"/>
      <c r="E17" s="26"/>
      <c r="F17" s="26"/>
      <c r="G17" s="26"/>
      <c r="H17" s="26"/>
      <c r="I17" s="26"/>
      <c r="J17" s="27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2.75" customHeight="1">
      <c r="A18" s="25"/>
      <c r="B18" s="26"/>
      <c r="C18" s="26"/>
      <c r="D18" s="26"/>
      <c r="E18" s="26"/>
      <c r="F18" s="26"/>
      <c r="G18" s="26"/>
      <c r="H18" s="26"/>
      <c r="I18" s="26"/>
      <c r="J18" s="27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2.75" customHeight="1">
      <c r="A19" s="25"/>
      <c r="B19" s="26"/>
      <c r="C19" s="26"/>
      <c r="D19" s="26"/>
      <c r="E19" s="26"/>
      <c r="F19" s="26"/>
      <c r="G19" s="26"/>
      <c r="H19" s="26"/>
      <c r="I19" s="26"/>
      <c r="J19" s="27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2.75" customHeight="1">
      <c r="A20" s="25"/>
      <c r="B20" s="26"/>
      <c r="C20" s="26"/>
      <c r="D20" s="26"/>
      <c r="E20" s="26"/>
      <c r="F20" s="26"/>
      <c r="G20" s="26"/>
      <c r="H20" s="26"/>
      <c r="I20" s="26"/>
      <c r="J20" s="27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2.75" customHeight="1">
      <c r="A21" s="50"/>
      <c r="B21" s="51"/>
      <c r="C21" s="51"/>
      <c r="D21" s="51"/>
      <c r="E21" s="51"/>
      <c r="F21" s="51"/>
      <c r="G21" s="51"/>
      <c r="H21" s="51"/>
      <c r="I21" s="51"/>
      <c r="J21" s="52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2.75" customHeight="1">
      <c r="A22" s="53"/>
      <c r="B22" s="47"/>
      <c r="C22" s="47"/>
      <c r="D22" s="47"/>
      <c r="E22" s="47"/>
      <c r="F22" s="47"/>
      <c r="G22" s="47"/>
      <c r="H22" s="47"/>
      <c r="I22" s="47"/>
      <c r="J22" s="52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2.75" customHeight="1">
      <c r="A23" s="53"/>
      <c r="B23" s="47"/>
      <c r="C23" s="47"/>
      <c r="D23" s="47"/>
      <c r="E23" s="47"/>
      <c r="F23" s="47"/>
      <c r="G23" s="47"/>
      <c r="H23" s="47"/>
      <c r="I23" s="47"/>
      <c r="J23" s="52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2.75" customHeight="1">
      <c r="A24" s="53"/>
      <c r="B24" s="47"/>
      <c r="C24" s="47"/>
      <c r="D24" s="47"/>
      <c r="E24" s="47"/>
      <c r="F24" s="47"/>
      <c r="G24" s="47"/>
      <c r="H24" s="47"/>
      <c r="I24" s="47"/>
      <c r="J24" s="52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2.75" customHeight="1">
      <c r="A25" s="53"/>
      <c r="B25" s="51"/>
      <c r="C25" s="51"/>
      <c r="D25" s="51"/>
      <c r="E25" s="51"/>
      <c r="F25" s="51"/>
      <c r="G25" s="51"/>
      <c r="H25" s="51"/>
      <c r="I25" s="51"/>
      <c r="J25" s="52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2.75" customHeight="1">
      <c r="A26" s="671"/>
      <c r="B26" s="672"/>
      <c r="C26" s="672"/>
      <c r="D26" s="672"/>
      <c r="E26" s="672"/>
      <c r="F26" s="672"/>
      <c r="G26" s="672"/>
      <c r="H26" s="672"/>
      <c r="I26" s="672"/>
      <c r="J26" s="67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2.75" customHeight="1">
      <c r="A27" s="674"/>
      <c r="B27" s="672"/>
      <c r="C27" s="672"/>
      <c r="D27" s="672"/>
      <c r="E27" s="672"/>
      <c r="F27" s="672"/>
      <c r="G27" s="672"/>
      <c r="H27" s="672"/>
      <c r="I27" s="672"/>
      <c r="J27" s="67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2.75" customHeight="1">
      <c r="A28" s="25"/>
      <c r="B28" s="26"/>
      <c r="C28" s="26"/>
      <c r="D28" s="26"/>
      <c r="E28" s="26"/>
      <c r="F28" s="26"/>
      <c r="G28" s="26"/>
      <c r="H28" s="26"/>
      <c r="I28" s="26"/>
      <c r="J28" s="27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2.75" customHeight="1">
      <c r="A29" s="25"/>
      <c r="B29" s="26"/>
      <c r="C29" s="26"/>
      <c r="D29" s="26"/>
      <c r="E29" s="26"/>
      <c r="F29" s="26"/>
      <c r="G29" s="26"/>
      <c r="H29" s="26"/>
      <c r="I29" s="26"/>
      <c r="J29" s="27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2.75" customHeight="1">
      <c r="A30" s="25"/>
      <c r="B30" s="26"/>
      <c r="C30" s="26"/>
      <c r="D30" s="26"/>
      <c r="E30" s="26"/>
      <c r="F30" s="26"/>
      <c r="G30" s="26"/>
      <c r="H30" s="26"/>
      <c r="I30" s="26"/>
      <c r="J30" s="27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2.75" customHeight="1">
      <c r="A31" s="25"/>
      <c r="B31" s="26"/>
      <c r="C31" s="26"/>
      <c r="D31" s="26"/>
      <c r="E31" s="26"/>
      <c r="F31" s="26"/>
      <c r="G31" s="26"/>
      <c r="H31" s="26"/>
      <c r="I31" s="26"/>
      <c r="J31" s="27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2.75" customHeight="1">
      <c r="A32" s="25"/>
      <c r="B32" s="26"/>
      <c r="C32" s="26"/>
      <c r="D32" s="26"/>
      <c r="E32" s="26"/>
      <c r="F32" s="26"/>
      <c r="G32" s="26"/>
      <c r="H32" s="26"/>
      <c r="I32" s="26"/>
      <c r="J32" s="27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2.75" customHeight="1">
      <c r="A33" s="25"/>
      <c r="B33" s="26"/>
      <c r="C33" s="26"/>
      <c r="D33" s="26"/>
      <c r="E33" s="26"/>
      <c r="F33" s="26"/>
      <c r="G33" s="26"/>
      <c r="H33" s="26"/>
      <c r="I33" s="26"/>
      <c r="J33" s="27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2.75" customHeight="1">
      <c r="A34" s="25"/>
      <c r="B34" s="26"/>
      <c r="C34" s="26"/>
      <c r="D34" s="26"/>
      <c r="E34" s="26"/>
      <c r="F34" s="26"/>
      <c r="G34" s="26"/>
      <c r="H34" s="26"/>
      <c r="I34" s="26"/>
      <c r="J34" s="27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2.75" customHeight="1">
      <c r="A35" s="25"/>
      <c r="B35" s="26"/>
      <c r="C35" s="26"/>
      <c r="D35" s="26"/>
      <c r="E35" s="26"/>
      <c r="F35" s="26"/>
      <c r="G35" s="26"/>
      <c r="H35" s="26"/>
      <c r="I35" s="26"/>
      <c r="J35" s="27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2.75" customHeight="1">
      <c r="A36" s="675" t="s">
        <v>653</v>
      </c>
      <c r="B36" s="676"/>
      <c r="C36" s="676"/>
      <c r="D36" s="676"/>
      <c r="E36" s="676"/>
      <c r="F36" s="676"/>
      <c r="G36" s="676"/>
      <c r="H36" s="676"/>
      <c r="I36" s="676"/>
      <c r="J36" s="677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2.75" customHeight="1">
      <c r="A37" s="678"/>
      <c r="B37" s="676"/>
      <c r="C37" s="676"/>
      <c r="D37" s="676"/>
      <c r="E37" s="676"/>
      <c r="F37" s="676"/>
      <c r="G37" s="676"/>
      <c r="H37" s="676"/>
      <c r="I37" s="676"/>
      <c r="J37" s="677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2.75" customHeight="1">
      <c r="A38" s="25"/>
      <c r="B38" s="26"/>
      <c r="C38" s="26"/>
      <c r="D38" s="26"/>
      <c r="E38" s="26"/>
      <c r="F38" s="26"/>
      <c r="G38" s="26"/>
      <c r="H38" s="26"/>
      <c r="I38" s="26"/>
      <c r="J38" s="27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2.75" customHeight="1">
      <c r="A39" s="25"/>
      <c r="B39" s="26"/>
      <c r="C39" s="26"/>
      <c r="D39" s="26"/>
      <c r="E39" s="26"/>
      <c r="F39" s="26"/>
      <c r="G39" s="26"/>
      <c r="H39" s="26"/>
      <c r="I39" s="26"/>
      <c r="J39" s="27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2.75" customHeight="1">
      <c r="A40" s="25"/>
      <c r="B40" s="26"/>
      <c r="C40" s="26"/>
      <c r="D40" s="26"/>
      <c r="E40" s="26"/>
      <c r="F40" s="26"/>
      <c r="G40" s="26"/>
      <c r="H40" s="26"/>
      <c r="I40" s="26"/>
      <c r="J40" s="27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2.75" customHeight="1">
      <c r="A41" s="25"/>
      <c r="B41" s="26"/>
      <c r="C41" s="26"/>
      <c r="D41" s="26"/>
      <c r="E41" s="26"/>
      <c r="F41" s="26"/>
      <c r="G41" s="26"/>
      <c r="H41" s="26"/>
      <c r="I41" s="26"/>
      <c r="J41" s="27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2.75" customHeight="1">
      <c r="A42" s="25"/>
      <c r="B42" s="26"/>
      <c r="C42" s="26"/>
      <c r="D42" s="26"/>
      <c r="E42" s="26"/>
      <c r="F42" s="26"/>
      <c r="G42" s="26"/>
      <c r="H42" s="26"/>
      <c r="I42" s="26"/>
      <c r="J42" s="27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2.75" customHeight="1">
      <c r="A43" s="25"/>
      <c r="B43" s="26"/>
      <c r="C43" s="26"/>
      <c r="D43" s="26"/>
      <c r="E43" s="26"/>
      <c r="F43" s="26"/>
      <c r="G43" s="26"/>
      <c r="H43" s="26"/>
      <c r="I43" s="26"/>
      <c r="J43" s="27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2.75" customHeight="1">
      <c r="A44" s="25"/>
      <c r="B44" s="26"/>
      <c r="C44" s="26"/>
      <c r="D44" s="26"/>
      <c r="E44" s="26"/>
      <c r="F44" s="26"/>
      <c r="G44" s="26"/>
      <c r="H44" s="26"/>
      <c r="I44" s="26"/>
      <c r="J44" s="27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2.75" customHeight="1">
      <c r="A45" s="25"/>
      <c r="B45" s="26"/>
      <c r="C45" s="26"/>
      <c r="D45" s="26"/>
      <c r="E45" s="26"/>
      <c r="F45" s="26"/>
      <c r="G45" s="26"/>
      <c r="H45" s="26"/>
      <c r="I45" s="26"/>
      <c r="J45" s="27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2.75" customHeight="1">
      <c r="A46" s="25"/>
      <c r="B46" s="26"/>
      <c r="C46" s="26"/>
      <c r="D46" s="26"/>
      <c r="E46" s="26"/>
      <c r="F46" s="26"/>
      <c r="G46" s="26"/>
      <c r="H46" s="26"/>
      <c r="I46" s="26"/>
      <c r="J46" s="27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2.75" customHeight="1">
      <c r="A47" s="25"/>
      <c r="B47" s="26"/>
      <c r="C47" s="26"/>
      <c r="D47" s="26"/>
      <c r="E47" s="26"/>
      <c r="F47" s="26"/>
      <c r="G47" s="26"/>
      <c r="H47" s="26"/>
      <c r="I47" s="26"/>
      <c r="J47" s="27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2.75" customHeight="1">
      <c r="A48" s="25"/>
      <c r="B48" s="26"/>
      <c r="C48" s="26"/>
      <c r="D48" s="26"/>
      <c r="E48" s="26"/>
      <c r="F48" s="26"/>
      <c r="G48" s="26"/>
      <c r="H48" s="26"/>
      <c r="I48" s="26"/>
      <c r="J48" s="27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2.75" customHeight="1">
      <c r="A49" s="25"/>
      <c r="B49" s="26"/>
      <c r="C49" s="26"/>
      <c r="D49" s="26"/>
      <c r="E49" s="26"/>
      <c r="F49" s="26"/>
      <c r="G49" s="26"/>
      <c r="H49" s="26"/>
      <c r="I49" s="26"/>
      <c r="J49" s="27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2.75" customHeight="1">
      <c r="A50" s="25"/>
      <c r="B50" s="26"/>
      <c r="C50" s="26"/>
      <c r="D50" s="26"/>
      <c r="E50" s="26"/>
      <c r="F50" s="26"/>
      <c r="G50" s="26"/>
      <c r="H50" s="26"/>
      <c r="I50" s="26"/>
      <c r="J50" s="27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2.75" customHeight="1">
      <c r="A51" s="25"/>
      <c r="B51" s="26"/>
      <c r="C51" s="26"/>
      <c r="D51" s="26"/>
      <c r="E51" s="26"/>
      <c r="F51" s="26"/>
      <c r="G51" s="26"/>
      <c r="H51" s="26"/>
      <c r="I51" s="26"/>
      <c r="J51" s="27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2.75" customHeight="1">
      <c r="A52" s="25"/>
      <c r="B52" s="26"/>
      <c r="C52" s="26"/>
      <c r="D52" s="26"/>
      <c r="E52" s="26"/>
      <c r="F52" s="26"/>
      <c r="G52" s="26"/>
      <c r="H52" s="26"/>
      <c r="I52" s="26"/>
      <c r="J52" s="27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2.75" customHeight="1">
      <c r="A53" s="25"/>
      <c r="B53" s="26"/>
      <c r="C53" s="26"/>
      <c r="D53" s="26"/>
      <c r="E53" s="26"/>
      <c r="F53" s="26"/>
      <c r="G53" s="26"/>
      <c r="H53" s="26"/>
      <c r="I53" s="26"/>
      <c r="J53" s="27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2.75" customHeight="1">
      <c r="A54" s="25"/>
      <c r="B54" s="26"/>
      <c r="C54" s="26"/>
      <c r="D54" s="26"/>
      <c r="E54" s="26"/>
      <c r="F54" s="26"/>
      <c r="G54" s="26"/>
      <c r="H54" s="26"/>
      <c r="I54" s="26"/>
      <c r="J54" s="27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2.75" customHeight="1">
      <c r="A55" s="25"/>
      <c r="B55" s="26"/>
      <c r="C55" s="26"/>
      <c r="D55" s="26"/>
      <c r="E55" s="26"/>
      <c r="F55" s="26"/>
      <c r="G55" s="26"/>
      <c r="H55" s="26"/>
      <c r="I55" s="26"/>
      <c r="J55" s="27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2.75" customHeight="1">
      <c r="A56" s="25"/>
      <c r="B56" s="26"/>
      <c r="C56" s="26"/>
      <c r="D56" s="26"/>
      <c r="E56" s="26"/>
      <c r="F56" s="26"/>
      <c r="G56" s="26"/>
      <c r="H56" s="26"/>
      <c r="I56" s="26"/>
      <c r="J56" s="27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2.75" customHeight="1">
      <c r="A57" s="675" t="s">
        <v>652</v>
      </c>
      <c r="B57" s="676"/>
      <c r="C57" s="676"/>
      <c r="D57" s="676"/>
      <c r="E57" s="676"/>
      <c r="F57" s="676"/>
      <c r="G57" s="676"/>
      <c r="H57" s="676"/>
      <c r="I57" s="676"/>
      <c r="J57" s="677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2.75" customHeight="1">
      <c r="A58" s="678"/>
      <c r="B58" s="676"/>
      <c r="C58" s="676"/>
      <c r="D58" s="676"/>
      <c r="E58" s="676"/>
      <c r="F58" s="676"/>
      <c r="G58" s="676"/>
      <c r="H58" s="676"/>
      <c r="I58" s="676"/>
      <c r="J58" s="677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3.5" customHeight="1" thickBot="1">
      <c r="A59" s="28"/>
      <c r="B59" s="29"/>
      <c r="C59" s="29"/>
      <c r="D59" s="29"/>
      <c r="E59" s="29"/>
      <c r="F59" s="29"/>
      <c r="G59" s="29"/>
      <c r="H59" s="29"/>
      <c r="I59" s="29"/>
      <c r="J59" s="30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2.7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2.7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2.7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2.7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2.7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2.7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2.7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2.7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2.7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2.7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2.7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2.7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2.7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2.7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2.7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2.7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2.7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2.7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2.7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2.7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2.7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2.7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2.7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2.7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2.7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2.7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2.7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2.7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2.7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2.7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2.7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2.7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2.7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2.7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2.7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2.7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2.7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2.7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2.7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2.7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2.7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2.7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2.7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2.7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2.7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2.7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2.7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2.7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2.7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2.7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2.7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2.7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2.7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2.7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2.7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2.7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2.7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2.7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2.7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2.7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2.7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2.7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2.7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2.7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2.7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2.7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2.7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2.7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2.7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2.7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2.7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2.7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2.7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2.7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2.7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2.7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2.7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2.7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2.7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2.7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 ht="12.7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 ht="12.7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 ht="12.7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2.7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2.7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2.7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2.7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2.7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2.7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2.7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2.7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2.7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2.7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2.7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2.7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2.7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2.7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2.7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2.7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2.7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2.7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2.7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2.7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2.7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2.7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2.7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2.7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2.7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2.7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2.7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2.7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2.7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2.7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2.7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2.7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2.7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2.7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2.7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2.7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2.7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2.7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2.7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2.7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2.7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2.7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2.7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2.7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2.7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2.7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2.7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2.7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2.7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2.7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2.7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2.7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2.7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2.7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2.7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2.7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2.7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2.7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2.7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2.7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2.7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2.7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2.7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2.7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2.7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2.7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2.7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2.7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2.7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2.7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2.7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2.7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2.7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2.7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2.7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2.7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2.7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2.7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2.7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2.7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2.7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2.7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2.7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2.7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2.7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2.7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2.7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2.7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2.7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2.7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2.7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2.7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2.7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2.7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2.7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2.7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2.7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2.7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2.7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2.7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2.7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2.7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2.7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2.7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2.7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2.7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2.7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2.7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2.7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2.7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2.7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2.7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2.7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2.7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2.7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2.7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2.7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2.7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2.7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2.7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2.7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2.7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2.7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2.7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2.7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2.7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2.7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2.7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2.7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2.7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2.7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2.7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2.7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2.7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2.7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2.7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2.7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2.7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2.7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2.7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2.7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2.7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2.7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2.7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2.7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2.7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2.7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2.7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2.7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2.7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2.7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2.7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2.7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2.7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2.7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2.7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2.7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2.7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2.7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2.7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2.7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2.7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2.7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2.7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2.7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2.7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2.7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2.7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2.7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2.7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2.7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2.7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2.7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2.7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2.7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2.7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2.7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2.7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2.7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2.7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2.7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2.7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2.7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2.7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2.7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2.7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2.7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2.7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2.7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2.7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2.7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2.7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2.7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2.7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2.7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2.7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2.7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2.7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2.7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2.7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2.7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2.7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2.7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2.7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2.7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2.7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2.7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2.7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2.7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2.7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2.7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2.7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2.7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2.7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2.7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2.7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2.7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2.7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2.7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2.7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2.7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2.7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2.7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2.7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2.7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2.7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2.7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2.7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2.7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2.7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2.7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2.7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2.7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2.7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2.7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2.7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2.7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2.7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2.7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2.7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2.7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2.7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2.7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2.7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2.7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2.7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2.7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2.7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2.7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2.7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2.7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2.7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2.7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2.7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2.7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2.7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2.7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2.7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2.7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2.7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2.7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2.7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2.7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2.7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2.7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2.7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2.7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2.7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2.7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2.7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2.7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2.7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2.7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2.7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2.7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2.7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2.7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2.7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2.7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2.7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2.7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2.7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2.7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2.7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2.7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2.7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2.7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2.7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2.7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2.7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2.7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2.7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2.7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2.7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2.7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2.7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2.7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2.7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2.7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2.7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2.7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2.7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2.7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2.7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2.7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2.7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2.7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2.7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2.7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2.7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2.7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2.7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2.7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2.7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2.7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2.7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2.7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2.7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2.7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2.7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2.7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2.7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2.7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2.7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2.7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2.7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2.7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2.7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2.7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2.7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2.7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2.7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2.7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2.7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2.7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2.7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2.7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2.7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2.7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2.7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2.7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2.7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2.7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2.7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2.7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2.7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2.7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2.7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2.7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2.7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2.7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2.7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2.7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2.7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2.7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2.7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2.7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2.7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2.7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2.7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2.7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2.7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2.7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2.7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2.7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2.7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2.7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2.7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2.7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2.7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2.7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2.7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2.7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2.7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2.7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2.7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2.7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2.7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2.7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2.7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2.7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2.7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2.7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2.7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2.7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2.7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2.7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2.7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2.7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2.7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2.7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2.7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2.7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2.7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2.7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2.7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2.7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2.7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2.7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2.7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2.7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2.7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2.7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2.7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2.7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2.7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2.7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2.7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2.7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2.7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2.7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2.7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2.7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2.7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2.7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2.7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2.7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2.7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2.7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2.7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2.7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2.7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2.7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2.7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2.7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2.7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2.7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2.7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2.7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2.7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2.7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2.7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2.7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2.7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2.7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2.7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2.7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2.7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2.7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2.7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2.7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2.7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2.7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2.7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2.7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2.7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2.7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2.7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2.7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2.7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2.7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2.7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2.7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2.7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2.7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2.7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2.7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2.7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2.7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2.7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2.7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2.7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2.75" customHeight="1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2.75" customHeight="1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2.75" customHeight="1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2.75" customHeight="1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2.75" customHeight="1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2.75" customHeight="1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2.75" customHeight="1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2.75" customHeight="1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2.75" customHeight="1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2.75" customHeight="1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2.75" customHeight="1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2.75" customHeight="1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2.75" customHeight="1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2.75" customHeight="1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2.75" customHeight="1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2.75" customHeight="1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2.75" customHeight="1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2.75" customHeight="1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2.75" customHeight="1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2.75" customHeight="1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2.75" customHeight="1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2.75" customHeight="1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2.75" customHeight="1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2.75" customHeight="1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2.75" customHeight="1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2.75" customHeight="1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2.75" customHeight="1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2.75" customHeight="1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2.75" customHeight="1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2.75" customHeight="1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2.75" customHeight="1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2.75" customHeight="1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2.75" customHeight="1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2.75" customHeight="1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2.75" customHeight="1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2.75" customHeight="1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2.75" customHeight="1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2.75" customHeight="1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2.75" customHeight="1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2.75" customHeight="1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2.75" customHeight="1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2.75" customHeight="1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2.75" customHeight="1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2.75" customHeight="1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2.75" customHeight="1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2.75" customHeight="1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2.75" customHeight="1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2.75" customHeight="1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2.75" customHeight="1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2.75" customHeight="1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2.75" customHeight="1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2.75" customHeight="1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2.75" customHeight="1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2.75" customHeight="1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2.75" customHeight="1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2.75" customHeight="1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2.75" customHeight="1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2.75" customHeight="1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2.75" customHeight="1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2.75" customHeight="1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2.75" customHeight="1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2.75" customHeight="1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2.75" customHeight="1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2.75" customHeight="1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2.75" customHeight="1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2.75" customHeight="1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2.75" customHeight="1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2.75" customHeight="1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2.75" customHeight="1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2.75" customHeight="1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2.75" customHeight="1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2.75" customHeight="1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2.75" customHeight="1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2.75" customHeight="1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2.75" customHeight="1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2.75" customHeight="1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2.75" customHeight="1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2.75" customHeight="1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2.75" customHeight="1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2.75" customHeight="1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2.75" customHeight="1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2.75" customHeight="1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2.75" customHeight="1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2.75" customHeight="1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2.75" customHeight="1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2.75" customHeight="1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2.75" customHeight="1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2.75" customHeight="1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2.75" customHeight="1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2.75" customHeight="1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2.75" customHeight="1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2.75" customHeight="1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2.75" customHeight="1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2.75" customHeight="1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2.75" customHeight="1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2.75" customHeight="1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2.75" customHeight="1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2.75" customHeight="1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2.75" customHeight="1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2.75" customHeight="1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2.75" customHeight="1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2.75" customHeight="1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2.75" customHeight="1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2.75" customHeight="1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2.75" customHeight="1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2.75" customHeight="1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2.75" customHeight="1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2.75" customHeight="1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2.75" customHeight="1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2.75" customHeight="1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2.75" customHeight="1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2.75" customHeight="1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2.75" customHeight="1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2.75" customHeight="1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2.75" customHeight="1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2.75" customHeight="1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2.75" customHeight="1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2.75" customHeight="1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2.75" customHeight="1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2.75" customHeight="1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2.75" customHeight="1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2.75" customHeight="1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2.75" customHeight="1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2.75" customHeight="1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2.75" customHeight="1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2.75" customHeight="1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2.75" customHeight="1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2.75" customHeight="1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2.75" customHeight="1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2.75" customHeight="1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2.75" customHeight="1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2.75" customHeight="1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2.75" customHeight="1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2.75" customHeight="1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2.75" customHeight="1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2.75" customHeight="1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2.75" customHeight="1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2.75" customHeight="1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2.75" customHeight="1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2.75" customHeight="1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2.75" customHeight="1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2.75" customHeight="1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2.75" customHeight="1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2.75" customHeight="1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2.75" customHeight="1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2.75" customHeight="1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2.75" customHeight="1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2.75" customHeight="1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2.75" customHeight="1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2.75" customHeight="1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2.75" customHeight="1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2.75" customHeight="1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2.75" customHeight="1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2.75" customHeight="1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2.75" customHeight="1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2.75" customHeight="1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2.75" customHeight="1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2.75" customHeight="1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2.75" customHeight="1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2.75" customHeight="1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2.75" customHeight="1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2.75" customHeight="1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2.75" customHeight="1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2.75" customHeight="1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2.75" customHeight="1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2.75" customHeight="1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2.75" customHeight="1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2.75" customHeight="1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2.75" customHeight="1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2.75" customHeight="1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2.75" customHeight="1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2.75" customHeight="1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2.75" customHeight="1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2.75" customHeight="1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2.75" customHeight="1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2.75" customHeight="1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2.75" customHeight="1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2.75" customHeight="1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2.75" customHeight="1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2.75" customHeight="1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2.75" customHeight="1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2.75" customHeight="1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2.75" customHeight="1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2.75" customHeight="1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2.75" customHeight="1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2.75" customHeight="1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2.75" customHeight="1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2.75" customHeight="1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2.75" customHeight="1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2.75" customHeight="1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2.75" customHeight="1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2.75" customHeight="1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2.75" customHeight="1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2.75" customHeight="1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2.75" customHeight="1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2.75" customHeight="1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2.75" customHeight="1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2.75" customHeight="1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2.75" customHeight="1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2.75" customHeight="1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2.75" customHeight="1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2.75" customHeight="1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2.75" customHeight="1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2.75" customHeight="1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2.75" customHeight="1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2.75" customHeight="1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2.75" customHeight="1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2.75" customHeight="1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2.75" customHeight="1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2.75" customHeight="1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2.75" customHeight="1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2.75" customHeight="1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2.75" customHeight="1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2.75" customHeight="1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2.75" customHeight="1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2.75" customHeight="1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2.75" customHeight="1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2.75" customHeight="1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2.75" customHeight="1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2.75" customHeight="1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2.75" customHeight="1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2.75" customHeight="1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2.75" customHeight="1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2.75" customHeight="1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2.75" customHeight="1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2.75" customHeight="1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2.75" customHeight="1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2.75" customHeight="1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2.75" customHeight="1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2.75" customHeight="1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2.75" customHeight="1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2.75" customHeight="1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2.75" customHeight="1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2.75" customHeight="1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2.75" customHeight="1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2.75" customHeight="1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2.75" customHeight="1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2.75" customHeight="1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2.75" customHeight="1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2.75" customHeight="1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2.75" customHeight="1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2.75" customHeight="1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2.75" customHeight="1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2.75" customHeight="1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2.75" customHeight="1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2.75" customHeight="1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2.75" customHeight="1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2.75" customHeight="1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2.75" customHeight="1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2.75" customHeight="1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2.75" customHeight="1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2.75" customHeight="1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2.75" customHeight="1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2.75" customHeight="1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2.75" customHeight="1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2.75" customHeight="1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2.75" customHeight="1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2.75" customHeight="1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2.75" customHeight="1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2.75" customHeight="1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2.75" customHeight="1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2.75" customHeight="1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2.75" customHeight="1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2.75" customHeight="1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2.75" customHeight="1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2.75" customHeight="1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2.75" customHeight="1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2.75" customHeight="1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2.75" customHeight="1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2.75" customHeight="1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2.75" customHeight="1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2.75" customHeight="1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2.75" customHeight="1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2.75" customHeight="1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2.75" customHeight="1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2.75" customHeight="1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2.75" customHeight="1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2.75" customHeight="1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2.75" customHeight="1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2.75" customHeight="1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2.75" customHeight="1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2.75" customHeight="1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2.75" customHeight="1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2.75" customHeight="1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2.75" customHeight="1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2.75" customHeight="1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2.75" customHeight="1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2.75" customHeight="1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2.75" customHeight="1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2.75" customHeight="1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2.75" customHeight="1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2.75" customHeight="1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2.75" customHeight="1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2.75" customHeight="1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2.75" customHeight="1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2.75" customHeight="1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2.75" customHeight="1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2.75" customHeight="1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2.75" customHeight="1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2.75" customHeight="1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2.75" customHeight="1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2.75" customHeight="1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2.75" customHeight="1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2.75" customHeight="1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2.75" customHeight="1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2.75" customHeight="1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2.75" customHeight="1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2.75" customHeight="1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2.75" customHeight="1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2.75" customHeight="1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2.75" customHeight="1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2.75" customHeight="1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2.75" customHeight="1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2.75" customHeight="1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2.75" customHeight="1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2.75" customHeight="1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2.75" customHeight="1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2.75" customHeight="1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2.75" customHeight="1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2.75" customHeight="1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2.75" customHeight="1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2.75" customHeight="1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2.75" customHeight="1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2.75" customHeight="1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2.75" customHeight="1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2.75" customHeight="1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2.75" customHeight="1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2.75" customHeight="1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2.75" customHeight="1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2.75" customHeight="1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2.75" customHeight="1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2.75" customHeight="1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2.75" customHeight="1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2.75" customHeight="1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2.75" customHeight="1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2.75" customHeight="1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2.75" customHeight="1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2.75" customHeight="1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2.75" customHeight="1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2.75" customHeight="1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2.75" customHeight="1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2.75" customHeight="1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2.75" customHeight="1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2.75" customHeight="1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2.75" customHeight="1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2.75" customHeight="1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2.75" customHeight="1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2.75" customHeight="1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2.75" customHeight="1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2.75" customHeight="1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2.75" customHeight="1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2.75" customHeight="1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2.75" customHeight="1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2.75" customHeight="1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2.75" customHeight="1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2.75" customHeight="1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2.75" customHeight="1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2.75" customHeight="1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2.75" customHeight="1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2.75" customHeight="1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2.75" customHeight="1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2.75" customHeight="1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2.75" customHeight="1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2.75" customHeight="1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2.75" customHeight="1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2.75" customHeight="1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2.75" customHeight="1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2.75" customHeight="1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2.75" customHeight="1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2.75" customHeight="1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2.75" customHeight="1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2.75" customHeight="1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2.75" customHeight="1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2.75" customHeight="1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2.75" customHeight="1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2.75" customHeight="1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2.75" customHeight="1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2.75" customHeight="1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2.75" customHeight="1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2.75" customHeight="1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2.75" customHeight="1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2.75" customHeight="1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2.75" customHeight="1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2.75" customHeight="1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2.75" customHeight="1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2.75" customHeight="1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2.75" customHeight="1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2.75" customHeight="1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2.75" customHeight="1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2.75" customHeight="1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2.75" customHeight="1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2.75" customHeight="1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2.75" customHeight="1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2.75" customHeight="1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2.75" customHeight="1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2.75" customHeight="1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</sheetData>
  <mergeCells count="4">
    <mergeCell ref="A7:J7"/>
    <mergeCell ref="A26:J27"/>
    <mergeCell ref="A36:J37"/>
    <mergeCell ref="A57:J58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002060"/>
  </sheetPr>
  <dimension ref="B1:K36"/>
  <sheetViews>
    <sheetView workbookViewId="0">
      <selection activeCell="C11" sqref="C11:F11"/>
    </sheetView>
  </sheetViews>
  <sheetFormatPr defaultRowHeight="15"/>
  <cols>
    <col min="3" max="3" width="30.85546875" customWidth="1"/>
    <col min="6" max="6" width="15.140625" customWidth="1"/>
    <col min="7" max="7" width="12.42578125" customWidth="1"/>
  </cols>
  <sheetData>
    <row r="1" spans="2:11">
      <c r="B1" s="1055"/>
      <c r="C1" s="1055"/>
      <c r="D1" s="1055"/>
      <c r="E1" s="1055"/>
      <c r="F1" s="1055"/>
      <c r="G1" s="1055"/>
      <c r="H1" s="1055"/>
      <c r="I1" s="1055"/>
      <c r="J1" s="1055"/>
    </row>
    <row r="2" spans="2:11">
      <c r="B2" s="1055" t="s">
        <v>26</v>
      </c>
      <c r="C2" s="1055"/>
      <c r="D2" s="1055"/>
      <c r="E2" s="1055"/>
      <c r="F2" s="1055"/>
      <c r="G2" s="1055"/>
      <c r="H2" s="1055"/>
      <c r="I2" s="1055"/>
      <c r="J2" s="1055"/>
    </row>
    <row r="3" spans="2:11">
      <c r="B3" s="1055" t="s">
        <v>27</v>
      </c>
      <c r="C3" s="1055"/>
      <c r="D3" s="1055"/>
      <c r="E3" s="1055"/>
      <c r="F3" s="1055"/>
      <c r="G3" s="1055"/>
      <c r="H3" s="1055"/>
      <c r="I3" s="1055"/>
      <c r="J3" s="1055"/>
    </row>
    <row r="4" spans="2:11">
      <c r="B4" s="1055" t="s">
        <v>329</v>
      </c>
      <c r="C4" s="1055"/>
      <c r="D4" s="1055"/>
      <c r="E4" s="1055"/>
      <c r="F4" s="1055"/>
      <c r="G4" s="1055"/>
      <c r="H4" s="1055"/>
      <c r="I4" s="1055"/>
      <c r="J4" s="1055"/>
    </row>
    <row r="5" spans="2:11">
      <c r="B5" s="333"/>
      <c r="C5" s="333"/>
      <c r="D5" s="333"/>
      <c r="E5" s="333"/>
      <c r="F5" s="333"/>
      <c r="G5" s="333"/>
      <c r="H5" s="333"/>
      <c r="I5" s="333"/>
      <c r="J5" s="333"/>
    </row>
    <row r="6" spans="2:11">
      <c r="B6" s="333"/>
      <c r="C6" s="333"/>
      <c r="D6" s="333"/>
      <c r="E6" s="333"/>
      <c r="F6" s="333"/>
      <c r="G6" s="333"/>
      <c r="H6" s="333"/>
      <c r="I6" s="333"/>
      <c r="J6" s="333"/>
    </row>
    <row r="7" spans="2:11">
      <c r="B7" s="333"/>
      <c r="C7" s="333"/>
      <c r="D7" s="1060" t="s">
        <v>682</v>
      </c>
      <c r="E7" s="1060"/>
      <c r="F7" s="1060"/>
      <c r="G7" s="333"/>
      <c r="H7" s="333"/>
      <c r="I7" s="333"/>
      <c r="J7" s="333"/>
    </row>
    <row r="8" spans="2:11" ht="15.75" thickBot="1">
      <c r="B8" s="1056"/>
      <c r="C8" s="1056"/>
      <c r="D8" s="1056"/>
      <c r="E8" s="1056"/>
      <c r="F8" s="1056"/>
      <c r="G8" s="1056"/>
      <c r="H8" s="1056"/>
      <c r="I8" s="1056"/>
      <c r="J8" s="1056"/>
    </row>
    <row r="9" spans="2:11" ht="15.75" thickBot="1">
      <c r="B9" s="1057" t="s">
        <v>631</v>
      </c>
      <c r="C9" s="1058"/>
      <c r="D9" s="1058"/>
      <c r="E9" s="1058"/>
      <c r="F9" s="1058"/>
      <c r="G9" s="1058"/>
      <c r="H9" s="1058"/>
      <c r="I9" s="1058"/>
      <c r="J9" s="1059"/>
      <c r="K9" s="335" t="s">
        <v>587</v>
      </c>
    </row>
    <row r="10" spans="2:11">
      <c r="B10" s="336"/>
      <c r="C10" s="1049" t="s">
        <v>588</v>
      </c>
      <c r="D10" s="1049"/>
      <c r="E10" s="1049"/>
      <c r="F10" s="1049"/>
      <c r="G10" s="355">
        <v>14.5</v>
      </c>
      <c r="H10" s="337"/>
      <c r="I10" s="337"/>
      <c r="J10" s="338"/>
    </row>
    <row r="11" spans="2:11">
      <c r="B11" s="339"/>
      <c r="C11" s="1050" t="s">
        <v>589</v>
      </c>
      <c r="D11" s="1050"/>
      <c r="E11" s="1050"/>
      <c r="F11" s="1050"/>
      <c r="G11" s="416">
        <v>6.5</v>
      </c>
      <c r="H11" s="340"/>
      <c r="I11" s="340"/>
      <c r="J11" s="341"/>
    </row>
    <row r="12" spans="2:11">
      <c r="B12" s="339"/>
      <c r="C12" s="1050" t="s">
        <v>590</v>
      </c>
      <c r="D12" s="1050"/>
      <c r="E12" s="1050"/>
      <c r="F12" s="1050"/>
      <c r="G12" s="342">
        <v>109.73</v>
      </c>
      <c r="H12" s="340"/>
      <c r="I12" s="340"/>
      <c r="J12" s="341"/>
    </row>
    <row r="13" spans="2:11">
      <c r="B13" s="339"/>
      <c r="C13" s="1051" t="s">
        <v>628</v>
      </c>
      <c r="D13" s="1051"/>
      <c r="E13" s="1051"/>
      <c r="F13" s="1051"/>
      <c r="G13" s="417">
        <v>0.25359999999999999</v>
      </c>
      <c r="H13" s="340"/>
      <c r="I13" s="340"/>
      <c r="J13" s="341"/>
    </row>
    <row r="14" spans="2:11">
      <c r="B14" s="343"/>
      <c r="C14" s="340"/>
      <c r="D14" s="340"/>
      <c r="E14" s="340"/>
      <c r="F14" s="340"/>
      <c r="G14" s="340"/>
      <c r="H14" s="340"/>
      <c r="I14" s="340"/>
      <c r="J14" s="344"/>
    </row>
    <row r="15" spans="2:11">
      <c r="B15" s="1052" t="s">
        <v>591</v>
      </c>
      <c r="C15" s="1053"/>
      <c r="D15" s="1053"/>
      <c r="E15" s="1053"/>
      <c r="F15" s="1053"/>
      <c r="G15" s="1053"/>
      <c r="H15" s="1053"/>
      <c r="I15" s="1053"/>
      <c r="J15" s="1054"/>
    </row>
    <row r="16" spans="2:11">
      <c r="B16" s="343"/>
      <c r="C16" s="345"/>
      <c r="D16" s="345"/>
      <c r="E16" s="345"/>
      <c r="F16" s="345"/>
      <c r="G16" s="345"/>
      <c r="H16" s="345"/>
      <c r="I16" s="345"/>
      <c r="J16" s="344"/>
    </row>
    <row r="17" spans="2:10">
      <c r="B17" s="343"/>
      <c r="C17" s="1034" t="s">
        <v>592</v>
      </c>
      <c r="D17" s="1034"/>
      <c r="E17" s="1034"/>
      <c r="F17" s="1034"/>
      <c r="G17" s="1034"/>
      <c r="H17" s="1035">
        <v>1</v>
      </c>
      <c r="I17" s="1036"/>
      <c r="J17" s="344"/>
    </row>
    <row r="18" spans="2:10" ht="15.75" thickBot="1">
      <c r="B18" s="343"/>
      <c r="C18" s="1034" t="s">
        <v>593</v>
      </c>
      <c r="D18" s="1034"/>
      <c r="E18" s="1034"/>
      <c r="F18" s="1034"/>
      <c r="G18" s="1034"/>
      <c r="H18" s="1035">
        <v>4</v>
      </c>
      <c r="I18" s="1036"/>
      <c r="J18" s="344"/>
    </row>
    <row r="19" spans="2:10" ht="15.75" thickBot="1">
      <c r="B19" s="343"/>
      <c r="C19" s="346"/>
      <c r="D19" s="1037" t="s">
        <v>594</v>
      </c>
      <c r="E19" s="1038"/>
      <c r="F19" s="1038"/>
      <c r="G19" s="1038"/>
      <c r="H19" s="1038"/>
      <c r="I19" s="1039"/>
      <c r="J19" s="344"/>
    </row>
    <row r="20" spans="2:10">
      <c r="B20" s="343"/>
      <c r="C20" s="347"/>
      <c r="D20" s="1040" t="s">
        <v>595</v>
      </c>
      <c r="E20" s="1041"/>
      <c r="F20" s="1041"/>
      <c r="G20" s="1041"/>
      <c r="H20" s="1041"/>
      <c r="I20" s="1042"/>
      <c r="J20" s="344"/>
    </row>
    <row r="21" spans="2:10" ht="15.75" thickBot="1">
      <c r="B21" s="343"/>
      <c r="C21" s="346" t="s">
        <v>596</v>
      </c>
      <c r="D21" s="1043">
        <v>1055</v>
      </c>
      <c r="E21" s="1044"/>
      <c r="F21" s="1044"/>
      <c r="G21" s="1044"/>
      <c r="H21" s="1044"/>
      <c r="I21" s="1045"/>
      <c r="J21" s="344"/>
    </row>
    <row r="22" spans="2:10">
      <c r="B22" s="343"/>
      <c r="C22" s="346" t="s">
        <v>597</v>
      </c>
      <c r="D22" s="1046">
        <f>IF($H$18&lt;=1,$G$12,($H$18)*$G$12)</f>
        <v>438.92</v>
      </c>
      <c r="E22" s="1047"/>
      <c r="F22" s="1047"/>
      <c r="G22" s="1047"/>
      <c r="H22" s="1047"/>
      <c r="I22" s="1048"/>
      <c r="J22" s="344"/>
    </row>
    <row r="23" spans="2:10">
      <c r="B23" s="343"/>
      <c r="C23" s="346" t="s">
        <v>598</v>
      </c>
      <c r="D23" s="1024">
        <f>D21*$G$11/$G$10</f>
        <v>472.93103448275861</v>
      </c>
      <c r="E23" s="1025"/>
      <c r="F23" s="1025"/>
      <c r="G23" s="1025"/>
      <c r="H23" s="1025"/>
      <c r="I23" s="1026"/>
      <c r="J23" s="344"/>
    </row>
    <row r="24" spans="2:10">
      <c r="B24" s="343"/>
      <c r="C24" s="346" t="s">
        <v>599</v>
      </c>
      <c r="D24" s="1024">
        <f>IF($H$18=0,$H$17*15,$H$17*30*$H$18)</f>
        <v>120</v>
      </c>
      <c r="E24" s="1025"/>
      <c r="F24" s="1025"/>
      <c r="G24" s="1025"/>
      <c r="H24" s="1025"/>
      <c r="I24" s="1026"/>
      <c r="J24" s="344"/>
    </row>
    <row r="25" spans="2:10">
      <c r="B25" s="343"/>
      <c r="C25" s="346" t="s">
        <v>600</v>
      </c>
      <c r="D25" s="1024">
        <f>IF($H$18=0,0,$H$18*100*$H$17)</f>
        <v>400</v>
      </c>
      <c r="E25" s="1025"/>
      <c r="F25" s="1025"/>
      <c r="G25" s="1025"/>
      <c r="H25" s="1025"/>
      <c r="I25" s="1026"/>
      <c r="J25" s="344"/>
    </row>
    <row r="26" spans="2:10" ht="15.75" thickBot="1">
      <c r="B26" s="343"/>
      <c r="C26" s="346" t="s">
        <v>647</v>
      </c>
      <c r="D26" s="1027">
        <f>SUM(D22:F25)</f>
        <v>1431.8510344827587</v>
      </c>
      <c r="E26" s="1028"/>
      <c r="F26" s="1028"/>
      <c r="G26" s="1028"/>
      <c r="H26" s="1028"/>
      <c r="I26" s="1029"/>
      <c r="J26" s="344"/>
    </row>
    <row r="27" spans="2:10" ht="15.75" thickBot="1">
      <c r="B27" s="343"/>
      <c r="C27" s="348" t="s">
        <v>646</v>
      </c>
      <c r="D27" s="1030">
        <f>D26*(1+$G$13)</f>
        <v>1794.9684568275864</v>
      </c>
      <c r="E27" s="1031"/>
      <c r="F27" s="1031"/>
      <c r="G27" s="1031"/>
      <c r="H27" s="1031"/>
      <c r="I27" s="1032"/>
      <c r="J27" s="344"/>
    </row>
    <row r="28" spans="2:10">
      <c r="B28" s="343"/>
      <c r="C28" s="349"/>
      <c r="D28" s="350"/>
      <c r="E28" s="350"/>
      <c r="F28" s="350"/>
      <c r="G28" s="350"/>
      <c r="H28" s="350"/>
      <c r="I28" s="350"/>
      <c r="J28" s="344"/>
    </row>
    <row r="29" spans="2:10">
      <c r="B29" s="343"/>
      <c r="C29" s="349" t="s">
        <v>601</v>
      </c>
      <c r="D29" s="350"/>
      <c r="E29" s="351"/>
      <c r="F29" s="1033">
        <f>D27*6</f>
        <v>10769.810740965519</v>
      </c>
      <c r="G29" s="1033"/>
      <c r="H29" s="350"/>
      <c r="I29" s="350"/>
      <c r="J29" s="344"/>
    </row>
    <row r="30" spans="2:10" ht="15.75" thickBot="1">
      <c r="B30" s="352"/>
      <c r="C30" s="353"/>
      <c r="D30" s="353"/>
      <c r="E30" s="353"/>
      <c r="F30" s="353"/>
      <c r="G30" s="353"/>
      <c r="H30" s="353"/>
      <c r="I30" s="353"/>
      <c r="J30" s="354"/>
    </row>
    <row r="32" spans="2:10">
      <c r="B32" s="1023" t="s">
        <v>648</v>
      </c>
      <c r="C32" s="1023"/>
      <c r="D32" s="1023"/>
      <c r="E32" s="1023"/>
      <c r="F32" s="1023"/>
      <c r="G32" s="1023"/>
      <c r="H32" s="1023"/>
      <c r="I32" s="1023"/>
      <c r="J32" s="1023"/>
    </row>
    <row r="33" spans="2:10" ht="10.5" customHeight="1">
      <c r="B33" s="1023"/>
      <c r="C33" s="1023"/>
      <c r="D33" s="1023"/>
      <c r="E33" s="1023"/>
      <c r="F33" s="1023"/>
      <c r="G33" s="1023"/>
      <c r="H33" s="1023"/>
      <c r="I33" s="1023"/>
      <c r="J33" s="1023"/>
    </row>
    <row r="34" spans="2:10" hidden="1">
      <c r="B34" s="1023"/>
      <c r="C34" s="1023"/>
      <c r="D34" s="1023"/>
      <c r="E34" s="1023"/>
      <c r="F34" s="1023"/>
      <c r="G34" s="1023"/>
      <c r="H34" s="1023"/>
      <c r="I34" s="1023"/>
      <c r="J34" s="1023"/>
    </row>
    <row r="35" spans="2:10">
      <c r="B35" s="434" t="s">
        <v>649</v>
      </c>
      <c r="C35" s="434"/>
      <c r="D35" s="434"/>
      <c r="E35" s="434"/>
      <c r="F35" s="434"/>
      <c r="G35" s="434"/>
      <c r="H35" s="434"/>
      <c r="I35" s="434"/>
      <c r="J35" s="434"/>
    </row>
    <row r="36" spans="2:10">
      <c r="B36" s="434" t="s">
        <v>650</v>
      </c>
      <c r="C36" s="434"/>
      <c r="D36" s="434"/>
      <c r="E36" s="434"/>
      <c r="F36" s="434"/>
      <c r="G36" s="434"/>
      <c r="H36" s="434"/>
      <c r="I36" s="434"/>
      <c r="J36" s="434"/>
    </row>
  </sheetData>
  <mergeCells count="27">
    <mergeCell ref="B1:J1"/>
    <mergeCell ref="B2:J2"/>
    <mergeCell ref="B3:J3"/>
    <mergeCell ref="B4:J4"/>
    <mergeCell ref="B8:J8"/>
    <mergeCell ref="B9:J9"/>
    <mergeCell ref="D7:F7"/>
    <mergeCell ref="C10:F10"/>
    <mergeCell ref="C11:F11"/>
    <mergeCell ref="C12:F12"/>
    <mergeCell ref="C13:F13"/>
    <mergeCell ref="B15:J15"/>
    <mergeCell ref="C17:G17"/>
    <mergeCell ref="H17:I17"/>
    <mergeCell ref="C18:G18"/>
    <mergeCell ref="H18:I18"/>
    <mergeCell ref="D19:I19"/>
    <mergeCell ref="D20:I20"/>
    <mergeCell ref="D21:I21"/>
    <mergeCell ref="D22:I22"/>
    <mergeCell ref="B32:J34"/>
    <mergeCell ref="D23:I23"/>
    <mergeCell ref="D24:I24"/>
    <mergeCell ref="D25:I25"/>
    <mergeCell ref="D26:I26"/>
    <mergeCell ref="D27:I27"/>
    <mergeCell ref="F29:G29"/>
  </mergeCells>
  <pageMargins left="0.51181102362204722" right="0.51181102362204722" top="0.39370078740157483" bottom="0.39370078740157483" header="0.31496062992125984" footer="0.31496062992125984"/>
  <pageSetup paperSize="9" orientation="landscape" horizontalDpi="4294967293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Z1000"/>
  <sheetViews>
    <sheetView showGridLines="0" topLeftCell="A25" workbookViewId="0">
      <selection activeCell="Q47" sqref="Q47"/>
    </sheetView>
  </sheetViews>
  <sheetFormatPr defaultColWidth="15.140625" defaultRowHeight="15"/>
  <cols>
    <col min="1" max="11" width="8" style="24" customWidth="1"/>
    <col min="12" max="26" width="7" style="24" customWidth="1"/>
    <col min="27" max="16384" width="15.140625" style="24"/>
  </cols>
  <sheetData>
    <row r="1" spans="1:26" ht="12.75" customHeight="1">
      <c r="A1" s="20"/>
      <c r="B1" s="21"/>
      <c r="C1" s="21"/>
      <c r="D1" s="21"/>
      <c r="E1" s="21"/>
      <c r="F1" s="21"/>
      <c r="G1" s="21"/>
      <c r="H1" s="21"/>
      <c r="I1" s="21"/>
      <c r="J1" s="22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ht="12.75" customHeight="1">
      <c r="A2" s="25"/>
      <c r="B2" s="26"/>
      <c r="C2" s="26"/>
      <c r="D2" s="26"/>
      <c r="E2" s="26"/>
      <c r="F2" s="26"/>
      <c r="G2" s="26"/>
      <c r="H2" s="26"/>
      <c r="I2" s="26"/>
      <c r="J2" s="27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>
      <c r="A3" s="25"/>
      <c r="B3" s="26"/>
      <c r="C3" s="26"/>
      <c r="D3" s="26"/>
      <c r="E3" s="26"/>
      <c r="F3" s="26"/>
      <c r="G3" s="26"/>
      <c r="H3" s="26"/>
      <c r="I3" s="26"/>
      <c r="J3" s="27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2.75" customHeight="1">
      <c r="A4" s="25"/>
      <c r="B4" s="26"/>
      <c r="C4" s="26"/>
      <c r="D4" s="26"/>
      <c r="E4" s="26"/>
      <c r="F4" s="26"/>
      <c r="G4" s="26"/>
      <c r="H4" s="26"/>
      <c r="I4" s="26"/>
      <c r="J4" s="27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ht="12.75" customHeight="1">
      <c r="A5" s="25"/>
      <c r="B5" s="26"/>
      <c r="C5" s="26"/>
      <c r="D5" s="26"/>
      <c r="E5" s="26"/>
      <c r="F5" s="26"/>
      <c r="G5" s="26"/>
      <c r="H5" s="26"/>
      <c r="I5" s="26"/>
      <c r="J5" s="27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ht="12.75" customHeight="1">
      <c r="A6" s="25"/>
      <c r="B6" s="26"/>
      <c r="C6" s="26"/>
      <c r="D6" s="26"/>
      <c r="E6" s="26"/>
      <c r="F6" s="26"/>
      <c r="G6" s="26"/>
      <c r="H6" s="26"/>
      <c r="I6" s="26"/>
      <c r="J6" s="27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4.5" customHeight="1">
      <c r="A7" s="679"/>
      <c r="B7" s="672"/>
      <c r="C7" s="672"/>
      <c r="D7" s="672"/>
      <c r="E7" s="672"/>
      <c r="F7" s="672"/>
      <c r="G7" s="672"/>
      <c r="H7" s="672"/>
      <c r="I7" s="672"/>
      <c r="J7" s="67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2.75" customHeight="1">
      <c r="A8" s="25"/>
      <c r="B8" s="26"/>
      <c r="C8" s="26"/>
      <c r="D8" s="26"/>
      <c r="E8" s="26"/>
      <c r="F8" s="26"/>
      <c r="G8" s="26"/>
      <c r="H8" s="26"/>
      <c r="I8" s="26"/>
      <c r="J8" s="27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2.75" customHeight="1">
      <c r="A9" s="25"/>
      <c r="B9" s="26"/>
      <c r="C9" s="26"/>
      <c r="D9" s="26"/>
      <c r="E9" s="26"/>
      <c r="F9" s="26"/>
      <c r="G9" s="26"/>
      <c r="H9" s="26"/>
      <c r="I9" s="26"/>
      <c r="J9" s="27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2.75" customHeight="1">
      <c r="A10" s="25"/>
      <c r="B10" s="26"/>
      <c r="C10" s="26"/>
      <c r="D10" s="26"/>
      <c r="E10" s="26"/>
      <c r="F10" s="26"/>
      <c r="G10" s="26"/>
      <c r="H10" s="26"/>
      <c r="I10" s="26"/>
      <c r="J10" s="27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2.75" customHeight="1">
      <c r="A11" s="25"/>
      <c r="B11" s="26"/>
      <c r="C11" s="26"/>
      <c r="D11" s="26"/>
      <c r="E11" s="26"/>
      <c r="F11" s="26"/>
      <c r="G11" s="26"/>
      <c r="H11" s="26"/>
      <c r="I11" s="26"/>
      <c r="J11" s="27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2.75" customHeight="1">
      <c r="A12" s="25"/>
      <c r="B12" s="26"/>
      <c r="C12" s="26"/>
      <c r="D12" s="26"/>
      <c r="E12" s="26"/>
      <c r="F12" s="26"/>
      <c r="G12" s="26"/>
      <c r="H12" s="26"/>
      <c r="I12" s="26"/>
      <c r="J12" s="27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2.75" customHeight="1">
      <c r="A13" s="25"/>
      <c r="B13" s="26"/>
      <c r="C13" s="26"/>
      <c r="D13" s="26"/>
      <c r="E13" s="26"/>
      <c r="F13" s="26"/>
      <c r="G13" s="26"/>
      <c r="H13" s="26"/>
      <c r="I13" s="26"/>
      <c r="J13" s="27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2.75" customHeight="1">
      <c r="A14" s="25"/>
      <c r="B14" s="26"/>
      <c r="C14" s="26"/>
      <c r="D14" s="26"/>
      <c r="E14" s="26"/>
      <c r="F14" s="26"/>
      <c r="G14" s="26"/>
      <c r="H14" s="26"/>
      <c r="I14" s="26"/>
      <c r="J14" s="27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2.75" customHeight="1">
      <c r="A15" s="25"/>
      <c r="B15" s="26"/>
      <c r="C15" s="26"/>
      <c r="D15" s="26"/>
      <c r="E15" s="26"/>
      <c r="F15" s="26"/>
      <c r="G15" s="26"/>
      <c r="H15" s="26"/>
      <c r="I15" s="26"/>
      <c r="J15" s="27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2.75" customHeight="1">
      <c r="A16" s="25"/>
      <c r="B16" s="26"/>
      <c r="C16" s="26"/>
      <c r="D16" s="26"/>
      <c r="E16" s="26"/>
      <c r="F16" s="26"/>
      <c r="G16" s="26"/>
      <c r="H16" s="26"/>
      <c r="I16" s="26"/>
      <c r="J16" s="27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2.75" customHeight="1">
      <c r="A17" s="25"/>
      <c r="B17" s="26"/>
      <c r="C17" s="26"/>
      <c r="D17" s="26"/>
      <c r="E17" s="26"/>
      <c r="F17" s="26"/>
      <c r="G17" s="26"/>
      <c r="H17" s="26"/>
      <c r="I17" s="26"/>
      <c r="J17" s="27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2.75" customHeight="1">
      <c r="A18" s="25"/>
      <c r="B18" s="26"/>
      <c r="C18" s="26"/>
      <c r="D18" s="26"/>
      <c r="E18" s="26"/>
      <c r="F18" s="26"/>
      <c r="G18" s="26"/>
      <c r="H18" s="26"/>
      <c r="I18" s="26"/>
      <c r="J18" s="27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2.75" customHeight="1">
      <c r="A19" s="25"/>
      <c r="B19" s="26"/>
      <c r="C19" s="26"/>
      <c r="D19" s="26"/>
      <c r="E19" s="26"/>
      <c r="F19" s="26"/>
      <c r="G19" s="26"/>
      <c r="H19" s="26"/>
      <c r="I19" s="26"/>
      <c r="J19" s="27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2.75" customHeight="1">
      <c r="A20" s="25"/>
      <c r="B20" s="26"/>
      <c r="C20" s="26"/>
      <c r="D20" s="26"/>
      <c r="E20" s="26"/>
      <c r="F20" s="26"/>
      <c r="G20" s="26"/>
      <c r="H20" s="26"/>
      <c r="I20" s="26"/>
      <c r="J20" s="27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2.75" customHeight="1">
      <c r="A21" s="50"/>
      <c r="B21" s="51"/>
      <c r="C21" s="51"/>
      <c r="D21" s="51"/>
      <c r="E21" s="51"/>
      <c r="F21" s="51"/>
      <c r="G21" s="51"/>
      <c r="H21" s="51"/>
      <c r="I21" s="51"/>
      <c r="J21" s="52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2.75" customHeight="1">
      <c r="A22" s="53"/>
      <c r="B22" s="47"/>
      <c r="C22" s="47"/>
      <c r="D22" s="47"/>
      <c r="E22" s="47"/>
      <c r="F22" s="47"/>
      <c r="G22" s="47"/>
      <c r="H22" s="47"/>
      <c r="I22" s="47"/>
      <c r="J22" s="52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2.75" customHeight="1">
      <c r="A23" s="53"/>
      <c r="B23" s="47"/>
      <c r="C23" s="47"/>
      <c r="D23" s="47"/>
      <c r="E23" s="47"/>
      <c r="F23" s="47"/>
      <c r="G23" s="47"/>
      <c r="H23" s="47"/>
      <c r="I23" s="47"/>
      <c r="J23" s="52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2.75" customHeight="1">
      <c r="A24" s="53"/>
      <c r="B24" s="47"/>
      <c r="C24" s="47"/>
      <c r="D24" s="47"/>
      <c r="E24" s="47"/>
      <c r="F24" s="47"/>
      <c r="G24" s="47"/>
      <c r="H24" s="47"/>
      <c r="I24" s="47"/>
      <c r="J24" s="52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2.75" customHeight="1">
      <c r="A25" s="53"/>
      <c r="B25" s="51"/>
      <c r="C25" s="51"/>
      <c r="D25" s="51"/>
      <c r="E25" s="51"/>
      <c r="F25" s="51"/>
      <c r="G25" s="51"/>
      <c r="H25" s="51"/>
      <c r="I25" s="51"/>
      <c r="J25" s="52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2.75" customHeight="1">
      <c r="A26" s="671"/>
      <c r="B26" s="672"/>
      <c r="C26" s="672"/>
      <c r="D26" s="672"/>
      <c r="E26" s="672"/>
      <c r="F26" s="672"/>
      <c r="G26" s="672"/>
      <c r="H26" s="672"/>
      <c r="I26" s="672"/>
      <c r="J26" s="67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2.75" customHeight="1">
      <c r="A27" s="674"/>
      <c r="B27" s="672"/>
      <c r="C27" s="672"/>
      <c r="D27" s="672"/>
      <c r="E27" s="672"/>
      <c r="F27" s="672"/>
      <c r="G27" s="672"/>
      <c r="H27" s="672"/>
      <c r="I27" s="672"/>
      <c r="J27" s="67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2.75" customHeight="1">
      <c r="A28" s="25"/>
      <c r="B28" s="26"/>
      <c r="C28" s="26"/>
      <c r="D28" s="26"/>
      <c r="E28" s="26"/>
      <c r="F28" s="26"/>
      <c r="G28" s="26"/>
      <c r="H28" s="26"/>
      <c r="I28" s="26"/>
      <c r="J28" s="27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2.75" customHeight="1">
      <c r="A29" s="25"/>
      <c r="B29" s="26"/>
      <c r="C29" s="26"/>
      <c r="D29" s="26"/>
      <c r="E29" s="26"/>
      <c r="F29" s="26"/>
      <c r="G29" s="26"/>
      <c r="H29" s="26"/>
      <c r="I29" s="26"/>
      <c r="J29" s="27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2.75" customHeight="1">
      <c r="A30" s="25"/>
      <c r="B30" s="26"/>
      <c r="C30" s="26"/>
      <c r="D30" s="26"/>
      <c r="E30" s="26"/>
      <c r="F30" s="26"/>
      <c r="G30" s="26"/>
      <c r="H30" s="26"/>
      <c r="I30" s="26"/>
      <c r="J30" s="27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2.75" customHeight="1">
      <c r="A31" s="25"/>
      <c r="B31" s="26"/>
      <c r="C31" s="26"/>
      <c r="D31" s="26"/>
      <c r="E31" s="26"/>
      <c r="F31" s="26"/>
      <c r="G31" s="26"/>
      <c r="H31" s="26"/>
      <c r="I31" s="26"/>
      <c r="J31" s="27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2.75" customHeight="1">
      <c r="A32" s="25"/>
      <c r="B32" s="26"/>
      <c r="C32" s="26"/>
      <c r="D32" s="26"/>
      <c r="E32" s="26"/>
      <c r="F32" s="26"/>
      <c r="G32" s="26"/>
      <c r="H32" s="26"/>
      <c r="I32" s="26"/>
      <c r="J32" s="27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2.75" customHeight="1">
      <c r="A33" s="25"/>
      <c r="B33" s="26"/>
      <c r="C33" s="26"/>
      <c r="D33" s="26"/>
      <c r="E33" s="26"/>
      <c r="F33" s="26"/>
      <c r="G33" s="26"/>
      <c r="H33" s="26"/>
      <c r="I33" s="26"/>
      <c r="J33" s="27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2.75" customHeight="1">
      <c r="A34" s="25"/>
      <c r="B34" s="26"/>
      <c r="C34" s="26"/>
      <c r="D34" s="26"/>
      <c r="E34" s="26"/>
      <c r="F34" s="26"/>
      <c r="G34" s="26"/>
      <c r="H34" s="26"/>
      <c r="I34" s="26"/>
      <c r="J34" s="27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2.75" customHeight="1">
      <c r="A35" s="25"/>
      <c r="B35" s="26"/>
      <c r="C35" s="26"/>
      <c r="D35" s="26"/>
      <c r="E35" s="26"/>
      <c r="F35" s="26"/>
      <c r="G35" s="26"/>
      <c r="H35" s="26"/>
      <c r="I35" s="26"/>
      <c r="J35" s="27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2.75" customHeight="1">
      <c r="A36" s="675" t="s">
        <v>654</v>
      </c>
      <c r="B36" s="676"/>
      <c r="C36" s="676"/>
      <c r="D36" s="676"/>
      <c r="E36" s="676"/>
      <c r="F36" s="676"/>
      <c r="G36" s="676"/>
      <c r="H36" s="676"/>
      <c r="I36" s="676"/>
      <c r="J36" s="677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2.75" customHeight="1">
      <c r="A37" s="678"/>
      <c r="B37" s="676"/>
      <c r="C37" s="676"/>
      <c r="D37" s="676"/>
      <c r="E37" s="676"/>
      <c r="F37" s="676"/>
      <c r="G37" s="676"/>
      <c r="H37" s="676"/>
      <c r="I37" s="676"/>
      <c r="J37" s="677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2.75" customHeight="1">
      <c r="A38" s="25"/>
      <c r="B38" s="26"/>
      <c r="C38" s="26"/>
      <c r="D38" s="26"/>
      <c r="E38" s="26"/>
      <c r="F38" s="26"/>
      <c r="G38" s="26"/>
      <c r="H38" s="26"/>
      <c r="I38" s="26"/>
      <c r="J38" s="27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2.75" customHeight="1">
      <c r="A39" s="25"/>
      <c r="B39" s="26"/>
      <c r="C39" s="26"/>
      <c r="D39" s="26"/>
      <c r="E39" s="26"/>
      <c r="F39" s="26"/>
      <c r="G39" s="26"/>
      <c r="H39" s="26"/>
      <c r="I39" s="26"/>
      <c r="J39" s="27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2.75" customHeight="1">
      <c r="A40" s="25"/>
      <c r="B40" s="26"/>
      <c r="C40" s="26"/>
      <c r="D40" s="26"/>
      <c r="E40" s="26"/>
      <c r="F40" s="26"/>
      <c r="G40" s="26"/>
      <c r="H40" s="26"/>
      <c r="I40" s="26"/>
      <c r="J40" s="27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2.75" customHeight="1">
      <c r="A41" s="25"/>
      <c r="B41" s="26"/>
      <c r="C41" s="26"/>
      <c r="D41" s="26"/>
      <c r="E41" s="26"/>
      <c r="F41" s="26"/>
      <c r="G41" s="26"/>
      <c r="H41" s="26"/>
      <c r="I41" s="26"/>
      <c r="J41" s="27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2.75" customHeight="1">
      <c r="A42" s="25"/>
      <c r="B42" s="26"/>
      <c r="C42" s="26"/>
      <c r="D42" s="26"/>
      <c r="E42" s="26"/>
      <c r="F42" s="26"/>
      <c r="G42" s="26"/>
      <c r="H42" s="26"/>
      <c r="I42" s="26"/>
      <c r="J42" s="27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2.75" customHeight="1">
      <c r="A43" s="25"/>
      <c r="B43" s="26"/>
      <c r="C43" s="26"/>
      <c r="D43" s="26"/>
      <c r="E43" s="26"/>
      <c r="F43" s="26"/>
      <c r="G43" s="26"/>
      <c r="H43" s="26"/>
      <c r="I43" s="26"/>
      <c r="J43" s="27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2.75" customHeight="1">
      <c r="A44" s="25"/>
      <c r="B44" s="26"/>
      <c r="C44" s="26"/>
      <c r="D44" s="26"/>
      <c r="E44" s="26"/>
      <c r="F44" s="26"/>
      <c r="G44" s="26"/>
      <c r="H44" s="26"/>
      <c r="I44" s="26"/>
      <c r="J44" s="27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2.75" customHeight="1">
      <c r="A45" s="25"/>
      <c r="B45" s="26"/>
      <c r="C45" s="26"/>
      <c r="D45" s="26"/>
      <c r="E45" s="26"/>
      <c r="F45" s="26"/>
      <c r="G45" s="26"/>
      <c r="H45" s="26"/>
      <c r="I45" s="26"/>
      <c r="J45" s="27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2.75" customHeight="1">
      <c r="A46" s="25"/>
      <c r="B46" s="26"/>
      <c r="C46" s="26"/>
      <c r="D46" s="26"/>
      <c r="E46" s="26"/>
      <c r="F46" s="26"/>
      <c r="G46" s="26"/>
      <c r="H46" s="26"/>
      <c r="I46" s="26"/>
      <c r="J46" s="27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2.75" customHeight="1">
      <c r="A47" s="25"/>
      <c r="B47" s="26"/>
      <c r="C47" s="26"/>
      <c r="D47" s="26"/>
      <c r="E47" s="26"/>
      <c r="F47" s="26"/>
      <c r="G47" s="26"/>
      <c r="H47" s="26"/>
      <c r="I47" s="26"/>
      <c r="J47" s="27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2.75" customHeight="1">
      <c r="A48" s="25"/>
      <c r="B48" s="26"/>
      <c r="C48" s="26"/>
      <c r="D48" s="26"/>
      <c r="E48" s="26"/>
      <c r="F48" s="26"/>
      <c r="G48" s="26"/>
      <c r="H48" s="26"/>
      <c r="I48" s="26"/>
      <c r="J48" s="27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2.75" customHeight="1">
      <c r="A49" s="25"/>
      <c r="B49" s="26"/>
      <c r="C49" s="26"/>
      <c r="D49" s="26"/>
      <c r="E49" s="26"/>
      <c r="F49" s="26"/>
      <c r="G49" s="26"/>
      <c r="H49" s="26"/>
      <c r="I49" s="26"/>
      <c r="J49" s="27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2.75" customHeight="1">
      <c r="A50" s="25"/>
      <c r="B50" s="26"/>
      <c r="C50" s="26"/>
      <c r="D50" s="26"/>
      <c r="E50" s="26"/>
      <c r="F50" s="26"/>
      <c r="G50" s="26"/>
      <c r="H50" s="26"/>
      <c r="I50" s="26"/>
      <c r="J50" s="27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2.75" customHeight="1">
      <c r="A51" s="25"/>
      <c r="B51" s="26"/>
      <c r="C51" s="26"/>
      <c r="D51" s="26"/>
      <c r="E51" s="26"/>
      <c r="F51" s="26"/>
      <c r="G51" s="26"/>
      <c r="H51" s="26"/>
      <c r="I51" s="26"/>
      <c r="J51" s="27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2.75" customHeight="1">
      <c r="A52" s="25"/>
      <c r="B52" s="26"/>
      <c r="C52" s="26"/>
      <c r="D52" s="26"/>
      <c r="E52" s="26"/>
      <c r="F52" s="26"/>
      <c r="G52" s="26"/>
      <c r="H52" s="26"/>
      <c r="I52" s="26"/>
      <c r="J52" s="27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2.75" customHeight="1">
      <c r="A53" s="25"/>
      <c r="B53" s="26"/>
      <c r="C53" s="26"/>
      <c r="D53" s="26"/>
      <c r="E53" s="26"/>
      <c r="F53" s="26"/>
      <c r="G53" s="26"/>
      <c r="H53" s="26"/>
      <c r="I53" s="26"/>
      <c r="J53" s="27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2.75" customHeight="1">
      <c r="A54" s="25"/>
      <c r="B54" s="26"/>
      <c r="C54" s="26"/>
      <c r="D54" s="26"/>
      <c r="E54" s="26"/>
      <c r="F54" s="26"/>
      <c r="G54" s="26"/>
      <c r="H54" s="26"/>
      <c r="I54" s="26"/>
      <c r="J54" s="27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2.75" customHeight="1">
      <c r="A55" s="25"/>
      <c r="B55" s="26"/>
      <c r="C55" s="26"/>
      <c r="D55" s="26"/>
      <c r="E55" s="26"/>
      <c r="F55" s="26"/>
      <c r="G55" s="26"/>
      <c r="H55" s="26"/>
      <c r="I55" s="26"/>
      <c r="J55" s="27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2.75" customHeight="1">
      <c r="A56" s="25"/>
      <c r="B56" s="26"/>
      <c r="C56" s="26"/>
      <c r="D56" s="26"/>
      <c r="E56" s="26"/>
      <c r="F56" s="26"/>
      <c r="G56" s="26"/>
      <c r="H56" s="26"/>
      <c r="I56" s="26"/>
      <c r="J56" s="27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2.75" customHeight="1">
      <c r="A57" s="675" t="s">
        <v>652</v>
      </c>
      <c r="B57" s="676"/>
      <c r="C57" s="676"/>
      <c r="D57" s="676"/>
      <c r="E57" s="676"/>
      <c r="F57" s="676"/>
      <c r="G57" s="676"/>
      <c r="H57" s="676"/>
      <c r="I57" s="676"/>
      <c r="J57" s="677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2.75" customHeight="1">
      <c r="A58" s="678"/>
      <c r="B58" s="676"/>
      <c r="C58" s="676"/>
      <c r="D58" s="676"/>
      <c r="E58" s="676"/>
      <c r="F58" s="676"/>
      <c r="G58" s="676"/>
      <c r="H58" s="676"/>
      <c r="I58" s="676"/>
      <c r="J58" s="677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3.5" customHeight="1" thickBot="1">
      <c r="A59" s="28"/>
      <c r="B59" s="29"/>
      <c r="C59" s="29"/>
      <c r="D59" s="29"/>
      <c r="E59" s="29"/>
      <c r="F59" s="29"/>
      <c r="G59" s="29"/>
      <c r="H59" s="29"/>
      <c r="I59" s="29"/>
      <c r="J59" s="30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2.7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2.7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2.7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2.7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2.7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2.7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2.7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2.7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2.7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2.7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2.7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2.7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2.7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2.7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2.7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2.7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2.7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2.7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2.7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2.7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2.7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2.7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2.7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2.7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2.7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2.7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2.7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2.7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2.7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2.7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2.7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2.7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2.7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2.7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2.7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2.7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2.7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2.7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2.7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2.7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2.7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2.7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2.7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2.7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2.7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2.7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2.7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2.7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2.7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2.7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2.7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2.7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2.7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2.7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2.7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2.7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2.7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2.7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2.7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2.7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2.7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2.7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2.7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2.7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2.7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2.7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2.7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2.7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2.7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2.7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2.7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2.7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2.7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2.7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2.7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2.7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2.7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2.7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2.7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2.7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 ht="12.7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 ht="12.7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 ht="12.7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2.7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2.7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2.7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2.7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2.7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2.7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2.7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2.7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2.7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2.7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2.7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2.7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2.7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2.7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2.7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2.7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2.7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2.7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2.7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2.7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2.7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2.7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2.7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2.7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2.7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2.7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2.7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2.7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2.7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2.7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2.7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2.7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2.7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2.7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2.7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2.7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2.7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2.7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2.7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2.7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2.7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2.7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2.7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2.7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2.7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2.7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2.7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2.7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2.7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2.7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2.7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2.7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2.7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2.7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2.7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2.7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2.7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2.7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2.7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2.7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2.7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2.7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2.7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2.7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2.7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2.7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2.7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2.7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2.7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2.7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2.7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2.7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2.7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2.7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2.7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2.7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2.7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2.7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2.7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2.7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2.7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2.7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2.7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2.7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2.7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2.7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2.7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2.7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2.7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2.7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2.7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2.7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2.7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2.7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2.7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2.7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2.7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2.7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2.7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2.7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2.7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2.7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2.7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2.7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2.7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2.7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2.7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2.7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2.7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2.7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2.7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2.7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2.7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2.7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2.7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2.7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2.7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2.7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2.7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2.7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2.7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2.7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2.7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2.7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2.7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2.7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2.7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2.7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2.7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2.7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2.7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2.7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2.7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2.7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2.7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2.7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2.7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2.7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2.7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2.7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2.7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2.7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2.7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2.7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2.7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2.7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2.7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2.7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2.7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2.7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2.7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2.7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2.7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2.7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2.7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2.7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2.7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2.7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2.7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2.7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2.7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2.7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2.7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2.7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2.7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2.7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2.7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2.7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2.7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2.7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2.7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2.7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2.7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2.7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2.7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2.7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2.7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2.7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2.7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2.7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2.7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2.7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2.7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2.7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2.7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2.7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2.7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2.7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2.7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2.7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2.7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2.7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2.7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2.7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2.7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2.7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2.7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2.7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2.7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2.7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2.7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2.7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2.7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2.7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2.7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2.7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2.7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2.7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2.7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2.7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2.7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2.7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2.7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2.7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2.7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2.7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2.7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2.7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2.7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2.7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2.7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2.7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2.7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2.7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2.7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2.7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2.7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2.7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2.7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2.7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2.7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2.7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2.7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2.7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2.7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2.7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2.7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2.7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2.7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2.7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2.7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2.7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2.7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2.7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2.7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2.7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2.7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2.7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2.7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2.7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2.7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2.7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2.7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2.7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2.7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2.7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2.7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2.7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2.7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2.7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2.7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2.7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2.7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2.7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2.7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2.7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2.7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2.7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2.7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2.7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2.7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2.7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2.7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2.7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2.7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2.7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2.7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2.7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2.7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2.7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2.7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2.7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2.7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2.7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2.7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2.7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2.7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2.7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2.7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2.7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2.7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2.7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2.7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2.7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2.7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2.7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2.7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2.7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2.7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2.7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2.7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2.7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2.7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2.7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2.7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2.7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2.7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2.7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2.7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2.7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2.7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2.7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2.7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2.7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2.7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2.7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2.7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2.7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2.7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2.7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2.7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2.7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2.7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2.7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2.7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2.7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2.7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2.7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2.7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2.7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2.7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2.7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2.7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2.7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2.7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2.7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2.7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2.7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2.7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2.7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2.7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2.7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2.7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2.7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2.7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2.7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2.7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2.7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2.7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2.7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2.7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2.7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2.7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2.7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2.7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2.7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2.7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2.7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2.7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2.7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2.7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2.7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2.7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2.7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2.7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2.7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2.7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2.7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2.7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2.7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2.7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2.7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2.7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2.7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2.7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2.7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2.7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2.7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2.7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2.7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2.7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2.7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2.7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2.7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2.7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2.7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2.7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2.7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2.7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2.7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2.7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2.7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2.7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2.7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2.7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2.7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2.7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2.7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2.7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2.7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2.7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2.7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2.7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2.7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2.7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2.7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2.7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2.7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2.7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2.7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2.7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2.7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2.7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2.7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2.7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2.7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2.7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2.7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2.7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2.7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2.7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2.7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2.7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2.7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2.7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2.7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2.7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2.7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2.7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2.7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2.7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2.7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2.7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2.7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2.7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2.7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2.7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2.7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2.7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2.7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2.7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2.7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2.7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2.7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2.7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2.7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2.7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2.7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2.7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2.7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2.7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2.7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2.7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2.7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2.7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2.7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2.7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2.7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2.7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2.7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2.7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2.7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2.75" customHeight="1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2.75" customHeight="1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2.75" customHeight="1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2.75" customHeight="1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2.75" customHeight="1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2.75" customHeight="1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2.75" customHeight="1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2.75" customHeight="1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2.75" customHeight="1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2.75" customHeight="1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2.75" customHeight="1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2.75" customHeight="1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2.75" customHeight="1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2.75" customHeight="1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2.75" customHeight="1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2.75" customHeight="1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2.75" customHeight="1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2.75" customHeight="1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2.75" customHeight="1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2.75" customHeight="1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2.75" customHeight="1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2.75" customHeight="1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2.75" customHeight="1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2.75" customHeight="1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2.75" customHeight="1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2.75" customHeight="1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2.75" customHeight="1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2.75" customHeight="1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2.75" customHeight="1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2.75" customHeight="1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2.75" customHeight="1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2.75" customHeight="1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2.75" customHeight="1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2.75" customHeight="1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2.75" customHeight="1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2.75" customHeight="1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2.75" customHeight="1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2.75" customHeight="1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2.75" customHeight="1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2.75" customHeight="1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2.75" customHeight="1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2.75" customHeight="1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2.75" customHeight="1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2.75" customHeight="1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2.75" customHeight="1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2.75" customHeight="1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2.75" customHeight="1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2.75" customHeight="1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2.75" customHeight="1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2.75" customHeight="1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2.75" customHeight="1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2.75" customHeight="1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2.75" customHeight="1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2.75" customHeight="1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2.75" customHeight="1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2.75" customHeight="1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2.75" customHeight="1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2.75" customHeight="1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2.75" customHeight="1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2.75" customHeight="1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2.75" customHeight="1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2.75" customHeight="1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2.75" customHeight="1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2.75" customHeight="1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2.75" customHeight="1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2.75" customHeight="1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2.75" customHeight="1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2.75" customHeight="1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2.75" customHeight="1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2.75" customHeight="1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2.75" customHeight="1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2.75" customHeight="1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2.75" customHeight="1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2.75" customHeight="1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2.75" customHeight="1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2.75" customHeight="1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2.75" customHeight="1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2.75" customHeight="1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2.75" customHeight="1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2.75" customHeight="1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2.75" customHeight="1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2.75" customHeight="1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2.75" customHeight="1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2.75" customHeight="1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2.75" customHeight="1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2.75" customHeight="1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2.75" customHeight="1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2.75" customHeight="1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2.75" customHeight="1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2.75" customHeight="1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2.75" customHeight="1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2.75" customHeight="1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2.75" customHeight="1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2.75" customHeight="1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2.75" customHeight="1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2.75" customHeight="1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2.75" customHeight="1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2.75" customHeight="1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2.75" customHeight="1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2.75" customHeight="1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2.75" customHeight="1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2.75" customHeight="1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2.75" customHeight="1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2.75" customHeight="1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2.75" customHeight="1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2.75" customHeight="1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2.75" customHeight="1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2.75" customHeight="1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2.75" customHeight="1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2.75" customHeight="1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2.75" customHeight="1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2.75" customHeight="1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2.75" customHeight="1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2.75" customHeight="1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2.75" customHeight="1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2.75" customHeight="1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2.75" customHeight="1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2.75" customHeight="1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2.75" customHeight="1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2.75" customHeight="1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2.75" customHeight="1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2.75" customHeight="1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2.75" customHeight="1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2.75" customHeight="1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2.75" customHeight="1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2.75" customHeight="1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2.75" customHeight="1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2.75" customHeight="1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2.75" customHeight="1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2.75" customHeight="1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2.75" customHeight="1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2.75" customHeight="1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2.75" customHeight="1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2.75" customHeight="1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2.75" customHeight="1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2.75" customHeight="1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2.75" customHeight="1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2.75" customHeight="1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2.75" customHeight="1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2.75" customHeight="1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2.75" customHeight="1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2.75" customHeight="1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2.75" customHeight="1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2.75" customHeight="1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2.75" customHeight="1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2.75" customHeight="1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2.75" customHeight="1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2.75" customHeight="1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2.75" customHeight="1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2.75" customHeight="1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2.75" customHeight="1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2.75" customHeight="1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2.75" customHeight="1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2.75" customHeight="1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2.75" customHeight="1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2.75" customHeight="1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2.75" customHeight="1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2.75" customHeight="1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2.75" customHeight="1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2.75" customHeight="1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2.75" customHeight="1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2.75" customHeight="1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2.75" customHeight="1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2.75" customHeight="1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2.75" customHeight="1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2.75" customHeight="1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2.75" customHeight="1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2.75" customHeight="1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2.75" customHeight="1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2.75" customHeight="1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2.75" customHeight="1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2.75" customHeight="1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2.75" customHeight="1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2.75" customHeight="1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2.75" customHeight="1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2.75" customHeight="1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2.75" customHeight="1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2.75" customHeight="1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2.75" customHeight="1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2.75" customHeight="1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2.75" customHeight="1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2.75" customHeight="1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2.75" customHeight="1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2.75" customHeight="1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2.75" customHeight="1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2.75" customHeight="1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2.75" customHeight="1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2.75" customHeight="1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2.75" customHeight="1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2.75" customHeight="1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2.75" customHeight="1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2.75" customHeight="1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2.75" customHeight="1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2.75" customHeight="1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2.75" customHeight="1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2.75" customHeight="1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2.75" customHeight="1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2.75" customHeight="1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2.75" customHeight="1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2.75" customHeight="1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2.75" customHeight="1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2.75" customHeight="1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2.75" customHeight="1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2.75" customHeight="1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2.75" customHeight="1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2.75" customHeight="1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2.75" customHeight="1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2.75" customHeight="1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2.75" customHeight="1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2.75" customHeight="1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2.75" customHeight="1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2.75" customHeight="1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2.75" customHeight="1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2.75" customHeight="1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2.75" customHeight="1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2.75" customHeight="1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2.75" customHeight="1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2.75" customHeight="1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2.75" customHeight="1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2.75" customHeight="1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2.75" customHeight="1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2.75" customHeight="1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2.75" customHeight="1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2.75" customHeight="1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2.75" customHeight="1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2.75" customHeight="1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2.75" customHeight="1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2.75" customHeight="1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2.75" customHeight="1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2.75" customHeight="1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2.75" customHeight="1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2.75" customHeight="1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2.75" customHeight="1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2.75" customHeight="1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2.75" customHeight="1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2.75" customHeight="1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2.75" customHeight="1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2.75" customHeight="1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2.75" customHeight="1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2.75" customHeight="1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2.75" customHeight="1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2.75" customHeight="1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2.75" customHeight="1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2.75" customHeight="1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2.75" customHeight="1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2.75" customHeight="1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2.75" customHeight="1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2.75" customHeight="1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2.75" customHeight="1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2.75" customHeight="1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2.75" customHeight="1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2.75" customHeight="1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2.75" customHeight="1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2.75" customHeight="1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2.75" customHeight="1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2.75" customHeight="1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2.75" customHeight="1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2.75" customHeight="1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2.75" customHeight="1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2.75" customHeight="1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2.75" customHeight="1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2.75" customHeight="1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2.75" customHeight="1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2.75" customHeight="1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2.75" customHeight="1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2.75" customHeight="1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2.75" customHeight="1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2.75" customHeight="1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2.75" customHeight="1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2.75" customHeight="1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2.75" customHeight="1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2.75" customHeight="1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2.75" customHeight="1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2.75" customHeight="1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2.75" customHeight="1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2.75" customHeight="1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2.75" customHeight="1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2.75" customHeight="1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2.75" customHeight="1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2.75" customHeight="1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2.75" customHeight="1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2.75" customHeight="1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2.75" customHeight="1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2.75" customHeight="1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2.75" customHeight="1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2.75" customHeight="1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2.75" customHeight="1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2.75" customHeight="1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2.75" customHeight="1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2.75" customHeight="1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2.75" customHeight="1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2.75" customHeight="1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2.75" customHeight="1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2.75" customHeight="1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2.75" customHeight="1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2.75" customHeight="1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2.75" customHeight="1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2.75" customHeight="1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2.75" customHeight="1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2.75" customHeight="1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2.75" customHeight="1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2.75" customHeight="1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2.75" customHeight="1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2.75" customHeight="1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2.75" customHeight="1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2.75" customHeight="1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2.75" customHeight="1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2.75" customHeight="1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2.75" customHeight="1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2.75" customHeight="1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2.75" customHeight="1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2.75" customHeight="1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2.75" customHeight="1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2.75" customHeight="1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2.75" customHeight="1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2.75" customHeight="1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2.75" customHeight="1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2.75" customHeight="1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2.75" customHeight="1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2.75" customHeight="1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2.75" customHeight="1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2.75" customHeight="1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2.75" customHeight="1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2.75" customHeight="1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2.75" customHeight="1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2.75" customHeight="1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2.75" customHeight="1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2.75" customHeight="1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2.75" customHeight="1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2.75" customHeight="1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2.75" customHeight="1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2.75" customHeight="1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2.75" customHeight="1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2.75" customHeight="1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2.75" customHeight="1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2.75" customHeight="1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2.75" customHeight="1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2.75" customHeight="1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2.75" customHeight="1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2.75" customHeight="1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2.75" customHeight="1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2.75" customHeight="1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2.75" customHeight="1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2.75" customHeight="1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2.75" customHeight="1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2.75" customHeight="1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2.75" customHeight="1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2.75" customHeight="1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2.75" customHeight="1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2.75" customHeight="1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2.75" customHeight="1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2.75" customHeight="1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2.75" customHeight="1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2.75" customHeight="1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2.75" customHeight="1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2.75" customHeight="1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2.75" customHeight="1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2.75" customHeight="1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2.75" customHeight="1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2.75" customHeight="1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2.75" customHeight="1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2.75" customHeight="1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2.75" customHeight="1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2.75" customHeight="1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2.75" customHeight="1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2.75" customHeight="1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2.75" customHeight="1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2.75" customHeight="1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2.75" customHeight="1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2.75" customHeight="1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2.75" customHeight="1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2.75" customHeight="1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2.75" customHeight="1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2.75" customHeight="1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2.75" customHeight="1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2.75" customHeight="1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2.75" customHeight="1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2.75" customHeight="1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2.75" customHeight="1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2.75" customHeight="1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2.75" customHeight="1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2.75" customHeight="1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2.75" customHeight="1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2.75" customHeight="1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2.75" customHeight="1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2.75" customHeight="1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2.75" customHeight="1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2.75" customHeight="1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2.75" customHeight="1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2.75" customHeight="1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2.75" customHeight="1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2.75" customHeight="1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2.75" customHeight="1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2.75" customHeight="1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2.75" customHeight="1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2.75" customHeight="1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</sheetData>
  <mergeCells count="4">
    <mergeCell ref="A7:J7"/>
    <mergeCell ref="A26:J27"/>
    <mergeCell ref="A36:J37"/>
    <mergeCell ref="A57:J58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00B050"/>
  </sheetPr>
  <dimension ref="A1:T89"/>
  <sheetViews>
    <sheetView tabSelected="1" topLeftCell="K13" workbookViewId="0">
      <selection activeCell="R16" sqref="R16"/>
    </sheetView>
  </sheetViews>
  <sheetFormatPr defaultRowHeight="15"/>
  <cols>
    <col min="1" max="1" width="18.140625" customWidth="1"/>
    <col min="2" max="2" width="9.85546875" customWidth="1"/>
    <col min="3" max="3" width="10.85546875" style="182" customWidth="1"/>
    <col min="4" max="4" width="7.85546875" customWidth="1"/>
    <col min="5" max="5" width="25.85546875" style="199" customWidth="1"/>
    <col min="6" max="6" width="5.42578125" style="182" customWidth="1"/>
    <col min="7" max="7" width="8.85546875" style="182" customWidth="1"/>
    <col min="8" max="8" width="10" style="200" customWidth="1"/>
    <col min="9" max="9" width="11.85546875" style="200" customWidth="1"/>
    <col min="10" max="10" width="13.85546875" style="200" bestFit="1" customWidth="1"/>
    <col min="11" max="11" width="17.85546875" style="200" customWidth="1"/>
    <col min="12" max="12" width="19.42578125" style="200" customWidth="1"/>
    <col min="13" max="13" width="19.7109375" customWidth="1"/>
    <col min="14" max="14" width="30.42578125" customWidth="1"/>
    <col min="15" max="15" width="10.7109375" bestFit="1" customWidth="1"/>
    <col min="16" max="16" width="10.140625" bestFit="1" customWidth="1"/>
    <col min="17" max="17" width="16.140625" bestFit="1" customWidth="1"/>
    <col min="18" max="20" width="17.140625" bestFit="1" customWidth="1"/>
  </cols>
  <sheetData>
    <row r="1" spans="1:20" ht="18.75" customHeight="1">
      <c r="A1" s="1066" t="s">
        <v>530</v>
      </c>
      <c r="B1" s="1066"/>
      <c r="C1" s="1066"/>
      <c r="D1" s="1066"/>
      <c r="E1" s="1066"/>
      <c r="F1" s="1066"/>
      <c r="G1" s="1066"/>
      <c r="H1" s="1066"/>
      <c r="I1" s="1066"/>
      <c r="J1" s="1066"/>
      <c r="K1" s="1066"/>
      <c r="L1" s="1066"/>
      <c r="M1" s="1066"/>
    </row>
    <row r="2" spans="1:20" ht="18.75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550">
        <v>1</v>
      </c>
    </row>
    <row r="3" spans="1:20" ht="15.75" thickBot="1"/>
    <row r="4" spans="1:20" ht="48.75" thickBot="1">
      <c r="A4" s="201" t="s">
        <v>531</v>
      </c>
      <c r="B4" s="202" t="s">
        <v>532</v>
      </c>
      <c r="C4" s="203" t="s">
        <v>253</v>
      </c>
      <c r="D4" s="204" t="s">
        <v>533</v>
      </c>
      <c r="E4" s="205" t="s">
        <v>534</v>
      </c>
      <c r="F4" s="205" t="s">
        <v>535</v>
      </c>
      <c r="G4" s="205" t="s">
        <v>536</v>
      </c>
      <c r="H4" s="206" t="s">
        <v>537</v>
      </c>
      <c r="I4" s="207" t="s">
        <v>538</v>
      </c>
      <c r="J4" s="208" t="s">
        <v>539</v>
      </c>
      <c r="K4" s="209" t="s">
        <v>540</v>
      </c>
      <c r="L4" s="209" t="s">
        <v>541</v>
      </c>
      <c r="M4" s="209" t="s">
        <v>618</v>
      </c>
      <c r="N4" s="380" t="s">
        <v>135</v>
      </c>
      <c r="O4" s="381" t="s">
        <v>542</v>
      </c>
      <c r="P4" s="382" t="s">
        <v>543</v>
      </c>
      <c r="Q4" s="383" t="s">
        <v>540</v>
      </c>
      <c r="R4" s="383" t="s">
        <v>544</v>
      </c>
      <c r="S4" s="383" t="s">
        <v>545</v>
      </c>
      <c r="T4" s="383" t="s">
        <v>546</v>
      </c>
    </row>
    <row r="5" spans="1:20" ht="15.75" thickBot="1">
      <c r="A5" s="1079" t="s">
        <v>617</v>
      </c>
      <c r="B5" s="1122" t="s">
        <v>547</v>
      </c>
      <c r="C5" s="214" t="s">
        <v>608</v>
      </c>
      <c r="D5" s="215" t="s">
        <v>222</v>
      </c>
      <c r="E5" s="216" t="s">
        <v>219</v>
      </c>
      <c r="F5" s="368">
        <f>'Consolidado Mão de Obra'!B19</f>
        <v>4</v>
      </c>
      <c r="G5" s="218">
        <v>44</v>
      </c>
      <c r="H5" s="219">
        <v>1103</v>
      </c>
      <c r="I5" s="220">
        <f>H5</f>
        <v>1103</v>
      </c>
      <c r="J5" s="213">
        <f>'Consolidado Mão de Obra'!D19</f>
        <v>2948.81</v>
      </c>
      <c r="K5" s="515">
        <f>J5*F5</f>
        <v>11795.24</v>
      </c>
      <c r="L5" s="516">
        <f>K5*12</f>
        <v>141542.88</v>
      </c>
      <c r="M5" s="516">
        <f>K5*36</f>
        <v>424628.64</v>
      </c>
      <c r="N5" s="398"/>
      <c r="O5" s="399"/>
      <c r="P5" s="400"/>
      <c r="Q5" s="401"/>
      <c r="R5" s="401"/>
      <c r="S5" s="401"/>
      <c r="T5" s="401"/>
    </row>
    <row r="6" spans="1:20">
      <c r="A6" s="1079"/>
      <c r="B6" s="1123"/>
      <c r="C6" s="218" t="s">
        <v>548</v>
      </c>
      <c r="D6" s="221" t="s">
        <v>382</v>
      </c>
      <c r="E6" s="222" t="s">
        <v>384</v>
      </c>
      <c r="F6" s="369">
        <f>'Consolidado Mão de Obra'!B18</f>
        <v>1</v>
      </c>
      <c r="G6" s="218">
        <v>44</v>
      </c>
      <c r="H6" s="219">
        <v>1124</v>
      </c>
      <c r="I6" s="220">
        <f>H6</f>
        <v>1124</v>
      </c>
      <c r="J6" s="224">
        <f>'Consolidado Mão de Obra'!D18</f>
        <v>3138.35</v>
      </c>
      <c r="K6" s="517">
        <f>J6*F6</f>
        <v>3138.35</v>
      </c>
      <c r="L6" s="516">
        <f>K6*12</f>
        <v>37660.199999999997</v>
      </c>
      <c r="M6" s="516">
        <f>K6*36</f>
        <v>112980.59999999999</v>
      </c>
      <c r="N6" s="1125" t="s">
        <v>549</v>
      </c>
      <c r="O6" s="1103">
        <f>'[1]Terceirizados Atuais'!L12</f>
        <v>28</v>
      </c>
      <c r="P6" s="1107">
        <f>SUM(F9,F19,F26:F29,F35,F42,F49)</f>
        <v>19</v>
      </c>
      <c r="Q6" s="1099">
        <f>SUM(K9,K19:K19,K26:K29,K35:K35,K42:K42,K49:K49)</f>
        <v>61093.490000000005</v>
      </c>
      <c r="R6" s="1099">
        <f>SUM(L9,L19:L19,L26:L28,L35:L35,L42:L42,L49:L49)</f>
        <v>695461.68</v>
      </c>
      <c r="S6" s="1099">
        <f>Q6*24</f>
        <v>1466243.7600000002</v>
      </c>
      <c r="T6" s="1099">
        <f>Q6*36</f>
        <v>2199365.64</v>
      </c>
    </row>
    <row r="7" spans="1:20" ht="15.75" thickBot="1">
      <c r="A7" s="1079"/>
      <c r="B7" s="1123"/>
      <c r="C7" s="225" t="s">
        <v>548</v>
      </c>
      <c r="D7" s="221" t="s">
        <v>223</v>
      </c>
      <c r="E7" s="222" t="s">
        <v>220</v>
      </c>
      <c r="F7" s="370">
        <f>'Consolidado Mão de Obra'!B17</f>
        <v>4</v>
      </c>
      <c r="G7" s="218">
        <v>44</v>
      </c>
      <c r="H7" s="219">
        <v>1124</v>
      </c>
      <c r="I7" s="220">
        <f>H7</f>
        <v>1124</v>
      </c>
      <c r="J7" s="226">
        <f>'Consolidado Mão de Obra'!D17</f>
        <v>3005.03</v>
      </c>
      <c r="K7" s="515">
        <f>J7*F7</f>
        <v>12020.12</v>
      </c>
      <c r="L7" s="516">
        <f>K7*12</f>
        <v>144241.44</v>
      </c>
      <c r="M7" s="516">
        <f>K7*36</f>
        <v>432724.32</v>
      </c>
      <c r="N7" s="1126"/>
      <c r="O7" s="1104"/>
      <c r="P7" s="1108"/>
      <c r="Q7" s="1100"/>
      <c r="R7" s="1100"/>
      <c r="S7" s="1100"/>
      <c r="T7" s="1100"/>
    </row>
    <row r="8" spans="1:20" ht="15" customHeight="1" thickBot="1">
      <c r="A8" s="1079"/>
      <c r="B8" s="1124"/>
      <c r="C8" s="227" t="s">
        <v>608</v>
      </c>
      <c r="D8" s="228" t="s">
        <v>141</v>
      </c>
      <c r="E8" s="229" t="s">
        <v>550</v>
      </c>
      <c r="F8" s="371">
        <f>'Consolidado Mão de Obra'!B12</f>
        <v>1</v>
      </c>
      <c r="G8" s="230">
        <v>44</v>
      </c>
      <c r="H8" s="231">
        <v>1640</v>
      </c>
      <c r="I8" s="232">
        <f>H8*1.2</f>
        <v>1968</v>
      </c>
      <c r="J8" s="226">
        <f>'Consolidado Mão de Obra'!D12</f>
        <v>4749.9799999999996</v>
      </c>
      <c r="K8" s="518">
        <f>J8*F8</f>
        <v>4749.9799999999996</v>
      </c>
      <c r="L8" s="519">
        <f>K8*12</f>
        <v>56999.759999999995</v>
      </c>
      <c r="M8" s="516">
        <f>K8*36</f>
        <v>170999.27999999997</v>
      </c>
      <c r="N8" s="402" t="s">
        <v>615</v>
      </c>
      <c r="O8" s="403">
        <f>P6-O6</f>
        <v>-9</v>
      </c>
      <c r="P8" s="406" t="s">
        <v>677</v>
      </c>
      <c r="R8" s="397"/>
      <c r="S8" s="397"/>
      <c r="T8" s="397"/>
    </row>
    <row r="9" spans="1:20" ht="15.75" thickBot="1">
      <c r="A9" s="1079"/>
      <c r="B9" s="1087" t="s">
        <v>552</v>
      </c>
      <c r="C9" s="1088"/>
      <c r="D9" s="1088"/>
      <c r="E9" s="1089"/>
      <c r="F9" s="233">
        <f>SUM(F5:F8)</f>
        <v>10</v>
      </c>
      <c r="G9" s="1090" t="s">
        <v>552</v>
      </c>
      <c r="H9" s="1091"/>
      <c r="I9" s="1091"/>
      <c r="J9" s="1092"/>
      <c r="K9" s="520">
        <f>SUM(K5:K8)</f>
        <v>31703.69</v>
      </c>
      <c r="L9" s="520">
        <f>SUM(L5:L8)</f>
        <v>380444.28</v>
      </c>
      <c r="M9" s="520">
        <f>SUM(M5:M8)</f>
        <v>1141332.8400000001</v>
      </c>
      <c r="N9" s="1101" t="s">
        <v>551</v>
      </c>
      <c r="O9" s="1103">
        <v>43</v>
      </c>
      <c r="P9" s="1105">
        <f>SUM(F14,F20,F30:F31,F36:F37,F43,F50:F51)</f>
        <v>27</v>
      </c>
      <c r="Q9" s="1085">
        <f>SUM(K14,K20:K20,K30:K31,K36:K37,K43:K43,K50:K51)</f>
        <v>92924.62</v>
      </c>
      <c r="R9" s="1085">
        <f>SUM(L14,L20:L20,L30:L31,L36:L37,L43:L43,L50:L51)</f>
        <v>1115095.4400000002</v>
      </c>
      <c r="S9" s="1085">
        <f>Q9*24</f>
        <v>2230190.88</v>
      </c>
      <c r="T9" s="1085">
        <f>Q9*36</f>
        <v>3345286.32</v>
      </c>
    </row>
    <row r="10" spans="1:20" ht="15.75" thickBot="1">
      <c r="A10" s="1079"/>
      <c r="B10" s="1093" t="s">
        <v>553</v>
      </c>
      <c r="C10" s="234" t="s">
        <v>548</v>
      </c>
      <c r="D10" s="235" t="s">
        <v>225</v>
      </c>
      <c r="E10" s="236" t="s">
        <v>554</v>
      </c>
      <c r="F10" s="372">
        <f>'Consolidado Mão de Obra'!B16</f>
        <v>2</v>
      </c>
      <c r="G10" s="237">
        <v>44</v>
      </c>
      <c r="H10" s="238">
        <v>1103</v>
      </c>
      <c r="I10" s="239">
        <f>H10*1.4</f>
        <v>1544.1999999999998</v>
      </c>
      <c r="J10" s="240">
        <f>'Consolidado Mão de Obra'!D16</f>
        <v>4158.3</v>
      </c>
      <c r="K10" s="521">
        <f>J10*F10</f>
        <v>8316.6</v>
      </c>
      <c r="L10" s="522">
        <f>K10*12</f>
        <v>99799.200000000012</v>
      </c>
      <c r="M10" s="522">
        <f>K10*36</f>
        <v>299397.60000000003</v>
      </c>
      <c r="N10" s="1102"/>
      <c r="O10" s="1104"/>
      <c r="P10" s="1106"/>
      <c r="Q10" s="1086"/>
      <c r="R10" s="1086"/>
      <c r="S10" s="1086"/>
      <c r="T10" s="1086"/>
    </row>
    <row r="11" spans="1:20" ht="18" customHeight="1">
      <c r="A11" s="1079"/>
      <c r="B11" s="1094"/>
      <c r="C11" s="241" t="s">
        <v>548</v>
      </c>
      <c r="D11" s="242" t="s">
        <v>225</v>
      </c>
      <c r="E11" s="243" t="s">
        <v>252</v>
      </c>
      <c r="F11" s="373">
        <f>'Consolidado Mão de Obra'!B13</f>
        <v>8</v>
      </c>
      <c r="G11" s="245">
        <v>44</v>
      </c>
      <c r="H11" s="246">
        <v>1103</v>
      </c>
      <c r="I11" s="247">
        <f>H11/44*G11</f>
        <v>1103</v>
      </c>
      <c r="J11" s="240">
        <f>'Consolidado Mão de Obra'!D13</f>
        <v>3236.03</v>
      </c>
      <c r="K11" s="523">
        <f>J11*F11</f>
        <v>25888.240000000002</v>
      </c>
      <c r="L11" s="524">
        <f>K11*12</f>
        <v>310658.88</v>
      </c>
      <c r="M11" s="524">
        <f>K11*36</f>
        <v>931976.64</v>
      </c>
      <c r="N11" s="404" t="s">
        <v>614</v>
      </c>
      <c r="O11" s="403">
        <f>P9-O9</f>
        <v>-16</v>
      </c>
      <c r="P11" s="406" t="s">
        <v>678</v>
      </c>
      <c r="R11" s="406"/>
      <c r="S11" s="405"/>
      <c r="T11" s="405"/>
    </row>
    <row r="12" spans="1:20" ht="15.75" thickBot="1">
      <c r="A12" s="1079"/>
      <c r="B12" s="1094"/>
      <c r="C12" s="249" t="s">
        <v>610</v>
      </c>
      <c r="D12" s="242" t="s">
        <v>225</v>
      </c>
      <c r="E12" s="243" t="s">
        <v>555</v>
      </c>
      <c r="F12" s="374">
        <f>'Consolidado Mão de Obra'!B14</f>
        <v>2</v>
      </c>
      <c r="G12" s="250">
        <v>44</v>
      </c>
      <c r="H12" s="251">
        <v>1103</v>
      </c>
      <c r="I12" s="252">
        <f>H12*1.1</f>
        <v>1213.3000000000002</v>
      </c>
      <c r="J12" s="240">
        <f>'Consolidado Mão de Obra'!D14</f>
        <v>3469.03</v>
      </c>
      <c r="K12" s="523">
        <f>J12*F12</f>
        <v>6938.06</v>
      </c>
      <c r="L12" s="524">
        <f>K12*12</f>
        <v>83256.72</v>
      </c>
      <c r="M12" s="524">
        <f>K12*36</f>
        <v>249770.16</v>
      </c>
      <c r="N12" s="1110"/>
      <c r="O12" s="1110"/>
      <c r="P12" s="1110"/>
      <c r="Q12" s="561"/>
      <c r="R12" s="561"/>
      <c r="S12" s="561"/>
      <c r="T12" s="561"/>
    </row>
    <row r="13" spans="1:20" s="362" customFormat="1" ht="27" customHeight="1" thickBot="1">
      <c r="A13" s="1079"/>
      <c r="B13" s="1094"/>
      <c r="C13" s="356" t="s">
        <v>608</v>
      </c>
      <c r="D13" s="357" t="s">
        <v>225</v>
      </c>
      <c r="E13" s="358" t="s">
        <v>616</v>
      </c>
      <c r="F13" s="375">
        <f>'Consolidado Mão de Obra'!B15</f>
        <v>1</v>
      </c>
      <c r="G13" s="359">
        <v>44</v>
      </c>
      <c r="H13" s="360">
        <v>1103</v>
      </c>
      <c r="I13" s="361">
        <f>H13+220</f>
        <v>1323</v>
      </c>
      <c r="J13" s="240">
        <f>'Consolidado Mão de Obra'!D15</f>
        <v>3700.76</v>
      </c>
      <c r="K13" s="525">
        <f>J13*F13</f>
        <v>3700.76</v>
      </c>
      <c r="L13" s="526">
        <f>K13*12</f>
        <v>44409.120000000003</v>
      </c>
      <c r="M13" s="527">
        <f>K13*36</f>
        <v>133227.36000000002</v>
      </c>
      <c r="N13" s="1111" t="s">
        <v>613</v>
      </c>
      <c r="O13" s="1112"/>
      <c r="P13" s="248">
        <f>SUM(P6,P9)</f>
        <v>46</v>
      </c>
      <c r="Q13" s="503">
        <f>SUM(Q6,Q9,Q12)</f>
        <v>154018.10999999999</v>
      </c>
      <c r="R13" s="503">
        <f>SUM(R6,R9,R12)</f>
        <v>1810557.12</v>
      </c>
      <c r="S13" s="503">
        <f>SUM(S6,S9,S12)</f>
        <v>3696434.64</v>
      </c>
      <c r="T13" s="503">
        <f>SUM(T6,T9,T12)</f>
        <v>5544651.96</v>
      </c>
    </row>
    <row r="14" spans="1:20" ht="20.25" customHeight="1" thickBot="1">
      <c r="A14" s="1079"/>
      <c r="B14" s="1095" t="s">
        <v>552</v>
      </c>
      <c r="C14" s="1096"/>
      <c r="D14" s="1096"/>
      <c r="E14" s="1097"/>
      <c r="F14" s="254">
        <f>SUM(F10:F13)</f>
        <v>13</v>
      </c>
      <c r="G14" s="1098" t="s">
        <v>552</v>
      </c>
      <c r="H14" s="1098"/>
      <c r="I14" s="1098"/>
      <c r="J14" s="1098"/>
      <c r="K14" s="528">
        <f>SUM(K10:K13)</f>
        <v>44843.66</v>
      </c>
      <c r="L14" s="529">
        <f>SUM(L10:L13)</f>
        <v>538123.92000000004</v>
      </c>
      <c r="M14" s="529">
        <f>SUM(M10:M13)</f>
        <v>1614371.76</v>
      </c>
    </row>
    <row r="15" spans="1:20" ht="22.5" customHeight="1" thickBot="1">
      <c r="A15" s="1068"/>
      <c r="B15" s="1075" t="s">
        <v>620</v>
      </c>
      <c r="C15" s="1076"/>
      <c r="D15" s="1076"/>
      <c r="E15" s="1109"/>
      <c r="F15" s="255">
        <f>SUM(F9,F14)</f>
        <v>23</v>
      </c>
      <c r="G15" s="1071"/>
      <c r="H15" s="1072"/>
      <c r="I15" s="1072"/>
      <c r="J15" s="1073"/>
      <c r="K15" s="530">
        <f>SUM(K9,K14)</f>
        <v>76547.350000000006</v>
      </c>
      <c r="L15" s="530">
        <f>SUM(L9,L14)</f>
        <v>918568.20000000007</v>
      </c>
      <c r="M15" s="530">
        <f>SUM(M9,M14)</f>
        <v>2755704.6</v>
      </c>
      <c r="N15" s="397"/>
      <c r="O15" s="397"/>
      <c r="P15" s="397"/>
      <c r="Q15" s="397"/>
      <c r="R15" s="397"/>
      <c r="S15" s="362"/>
      <c r="T15" s="362"/>
    </row>
    <row r="16" spans="1:20" ht="20.25" customHeight="1">
      <c r="B16" s="393" t="s">
        <v>559</v>
      </c>
      <c r="M16" s="200"/>
    </row>
    <row r="17" spans="1:20" ht="19.5" customHeight="1" thickBot="1">
      <c r="B17" s="393" t="s">
        <v>611</v>
      </c>
      <c r="M17" s="200"/>
    </row>
    <row r="18" spans="1:20" ht="48.75" customHeight="1" thickBot="1">
      <c r="A18" s="201" t="s">
        <v>531</v>
      </c>
      <c r="B18" s="202" t="s">
        <v>532</v>
      </c>
      <c r="C18" s="257" t="s">
        <v>253</v>
      </c>
      <c r="D18" s="258" t="s">
        <v>533</v>
      </c>
      <c r="E18" s="259" t="s">
        <v>534</v>
      </c>
      <c r="F18" s="259" t="s">
        <v>535</v>
      </c>
      <c r="G18" s="259" t="s">
        <v>536</v>
      </c>
      <c r="H18" s="260" t="s">
        <v>537</v>
      </c>
      <c r="I18" s="261" t="s">
        <v>562</v>
      </c>
      <c r="J18" s="262" t="s">
        <v>539</v>
      </c>
      <c r="K18" s="263" t="s">
        <v>540</v>
      </c>
      <c r="L18" s="263" t="s">
        <v>541</v>
      </c>
      <c r="M18" s="209" t="s">
        <v>618</v>
      </c>
      <c r="N18" s="1082" t="s">
        <v>42</v>
      </c>
      <c r="O18" s="1083"/>
      <c r="P18" s="1084"/>
      <c r="Q18" s="383" t="s">
        <v>540</v>
      </c>
      <c r="R18" s="383" t="s">
        <v>544</v>
      </c>
      <c r="S18" s="383" t="s">
        <v>545</v>
      </c>
      <c r="T18" s="383" t="s">
        <v>546</v>
      </c>
    </row>
    <row r="19" spans="1:20" ht="26.25" thickBot="1">
      <c r="A19" s="1067" t="s">
        <v>563</v>
      </c>
      <c r="B19" s="264" t="s">
        <v>547</v>
      </c>
      <c r="C19" s="265" t="s">
        <v>564</v>
      </c>
      <c r="D19" s="266" t="s">
        <v>223</v>
      </c>
      <c r="E19" s="267" t="s">
        <v>565</v>
      </c>
      <c r="F19" s="376">
        <f>'Consolidado Mão de Obra'!B25</f>
        <v>1</v>
      </c>
      <c r="G19" s="265">
        <v>44</v>
      </c>
      <c r="H19" s="268">
        <v>1124</v>
      </c>
      <c r="I19" s="269">
        <f>H19+220</f>
        <v>1344</v>
      </c>
      <c r="J19" s="270">
        <f>'Consolidado Mão de Obra'!D25</f>
        <v>3469.76</v>
      </c>
      <c r="K19" s="531">
        <f>J19*F19</f>
        <v>3469.76</v>
      </c>
      <c r="L19" s="532">
        <f>K19*12</f>
        <v>41637.120000000003</v>
      </c>
      <c r="M19" s="532">
        <f>K19*36</f>
        <v>124911.36000000002</v>
      </c>
      <c r="N19" s="397"/>
      <c r="O19" s="397"/>
      <c r="P19" s="397"/>
      <c r="Q19" s="397"/>
      <c r="R19" s="397"/>
      <c r="S19" s="362"/>
      <c r="T19" s="362"/>
    </row>
    <row r="20" spans="1:20" ht="15.75" thickBot="1">
      <c r="A20" s="1067"/>
      <c r="B20" s="271" t="s">
        <v>553</v>
      </c>
      <c r="C20" s="249" t="s">
        <v>564</v>
      </c>
      <c r="D20" s="242" t="s">
        <v>225</v>
      </c>
      <c r="E20" s="272" t="s">
        <v>566</v>
      </c>
      <c r="F20" s="374">
        <f>'Consolidado Mão de Obra'!B24</f>
        <v>1</v>
      </c>
      <c r="G20" s="250">
        <v>44</v>
      </c>
      <c r="H20" s="246">
        <v>1103</v>
      </c>
      <c r="I20" s="252">
        <f>H20*1.1</f>
        <v>1213.3000000000002</v>
      </c>
      <c r="J20" s="240">
        <f>'Consolidado Mão de Obra'!D24</f>
        <v>3469.03</v>
      </c>
      <c r="K20" s="533">
        <f>J20*F20</f>
        <v>3469.03</v>
      </c>
      <c r="L20" s="524">
        <f>K20*12</f>
        <v>41628.36</v>
      </c>
      <c r="M20" s="524">
        <f>K20*36</f>
        <v>124885.08</v>
      </c>
      <c r="N20" s="386" t="s">
        <v>556</v>
      </c>
      <c r="O20" s="387"/>
      <c r="P20" s="388"/>
      <c r="Q20" s="504">
        <f>'[1]Terceirizados Atuais'!M101</f>
        <v>228000</v>
      </c>
      <c r="R20" s="504">
        <f>Q20*12</f>
        <v>2736000</v>
      </c>
      <c r="S20" s="504">
        <f>Q20*24</f>
        <v>5472000</v>
      </c>
      <c r="T20" s="505">
        <f>Q20*36</f>
        <v>8208000</v>
      </c>
    </row>
    <row r="21" spans="1:20" ht="22.5" customHeight="1" thickBot="1">
      <c r="A21" s="1074"/>
      <c r="B21" s="1075" t="s">
        <v>621</v>
      </c>
      <c r="C21" s="1076"/>
      <c r="D21" s="1076"/>
      <c r="E21" s="1077"/>
      <c r="F21" s="273">
        <f>SUM(F19:F20)</f>
        <v>2</v>
      </c>
      <c r="G21" s="1072"/>
      <c r="H21" s="1072"/>
      <c r="I21" s="1072"/>
      <c r="J21" s="1072"/>
      <c r="K21" s="534">
        <f>SUM(K19:K20)</f>
        <v>6938.7900000000009</v>
      </c>
      <c r="L21" s="534">
        <f>SUM(L19:L20)</f>
        <v>83265.48000000001</v>
      </c>
      <c r="M21" s="534">
        <f>SUM(M19:M20)</f>
        <v>249796.44</v>
      </c>
      <c r="N21" s="394" t="s">
        <v>557</v>
      </c>
      <c r="O21" s="395"/>
      <c r="P21" s="396"/>
      <c r="Q21" s="506">
        <f>Q13</f>
        <v>154018.10999999999</v>
      </c>
      <c r="R21" s="506">
        <f>Q21*12</f>
        <v>1848217.3199999998</v>
      </c>
      <c r="S21" s="506">
        <f>Q21*24</f>
        <v>3696434.6399999997</v>
      </c>
      <c r="T21" s="507">
        <f>Q21*36</f>
        <v>5544651.959999999</v>
      </c>
    </row>
    <row r="22" spans="1:20" ht="15.75" thickBot="1">
      <c r="B22" s="256" t="s">
        <v>567</v>
      </c>
      <c r="E22" s="274"/>
      <c r="M22" s="200"/>
      <c r="N22" s="384" t="s">
        <v>558</v>
      </c>
      <c r="O22" s="385"/>
      <c r="P22" s="385"/>
      <c r="Q22" s="508">
        <v>60000</v>
      </c>
      <c r="R22" s="508">
        <f>Q22*12</f>
        <v>720000</v>
      </c>
      <c r="S22" s="508">
        <f>Q22*24</f>
        <v>1440000</v>
      </c>
      <c r="T22" s="509">
        <f>Q22*36</f>
        <v>2160000</v>
      </c>
    </row>
    <row r="23" spans="1:20" ht="15.75" thickBot="1">
      <c r="B23" s="256"/>
      <c r="C23" s="424"/>
      <c r="E23" s="274"/>
      <c r="F23" s="424"/>
      <c r="G23" s="424"/>
      <c r="M23" s="200"/>
      <c r="N23" s="389" t="s">
        <v>560</v>
      </c>
      <c r="O23" s="390"/>
      <c r="P23" s="390"/>
      <c r="Q23" s="510">
        <f>SUM(Q21:Q22)</f>
        <v>214018.11</v>
      </c>
      <c r="R23" s="510">
        <f>SUM(R21:R22)</f>
        <v>2568217.3199999998</v>
      </c>
      <c r="S23" s="511">
        <f>Q23*24</f>
        <v>5136434.6399999997</v>
      </c>
      <c r="T23" s="511">
        <f>Q23*36</f>
        <v>7704651.959999999</v>
      </c>
    </row>
    <row r="24" spans="1:20" ht="15.75" thickBot="1">
      <c r="M24" s="200"/>
      <c r="N24" s="391" t="s">
        <v>561</v>
      </c>
      <c r="O24" s="392"/>
      <c r="P24" s="392"/>
      <c r="Q24" s="512">
        <v>250000</v>
      </c>
      <c r="R24" s="512">
        <f>Q24*12</f>
        <v>3000000</v>
      </c>
      <c r="S24" s="512">
        <f>Q24*24</f>
        <v>6000000</v>
      </c>
      <c r="T24" s="513">
        <f>Q24*36</f>
        <v>9000000</v>
      </c>
    </row>
    <row r="25" spans="1:20" ht="48.75" thickBot="1">
      <c r="A25" s="275" t="s">
        <v>531</v>
      </c>
      <c r="B25" s="276" t="s">
        <v>532</v>
      </c>
      <c r="C25" s="203" t="s">
        <v>253</v>
      </c>
      <c r="D25" s="277" t="s">
        <v>533</v>
      </c>
      <c r="E25" s="203" t="s">
        <v>534</v>
      </c>
      <c r="F25" s="204" t="s">
        <v>535</v>
      </c>
      <c r="G25" s="205" t="s">
        <v>536</v>
      </c>
      <c r="H25" s="206" t="s">
        <v>537</v>
      </c>
      <c r="I25" s="278" t="s">
        <v>562</v>
      </c>
      <c r="J25" s="208" t="s">
        <v>539</v>
      </c>
      <c r="K25" s="209" t="s">
        <v>540</v>
      </c>
      <c r="L25" s="209" t="s">
        <v>541</v>
      </c>
      <c r="M25" s="209" t="s">
        <v>618</v>
      </c>
      <c r="N25" s="435" t="s">
        <v>627</v>
      </c>
      <c r="O25" s="436"/>
      <c r="P25" s="436"/>
      <c r="Q25" s="514">
        <f>Q24-Q23</f>
        <v>35981.890000000014</v>
      </c>
      <c r="R25" s="514">
        <f>R24-R23</f>
        <v>431782.68000000017</v>
      </c>
      <c r="S25" s="514">
        <f>S24-S23</f>
        <v>863565.36000000034</v>
      </c>
      <c r="T25" s="514">
        <f>T24-T23</f>
        <v>1295348.040000001</v>
      </c>
    </row>
    <row r="26" spans="1:20">
      <c r="A26" s="1078" t="s">
        <v>568</v>
      </c>
      <c r="B26" s="1080" t="s">
        <v>547</v>
      </c>
      <c r="C26" s="279" t="s">
        <v>564</v>
      </c>
      <c r="D26" s="280" t="s">
        <v>222</v>
      </c>
      <c r="E26" s="210" t="s">
        <v>219</v>
      </c>
      <c r="F26" s="377">
        <f>'Consolidado Mão de Obra'!B35</f>
        <v>2</v>
      </c>
      <c r="G26" s="223">
        <v>44</v>
      </c>
      <c r="H26" s="211">
        <v>1103</v>
      </c>
      <c r="I26" s="212">
        <f>H26/44*G26</f>
        <v>1103</v>
      </c>
      <c r="J26" s="281">
        <f>'Consolidado Mão de Obra'!D35</f>
        <v>2948.81</v>
      </c>
      <c r="K26" s="535">
        <f t="shared" ref="K26:K31" si="0">J26*F26</f>
        <v>5897.62</v>
      </c>
      <c r="L26" s="536">
        <f t="shared" ref="L26:L31" si="1">K26*12</f>
        <v>70771.44</v>
      </c>
      <c r="M26" s="536">
        <f t="shared" ref="M26:M31" si="2">K26*36</f>
        <v>212314.32</v>
      </c>
    </row>
    <row r="27" spans="1:20" s="362" customFormat="1" ht="24">
      <c r="A27" s="1079"/>
      <c r="B27" s="1080"/>
      <c r="C27" s="282" t="s">
        <v>564</v>
      </c>
      <c r="D27" s="283" t="s">
        <v>141</v>
      </c>
      <c r="E27" s="284" t="s">
        <v>609</v>
      </c>
      <c r="F27" s="378">
        <f>'Consolidado Mão de Obra'!B34</f>
        <v>1</v>
      </c>
      <c r="G27" s="230">
        <v>44</v>
      </c>
      <c r="H27" s="363">
        <v>1124</v>
      </c>
      <c r="I27" s="232">
        <f>(H27/44*G27)+220</f>
        <v>1344</v>
      </c>
      <c r="J27" s="226">
        <f>'Consolidado Mão de Obra'!D34</f>
        <v>3469.76</v>
      </c>
      <c r="K27" s="537">
        <f t="shared" si="0"/>
        <v>3469.76</v>
      </c>
      <c r="L27" s="538">
        <f t="shared" si="1"/>
        <v>41637.120000000003</v>
      </c>
      <c r="M27" s="538">
        <f t="shared" si="2"/>
        <v>124911.36000000002</v>
      </c>
      <c r="N27" s="362" t="s">
        <v>675</v>
      </c>
    </row>
    <row r="28" spans="1:20">
      <c r="A28" s="1079"/>
      <c r="B28" s="1080"/>
      <c r="C28" s="286" t="s">
        <v>564</v>
      </c>
      <c r="D28" s="287" t="s">
        <v>223</v>
      </c>
      <c r="E28" s="222" t="s">
        <v>220</v>
      </c>
      <c r="F28" s="370">
        <f>'Consolidado Mão de Obra'!B33</f>
        <v>1</v>
      </c>
      <c r="G28" s="288">
        <v>44</v>
      </c>
      <c r="H28" s="219">
        <v>1124</v>
      </c>
      <c r="I28" s="220">
        <f>H28/44*G28</f>
        <v>1124</v>
      </c>
      <c r="J28" s="213">
        <f>'Consolidado Mão de Obra'!D33</f>
        <v>3005.03</v>
      </c>
      <c r="K28" s="515">
        <f t="shared" si="0"/>
        <v>3005.03</v>
      </c>
      <c r="L28" s="516">
        <f t="shared" si="1"/>
        <v>36060.36</v>
      </c>
      <c r="M28" s="538">
        <f t="shared" si="2"/>
        <v>108181.08</v>
      </c>
      <c r="N28" t="s">
        <v>676</v>
      </c>
    </row>
    <row r="29" spans="1:20">
      <c r="A29" s="1079"/>
      <c r="B29" s="1080"/>
      <c r="C29" s="218" t="s">
        <v>569</v>
      </c>
      <c r="D29" s="221" t="s">
        <v>382</v>
      </c>
      <c r="E29" s="222" t="s">
        <v>384</v>
      </c>
      <c r="F29" s="370">
        <f>'Consolidado Mão de Obra'!B32</f>
        <v>1</v>
      </c>
      <c r="G29" s="217">
        <v>44</v>
      </c>
      <c r="H29" s="219">
        <v>1124</v>
      </c>
      <c r="I29" s="220">
        <f>H29/44*G29</f>
        <v>1124</v>
      </c>
      <c r="J29" s="285">
        <f>'Consolidado Mão de Obra'!D32</f>
        <v>3138.35</v>
      </c>
      <c r="K29" s="515">
        <f t="shared" si="0"/>
        <v>3138.35</v>
      </c>
      <c r="L29" s="517">
        <f t="shared" si="1"/>
        <v>37660.199999999997</v>
      </c>
      <c r="M29" s="538">
        <f t="shared" si="2"/>
        <v>112980.59999999999</v>
      </c>
    </row>
    <row r="30" spans="1:20">
      <c r="A30" s="1079"/>
      <c r="B30" s="1069" t="s">
        <v>553</v>
      </c>
      <c r="C30" s="241" t="s">
        <v>569</v>
      </c>
      <c r="D30" s="242" t="s">
        <v>225</v>
      </c>
      <c r="E30" s="243" t="s">
        <v>570</v>
      </c>
      <c r="F30" s="374">
        <f>'Consolidado Mão de Obra'!B30</f>
        <v>2</v>
      </c>
      <c r="G30" s="250">
        <v>44</v>
      </c>
      <c r="H30" s="246">
        <v>1103</v>
      </c>
      <c r="I30" s="252">
        <f>(H30/44*G30)*1.4</f>
        <v>1544.1999999999998</v>
      </c>
      <c r="J30" s="289">
        <f>'Consolidado Mão de Obra'!D30</f>
        <v>4158.3</v>
      </c>
      <c r="K30" s="523">
        <f t="shared" si="0"/>
        <v>8316.6</v>
      </c>
      <c r="L30" s="524">
        <f t="shared" si="1"/>
        <v>99799.200000000012</v>
      </c>
      <c r="M30" s="524">
        <f t="shared" si="2"/>
        <v>299397.60000000003</v>
      </c>
    </row>
    <row r="31" spans="1:20" ht="15.75" thickBot="1">
      <c r="A31" s="1079"/>
      <c r="B31" s="1070"/>
      <c r="C31" s="290" t="s">
        <v>569</v>
      </c>
      <c r="D31" s="291" t="s">
        <v>225</v>
      </c>
      <c r="E31" s="292" t="s">
        <v>252</v>
      </c>
      <c r="F31" s="373">
        <f>'Consolidado Mão de Obra'!B31</f>
        <v>6</v>
      </c>
      <c r="G31" s="244">
        <v>44</v>
      </c>
      <c r="H31" s="293">
        <v>1103</v>
      </c>
      <c r="I31" s="294">
        <f>H31/44*G31</f>
        <v>1103</v>
      </c>
      <c r="J31" s="295">
        <f>'Consolidado Mão de Obra'!D31</f>
        <v>3236.03</v>
      </c>
      <c r="K31" s="539">
        <f t="shared" si="0"/>
        <v>19416.18</v>
      </c>
      <c r="L31" s="540">
        <f t="shared" si="1"/>
        <v>232994.16</v>
      </c>
      <c r="M31" s="540">
        <f t="shared" si="2"/>
        <v>698982.48</v>
      </c>
    </row>
    <row r="32" spans="1:20" ht="22.5" customHeight="1" thickBot="1">
      <c r="A32" s="1068"/>
      <c r="B32" s="1075" t="s">
        <v>622</v>
      </c>
      <c r="C32" s="1076"/>
      <c r="D32" s="1076"/>
      <c r="E32" s="1077"/>
      <c r="F32" s="273">
        <f>SUM(F26:F31)</f>
        <v>13</v>
      </c>
      <c r="G32" s="1072"/>
      <c r="H32" s="1072"/>
      <c r="I32" s="1072"/>
      <c r="J32" s="1072"/>
      <c r="K32" s="534">
        <f>SUM(K26:K31)</f>
        <v>43243.54</v>
      </c>
      <c r="L32" s="534">
        <f>SUM(L26:L31)</f>
        <v>518922.48</v>
      </c>
      <c r="M32" s="534">
        <f>SUM(M26:M31)</f>
        <v>1556767.4400000002</v>
      </c>
    </row>
    <row r="33" spans="1:13" ht="22.5" customHeight="1" thickBot="1">
      <c r="B33" s="256" t="s">
        <v>567</v>
      </c>
      <c r="M33" s="200"/>
    </row>
    <row r="34" spans="1:13" ht="48.75" thickBot="1">
      <c r="A34" s="275" t="s">
        <v>531</v>
      </c>
      <c r="B34" s="202" t="s">
        <v>532</v>
      </c>
      <c r="C34" s="257" t="s">
        <v>253</v>
      </c>
      <c r="D34" s="258" t="s">
        <v>533</v>
      </c>
      <c r="E34" s="259" t="s">
        <v>534</v>
      </c>
      <c r="F34" s="259" t="s">
        <v>535</v>
      </c>
      <c r="G34" s="259" t="s">
        <v>536</v>
      </c>
      <c r="H34" s="260" t="s">
        <v>537</v>
      </c>
      <c r="I34" s="261" t="s">
        <v>562</v>
      </c>
      <c r="J34" s="262" t="s">
        <v>539</v>
      </c>
      <c r="K34" s="263" t="s">
        <v>540</v>
      </c>
      <c r="L34" s="263" t="s">
        <v>541</v>
      </c>
      <c r="M34" s="209" t="s">
        <v>618</v>
      </c>
    </row>
    <row r="35" spans="1:13" ht="25.5">
      <c r="A35" s="1067" t="s">
        <v>571</v>
      </c>
      <c r="B35" s="264" t="s">
        <v>547</v>
      </c>
      <c r="C35" s="296" t="s">
        <v>564</v>
      </c>
      <c r="D35" s="266" t="s">
        <v>223</v>
      </c>
      <c r="E35" s="267" t="s">
        <v>565</v>
      </c>
      <c r="F35" s="376">
        <f>'Consolidado Mão de Obra'!B43</f>
        <v>1</v>
      </c>
      <c r="G35" s="265">
        <v>44</v>
      </c>
      <c r="H35" s="268">
        <v>1124</v>
      </c>
      <c r="I35" s="269">
        <f>(H35/44*G35)+220</f>
        <v>1344</v>
      </c>
      <c r="J35" s="297">
        <f>'Consolidado Mão de Obra'!D43</f>
        <v>3469.76</v>
      </c>
      <c r="K35" s="531">
        <f>J35*F35</f>
        <v>3469.76</v>
      </c>
      <c r="L35" s="532">
        <f>K35*12</f>
        <v>41637.120000000003</v>
      </c>
      <c r="M35" s="532">
        <f>K35*36</f>
        <v>124911.36000000002</v>
      </c>
    </row>
    <row r="36" spans="1:13">
      <c r="A36" s="1067"/>
      <c r="B36" s="1069" t="s">
        <v>553</v>
      </c>
      <c r="C36" s="298" t="s">
        <v>564</v>
      </c>
      <c r="D36" s="299" t="s">
        <v>225</v>
      </c>
      <c r="E36" s="272" t="s">
        <v>572</v>
      </c>
      <c r="F36" s="379">
        <f>'Consolidado Mão de Obra'!B41</f>
        <v>1</v>
      </c>
      <c r="G36" s="300">
        <v>44</v>
      </c>
      <c r="H36" s="251">
        <v>1103</v>
      </c>
      <c r="I36" s="252">
        <f>(H36/44*G36)*1.1</f>
        <v>1213.3000000000002</v>
      </c>
      <c r="J36" s="301">
        <f>'Consolidado Mão de Obra'!D41</f>
        <v>3469.03</v>
      </c>
      <c r="K36" s="541">
        <f>J36*F36</f>
        <v>3469.03</v>
      </c>
      <c r="L36" s="541">
        <f>K36*12</f>
        <v>41628.36</v>
      </c>
      <c r="M36" s="541">
        <f>K36*36</f>
        <v>124885.08</v>
      </c>
    </row>
    <row r="37" spans="1:13" ht="15.75" thickBot="1">
      <c r="A37" s="1067"/>
      <c r="B37" s="1070"/>
      <c r="C37" s="302" t="s">
        <v>564</v>
      </c>
      <c r="D37" s="291" t="s">
        <v>225</v>
      </c>
      <c r="E37" s="292" t="s">
        <v>612</v>
      </c>
      <c r="F37" s="373">
        <f>'Consolidado Mão de Obra'!B42</f>
        <v>1</v>
      </c>
      <c r="G37" s="244">
        <v>44</v>
      </c>
      <c r="H37" s="293">
        <v>1103</v>
      </c>
      <c r="I37" s="294">
        <f>(H37/44*G37)</f>
        <v>1103</v>
      </c>
      <c r="J37" s="301">
        <f>'Consolidado Mão de Obra'!E42</f>
        <v>3236.03</v>
      </c>
      <c r="K37" s="542">
        <f>J37*F37</f>
        <v>3236.03</v>
      </c>
      <c r="L37" s="540">
        <f>K37*12</f>
        <v>38832.36</v>
      </c>
      <c r="M37" s="541">
        <f>K37*36</f>
        <v>116497.08</v>
      </c>
    </row>
    <row r="38" spans="1:13" ht="22.5" customHeight="1" thickBot="1">
      <c r="A38" s="1068"/>
      <c r="B38" s="1075" t="s">
        <v>623</v>
      </c>
      <c r="C38" s="1076"/>
      <c r="D38" s="1076"/>
      <c r="E38" s="1077"/>
      <c r="F38" s="273">
        <f>SUM(F35:F37)</f>
        <v>3</v>
      </c>
      <c r="G38" s="1071"/>
      <c r="H38" s="1072"/>
      <c r="I38" s="1072"/>
      <c r="J38" s="1073"/>
      <c r="K38" s="534">
        <f>SUM(K35:K37)</f>
        <v>10174.820000000002</v>
      </c>
      <c r="L38" s="534">
        <f>SUM(L35:L37)</f>
        <v>122097.84000000001</v>
      </c>
      <c r="M38" s="534">
        <f>SUM(M35:M37)</f>
        <v>366293.52</v>
      </c>
    </row>
    <row r="39" spans="1:13" ht="16.5" customHeight="1">
      <c r="B39" s="256" t="s">
        <v>567</v>
      </c>
      <c r="M39" s="200"/>
    </row>
    <row r="40" spans="1:13" ht="15.75" thickBot="1">
      <c r="M40" s="200"/>
    </row>
    <row r="41" spans="1:13" ht="48.75" thickBot="1">
      <c r="A41" s="275" t="s">
        <v>531</v>
      </c>
      <c r="B41" s="202" t="s">
        <v>532</v>
      </c>
      <c r="C41" s="257" t="s">
        <v>253</v>
      </c>
      <c r="D41" s="258" t="s">
        <v>533</v>
      </c>
      <c r="E41" s="259" t="s">
        <v>534</v>
      </c>
      <c r="F41" s="259" t="s">
        <v>535</v>
      </c>
      <c r="G41" s="259" t="s">
        <v>536</v>
      </c>
      <c r="H41" s="260" t="s">
        <v>537</v>
      </c>
      <c r="I41" s="261" t="s">
        <v>562</v>
      </c>
      <c r="J41" s="303" t="s">
        <v>539</v>
      </c>
      <c r="K41" s="263" t="s">
        <v>540</v>
      </c>
      <c r="L41" s="263" t="s">
        <v>541</v>
      </c>
      <c r="M41" s="209" t="s">
        <v>618</v>
      </c>
    </row>
    <row r="42" spans="1:13" ht="25.5">
      <c r="A42" s="1067" t="s">
        <v>573</v>
      </c>
      <c r="B42" s="304" t="s">
        <v>547</v>
      </c>
      <c r="C42" s="265" t="s">
        <v>564</v>
      </c>
      <c r="D42" s="305" t="s">
        <v>223</v>
      </c>
      <c r="E42" s="267" t="s">
        <v>574</v>
      </c>
      <c r="F42" s="376">
        <f>'Consolidado Mão de Obra'!B49</f>
        <v>1</v>
      </c>
      <c r="G42" s="265">
        <v>44</v>
      </c>
      <c r="H42" s="268">
        <v>1124</v>
      </c>
      <c r="I42" s="269">
        <f>(H42/44*G42)+220</f>
        <v>1344</v>
      </c>
      <c r="J42" s="306">
        <f>'Consolidado Mão de Obra'!D49</f>
        <v>3469.76</v>
      </c>
      <c r="K42" s="543">
        <f>J42*F42</f>
        <v>3469.76</v>
      </c>
      <c r="L42" s="532">
        <f>K42*12</f>
        <v>41637.120000000003</v>
      </c>
      <c r="M42" s="532">
        <f>K42*36</f>
        <v>124911.36000000002</v>
      </c>
    </row>
    <row r="43" spans="1:13" ht="15.75" thickBot="1">
      <c r="A43" s="1067"/>
      <c r="B43" s="307" t="s">
        <v>553</v>
      </c>
      <c r="C43" s="302" t="s">
        <v>564</v>
      </c>
      <c r="D43" s="291" t="s">
        <v>225</v>
      </c>
      <c r="E43" s="292" t="s">
        <v>572</v>
      </c>
      <c r="F43" s="373">
        <f>'Consolidado Mão de Obra'!B48</f>
        <v>1</v>
      </c>
      <c r="G43" s="244">
        <v>44</v>
      </c>
      <c r="H43" s="293">
        <v>1103</v>
      </c>
      <c r="I43" s="294">
        <f>(H43/44*G43)*1.1</f>
        <v>1213.3000000000002</v>
      </c>
      <c r="J43" s="301">
        <f>'Consolidado Mão de Obra'!D48</f>
        <v>3469.03</v>
      </c>
      <c r="K43" s="542">
        <f>J43*F43</f>
        <v>3469.03</v>
      </c>
      <c r="L43" s="540">
        <f>K43*12</f>
        <v>41628.36</v>
      </c>
      <c r="M43" s="540">
        <f>K43*36</f>
        <v>124885.08</v>
      </c>
    </row>
    <row r="44" spans="1:13" ht="22.5" customHeight="1" thickBot="1">
      <c r="A44" s="1068"/>
      <c r="B44" s="1075" t="s">
        <v>624</v>
      </c>
      <c r="C44" s="1076"/>
      <c r="D44" s="1076"/>
      <c r="E44" s="1077"/>
      <c r="F44" s="273">
        <f>SUM(F42:F43)</f>
        <v>2</v>
      </c>
      <c r="G44" s="1071"/>
      <c r="H44" s="1072"/>
      <c r="I44" s="1072"/>
      <c r="J44" s="1073"/>
      <c r="K44" s="534">
        <f>SUM(K42:K43)</f>
        <v>6938.7900000000009</v>
      </c>
      <c r="L44" s="534">
        <f>SUM(L42:L43)</f>
        <v>83265.48000000001</v>
      </c>
      <c r="M44" s="534">
        <f>SUM(M42:M43)</f>
        <v>249796.44</v>
      </c>
    </row>
    <row r="45" spans="1:13" ht="16.5" customHeight="1">
      <c r="B45" s="256" t="s">
        <v>575</v>
      </c>
      <c r="M45" s="200"/>
    </row>
    <row r="46" spans="1:13">
      <c r="B46" s="256" t="s">
        <v>576</v>
      </c>
      <c r="M46" s="200"/>
    </row>
    <row r="47" spans="1:13" ht="15.75" thickBot="1">
      <c r="M47" s="200"/>
    </row>
    <row r="48" spans="1:13" ht="48.75" thickBot="1">
      <c r="A48" s="275" t="s">
        <v>531</v>
      </c>
      <c r="B48" s="202" t="s">
        <v>532</v>
      </c>
      <c r="C48" s="257" t="s">
        <v>253</v>
      </c>
      <c r="D48" s="258" t="s">
        <v>533</v>
      </c>
      <c r="E48" s="259" t="s">
        <v>534</v>
      </c>
      <c r="F48" s="259" t="s">
        <v>535</v>
      </c>
      <c r="G48" s="259" t="s">
        <v>536</v>
      </c>
      <c r="H48" s="260" t="s">
        <v>537</v>
      </c>
      <c r="I48" s="261" t="s">
        <v>562</v>
      </c>
      <c r="J48" s="262" t="s">
        <v>539</v>
      </c>
      <c r="K48" s="263" t="s">
        <v>540</v>
      </c>
      <c r="L48" s="263" t="s">
        <v>541</v>
      </c>
      <c r="M48" s="209" t="s">
        <v>618</v>
      </c>
    </row>
    <row r="49" spans="1:20" ht="25.5">
      <c r="A49" s="1067" t="s">
        <v>577</v>
      </c>
      <c r="B49" s="264" t="s">
        <v>547</v>
      </c>
      <c r="C49" s="296" t="s">
        <v>564</v>
      </c>
      <c r="D49" s="266" t="s">
        <v>223</v>
      </c>
      <c r="E49" s="267" t="s">
        <v>565</v>
      </c>
      <c r="F49" s="376">
        <f>'Consolidado Mão de Obra'!B56</f>
        <v>1</v>
      </c>
      <c r="G49" s="265">
        <v>44</v>
      </c>
      <c r="H49" s="268">
        <v>1124</v>
      </c>
      <c r="I49" s="269">
        <f>(H49/44*G49)+220</f>
        <v>1344</v>
      </c>
      <c r="J49" s="297">
        <f>'Consolidado Mão de Obra'!E56</f>
        <v>3469.76</v>
      </c>
      <c r="K49" s="531">
        <f>J49*F49</f>
        <v>3469.76</v>
      </c>
      <c r="L49" s="532">
        <f>K49*12</f>
        <v>41637.120000000003</v>
      </c>
      <c r="M49" s="532">
        <f>K49*36</f>
        <v>124911.36000000002</v>
      </c>
    </row>
    <row r="50" spans="1:20">
      <c r="A50" s="1067"/>
      <c r="B50" s="1069" t="s">
        <v>553</v>
      </c>
      <c r="C50" s="298" t="s">
        <v>564</v>
      </c>
      <c r="D50" s="299" t="s">
        <v>225</v>
      </c>
      <c r="E50" s="272" t="s">
        <v>566</v>
      </c>
      <c r="F50" s="379">
        <f>'Consolidado Mão de Obra'!B54</f>
        <v>1</v>
      </c>
      <c r="G50" s="300">
        <v>44</v>
      </c>
      <c r="H50" s="251">
        <v>1103</v>
      </c>
      <c r="I50" s="252">
        <f>(H50/44*G50)*1.1</f>
        <v>1213.3000000000002</v>
      </c>
      <c r="J50" s="240">
        <f>'Consolidado Mão de Obra'!D54</f>
        <v>3469.03</v>
      </c>
      <c r="K50" s="533">
        <f>J50*F50</f>
        <v>3469.03</v>
      </c>
      <c r="L50" s="544">
        <f>K50*12</f>
        <v>41628.36</v>
      </c>
      <c r="M50" s="544">
        <f>K50*36</f>
        <v>124885.08</v>
      </c>
    </row>
    <row r="51" spans="1:20" ht="15.75" thickBot="1">
      <c r="A51" s="1067"/>
      <c r="B51" s="1070"/>
      <c r="C51" s="290" t="s">
        <v>564</v>
      </c>
      <c r="D51" s="291" t="s">
        <v>225</v>
      </c>
      <c r="E51" s="308" t="s">
        <v>252</v>
      </c>
      <c r="F51" s="373">
        <f>'Consolidado Mão de Obra'!B55</f>
        <v>1</v>
      </c>
      <c r="G51" s="244">
        <v>44</v>
      </c>
      <c r="H51" s="253">
        <v>1103</v>
      </c>
      <c r="I51" s="294">
        <f>(H51/44*G51)*1.1</f>
        <v>1213.3000000000002</v>
      </c>
      <c r="J51" s="240">
        <f>'Consolidado Mão de Obra'!E55</f>
        <v>3236.03</v>
      </c>
      <c r="K51" s="542">
        <f>J51*F51</f>
        <v>3236.03</v>
      </c>
      <c r="L51" s="545">
        <f>K51*12</f>
        <v>38832.36</v>
      </c>
      <c r="M51" s="545">
        <f>K51*36</f>
        <v>116497.08</v>
      </c>
    </row>
    <row r="52" spans="1:20" ht="22.5" customHeight="1" thickBot="1">
      <c r="A52" s="1068"/>
      <c r="B52" s="1075" t="s">
        <v>625</v>
      </c>
      <c r="C52" s="1076"/>
      <c r="D52" s="1076"/>
      <c r="E52" s="1077"/>
      <c r="F52" s="273">
        <f>SUM(F49:F51)</f>
        <v>3</v>
      </c>
      <c r="G52" s="1071"/>
      <c r="H52" s="1072"/>
      <c r="I52" s="1072"/>
      <c r="J52" s="1073"/>
      <c r="K52" s="534">
        <f>SUM(K49:K51)</f>
        <v>10174.820000000002</v>
      </c>
      <c r="L52" s="534">
        <f>SUM(L49:L51)</f>
        <v>122097.84000000001</v>
      </c>
      <c r="M52" s="534">
        <f>SUM(M49:M51)</f>
        <v>366293.52</v>
      </c>
    </row>
    <row r="53" spans="1:20" ht="16.5" customHeight="1">
      <c r="A53" s="309"/>
      <c r="B53" s="256" t="s">
        <v>575</v>
      </c>
    </row>
    <row r="54" spans="1:20">
      <c r="A54" s="309"/>
      <c r="B54" s="256"/>
      <c r="C54" s="334"/>
      <c r="F54" s="334"/>
      <c r="G54" s="334"/>
    </row>
    <row r="55" spans="1:20">
      <c r="A55" s="309"/>
      <c r="B55" s="256"/>
      <c r="C55" s="334"/>
      <c r="F55" s="334"/>
      <c r="G55" s="334"/>
    </row>
    <row r="56" spans="1:20" ht="15.75" thickBot="1">
      <c r="A56" s="309"/>
      <c r="B56" s="256"/>
      <c r="C56" s="334"/>
      <c r="F56" s="334"/>
      <c r="G56" s="334"/>
    </row>
    <row r="57" spans="1:20" ht="36.75" thickBot="1">
      <c r="A57" s="1119" t="s">
        <v>619</v>
      </c>
      <c r="B57" s="1120"/>
      <c r="C57" s="1120"/>
      <c r="D57" s="1120"/>
      <c r="E57" s="1121"/>
      <c r="F57" s="549" t="s">
        <v>535</v>
      </c>
      <c r="G57" s="1116"/>
      <c r="H57" s="1117"/>
      <c r="I57" s="1117"/>
      <c r="J57" s="1118"/>
      <c r="K57" s="548" t="s">
        <v>540</v>
      </c>
      <c r="L57" s="548" t="s">
        <v>541</v>
      </c>
      <c r="M57" s="548" t="s">
        <v>618</v>
      </c>
    </row>
    <row r="58" spans="1:20" ht="15.75" thickBot="1">
      <c r="A58" s="309"/>
      <c r="B58" s="256"/>
      <c r="C58" s="334"/>
      <c r="F58" s="334"/>
      <c r="G58" s="334"/>
    </row>
    <row r="59" spans="1:20" ht="32.25" customHeight="1" thickBot="1">
      <c r="A59" s="1113" t="s">
        <v>391</v>
      </c>
      <c r="B59" s="1114"/>
      <c r="C59" s="1114"/>
      <c r="D59" s="1114"/>
      <c r="E59" s="1115"/>
      <c r="F59" s="413">
        <f>SUM(F15,F21,F32,F38,F44,F52)</f>
        <v>46</v>
      </c>
      <c r="G59" s="1127"/>
      <c r="H59" s="1127"/>
      <c r="I59" s="1127"/>
      <c r="J59" s="1127"/>
      <c r="K59" s="547">
        <f>SUM(K15,K21,K32,K38,K44,K52)</f>
        <v>154018.11000000004</v>
      </c>
      <c r="L59" s="547">
        <f>SUM(L15,L21,L32,L38,L44,L52)</f>
        <v>1848217.3200000003</v>
      </c>
      <c r="M59" s="547">
        <f>SUM(M15,M21,M32,M38,M44,M52)</f>
        <v>5544651.9600000009</v>
      </c>
    </row>
    <row r="60" spans="1:20" ht="18.75">
      <c r="A60" s="407"/>
      <c r="M60" s="310"/>
      <c r="N60" s="310"/>
      <c r="O60" s="310"/>
      <c r="P60" s="310"/>
      <c r="Q60" s="310"/>
      <c r="R60" s="310"/>
      <c r="S60" s="310"/>
      <c r="T60" s="310"/>
    </row>
    <row r="62" spans="1:20" ht="36" customHeight="1">
      <c r="A62" s="1081" t="s">
        <v>684</v>
      </c>
      <c r="B62" s="1081"/>
      <c r="C62" s="1081"/>
      <c r="D62" s="1081"/>
      <c r="E62" s="1081"/>
      <c r="F62" s="1081"/>
      <c r="G62" s="1081"/>
      <c r="H62" s="1081"/>
      <c r="I62" s="1081"/>
      <c r="J62" s="1081"/>
      <c r="K62" s="1081"/>
      <c r="L62" s="1081"/>
      <c r="M62" s="1081"/>
    </row>
    <row r="63" spans="1:20" ht="16.5" customHeight="1">
      <c r="A63" s="1061" t="s">
        <v>603</v>
      </c>
      <c r="B63" s="1061"/>
      <c r="C63" s="1061"/>
      <c r="D63" s="1061"/>
      <c r="E63" s="1061"/>
      <c r="F63" s="1061"/>
      <c r="G63" s="1061"/>
      <c r="H63" s="1061" t="s">
        <v>602</v>
      </c>
      <c r="I63" s="1061"/>
      <c r="J63" s="414" t="s">
        <v>166</v>
      </c>
      <c r="K63" s="414" t="s">
        <v>37</v>
      </c>
      <c r="L63" s="414" t="s">
        <v>607</v>
      </c>
      <c r="M63" s="414" t="s">
        <v>607</v>
      </c>
    </row>
    <row r="64" spans="1:20">
      <c r="A64" s="1063" t="s">
        <v>626</v>
      </c>
      <c r="B64" s="1064"/>
      <c r="C64" s="1064"/>
      <c r="D64" s="1064"/>
      <c r="E64" s="1064"/>
      <c r="F64" s="1064"/>
      <c r="G64" s="1065"/>
      <c r="H64" s="1062" t="s">
        <v>604</v>
      </c>
      <c r="I64" s="1062"/>
      <c r="J64" s="546">
        <f>'Custos com Deslocamento'!D27</f>
        <v>1794.9684568275864</v>
      </c>
      <c r="K64" s="546">
        <f>(J64*6)/12</f>
        <v>897.48422841379318</v>
      </c>
      <c r="L64" s="546">
        <f>K64*12</f>
        <v>10769.810740965519</v>
      </c>
      <c r="M64" s="546">
        <f>K64*36</f>
        <v>32309.432222896554</v>
      </c>
    </row>
    <row r="65" spans="1:13" ht="6.75" customHeight="1">
      <c r="A65" s="408"/>
      <c r="B65" s="409"/>
      <c r="C65" s="409"/>
      <c r="D65" s="409"/>
      <c r="E65" s="409"/>
      <c r="F65" s="409"/>
      <c r="G65" s="409"/>
      <c r="H65" s="409"/>
      <c r="I65" s="410"/>
      <c r="J65" s="410"/>
      <c r="K65" s="411"/>
      <c r="L65" s="411"/>
      <c r="M65" s="412"/>
    </row>
    <row r="68" spans="1:13" ht="7.5" customHeight="1">
      <c r="C68" s="334"/>
      <c r="F68" s="334"/>
      <c r="G68" s="334"/>
    </row>
    <row r="69" spans="1:13" ht="15.75" customHeight="1">
      <c r="C69" s="334"/>
      <c r="F69" s="334"/>
      <c r="G69" s="334"/>
    </row>
    <row r="70" spans="1:13" ht="19.5" customHeight="1"/>
    <row r="71" spans="1:13">
      <c r="C71" s="311"/>
      <c r="D71" s="312"/>
      <c r="E71" s="313"/>
      <c r="F71" s="314"/>
      <c r="G71" s="311"/>
    </row>
    <row r="72" spans="1:13" ht="20.25" customHeight="1">
      <c r="C72" s="311"/>
      <c r="D72" s="312"/>
      <c r="E72" s="313"/>
      <c r="F72" s="311"/>
      <c r="G72" s="311"/>
    </row>
    <row r="73" spans="1:13" ht="15.75" customHeight="1">
      <c r="C73" s="311"/>
      <c r="D73" s="312"/>
      <c r="E73" s="313"/>
      <c r="F73" s="311"/>
      <c r="G73" s="311"/>
    </row>
    <row r="74" spans="1:13" ht="30.75" customHeight="1">
      <c r="C74" s="311"/>
      <c r="D74" s="312"/>
      <c r="E74" s="313"/>
      <c r="F74" s="311"/>
      <c r="G74" s="311"/>
    </row>
    <row r="75" spans="1:13" ht="15.75" customHeight="1">
      <c r="C75" s="311"/>
      <c r="D75" s="312"/>
      <c r="E75" s="313"/>
      <c r="F75" s="311"/>
      <c r="G75" s="311"/>
    </row>
    <row r="76" spans="1:13" ht="19.5" customHeight="1">
      <c r="C76" s="311"/>
      <c r="D76" s="312"/>
      <c r="E76" s="309"/>
      <c r="F76" s="311"/>
      <c r="G76" s="311"/>
    </row>
    <row r="77" spans="1:13" ht="19.5" customHeight="1">
      <c r="C77" s="311"/>
      <c r="D77" s="312"/>
      <c r="E77" s="313"/>
      <c r="F77" s="311"/>
      <c r="G77" s="311"/>
    </row>
    <row r="78" spans="1:13" ht="19.5" customHeight="1">
      <c r="C78" s="311"/>
      <c r="D78" s="312"/>
      <c r="E78" s="315"/>
      <c r="F78" s="311"/>
      <c r="G78" s="316"/>
    </row>
    <row r="79" spans="1:13" ht="19.5" customHeight="1">
      <c r="C79" s="311"/>
      <c r="D79" s="312"/>
      <c r="E79" s="315"/>
      <c r="F79" s="311"/>
      <c r="G79" s="316"/>
    </row>
    <row r="80" spans="1:13" ht="19.5" customHeight="1">
      <c r="C80" s="311"/>
      <c r="D80" s="312"/>
      <c r="E80" s="315"/>
      <c r="F80" s="311"/>
      <c r="G80" s="316"/>
    </row>
    <row r="81" spans="3:12" ht="19.5" customHeight="1">
      <c r="C81" s="311"/>
      <c r="D81" s="312"/>
      <c r="E81" s="317"/>
      <c r="F81" s="318"/>
      <c r="G81" s="316"/>
    </row>
    <row r="82" spans="3:12">
      <c r="C82" s="311"/>
      <c r="D82" s="312"/>
      <c r="E82" s="319"/>
      <c r="F82" s="311"/>
      <c r="G82" s="311"/>
    </row>
    <row r="84" spans="3:12">
      <c r="H84" s="320"/>
      <c r="I84" s="321"/>
      <c r="J84" s="321"/>
      <c r="K84" s="321"/>
      <c r="L84" s="320"/>
    </row>
    <row r="85" spans="3:12">
      <c r="H85" s="320"/>
      <c r="I85" s="321"/>
      <c r="J85" s="321"/>
      <c r="K85" s="321"/>
      <c r="L85" s="320"/>
    </row>
    <row r="86" spans="3:12">
      <c r="E86" s="322"/>
      <c r="H86" s="320"/>
      <c r="I86" s="321"/>
      <c r="J86" s="321"/>
      <c r="K86" s="321"/>
      <c r="L86" s="320"/>
    </row>
    <row r="87" spans="3:12">
      <c r="E87" s="322"/>
      <c r="H87" s="320"/>
      <c r="I87" s="321"/>
      <c r="J87" s="321"/>
      <c r="K87" s="321"/>
      <c r="L87" s="320"/>
    </row>
    <row r="88" spans="3:12">
      <c r="E88" s="322"/>
      <c r="H88" s="323"/>
      <c r="I88" s="324"/>
      <c r="J88" s="325"/>
      <c r="K88" s="324"/>
    </row>
    <row r="89" spans="3:12">
      <c r="J89" s="325"/>
    </row>
  </sheetData>
  <mergeCells count="55">
    <mergeCell ref="A59:E59"/>
    <mergeCell ref="G57:J57"/>
    <mergeCell ref="A57:E57"/>
    <mergeCell ref="A5:A15"/>
    <mergeCell ref="B5:B8"/>
    <mergeCell ref="N6:N7"/>
    <mergeCell ref="B30:B31"/>
    <mergeCell ref="B32:E32"/>
    <mergeCell ref="G59:J59"/>
    <mergeCell ref="B38:E38"/>
    <mergeCell ref="O6:O7"/>
    <mergeCell ref="P6:P7"/>
    <mergeCell ref="B15:E15"/>
    <mergeCell ref="G15:J15"/>
    <mergeCell ref="N12:P12"/>
    <mergeCell ref="N13:O13"/>
    <mergeCell ref="T6:T7"/>
    <mergeCell ref="N9:N10"/>
    <mergeCell ref="O9:O10"/>
    <mergeCell ref="P9:P10"/>
    <mergeCell ref="Q9:Q10"/>
    <mergeCell ref="R9:R10"/>
    <mergeCell ref="S9:S10"/>
    <mergeCell ref="Q6:Q7"/>
    <mergeCell ref="R6:R7"/>
    <mergeCell ref="S6:S7"/>
    <mergeCell ref="A62:M62"/>
    <mergeCell ref="N18:P18"/>
    <mergeCell ref="T9:T10"/>
    <mergeCell ref="B9:E9"/>
    <mergeCell ref="G9:J9"/>
    <mergeCell ref="B10:B13"/>
    <mergeCell ref="B14:E14"/>
    <mergeCell ref="G14:J14"/>
    <mergeCell ref="A49:A52"/>
    <mergeCell ref="B50:B51"/>
    <mergeCell ref="G52:J52"/>
    <mergeCell ref="A19:A21"/>
    <mergeCell ref="B21:E21"/>
    <mergeCell ref="G21:J21"/>
    <mergeCell ref="A26:A32"/>
    <mergeCell ref="B26:B29"/>
    <mergeCell ref="G32:J32"/>
    <mergeCell ref="B52:E52"/>
    <mergeCell ref="B44:E44"/>
    <mergeCell ref="H63:I63"/>
    <mergeCell ref="A63:G63"/>
    <mergeCell ref="H64:I64"/>
    <mergeCell ref="A64:G64"/>
    <mergeCell ref="A1:M1"/>
    <mergeCell ref="A35:A38"/>
    <mergeCell ref="B36:B37"/>
    <mergeCell ref="G38:J38"/>
    <mergeCell ref="A42:A44"/>
    <mergeCell ref="G44:J44"/>
  </mergeCells>
  <pageMargins left="0.11811023622047245" right="0" top="0.19685039370078741" bottom="0.39370078740157483" header="0.31496062992125984" footer="0.31496062992125984"/>
  <pageSetup paperSize="9" scale="80" orientation="landscape" horizontalDpi="4294967293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theme="0"/>
    <pageSetUpPr fitToPage="1"/>
  </sheetPr>
  <dimension ref="A1:O41"/>
  <sheetViews>
    <sheetView showGridLines="0" zoomScale="90" zoomScaleNormal="90" workbookViewId="0">
      <selection activeCell="D48" sqref="D48"/>
    </sheetView>
  </sheetViews>
  <sheetFormatPr defaultRowHeight="12.75"/>
  <cols>
    <col min="1" max="2" width="9.140625" style="5"/>
    <col min="3" max="3" width="16.7109375" style="5" customWidth="1"/>
    <col min="4" max="4" width="74.5703125" style="5" customWidth="1"/>
    <col min="5" max="5" width="9.140625" style="5"/>
    <col min="6" max="6" width="46.140625" style="7" customWidth="1"/>
    <col min="7" max="7" width="22.140625" style="7" customWidth="1"/>
    <col min="8" max="9" width="22.140625" style="5" customWidth="1"/>
    <col min="10" max="11" width="14.140625" style="5" customWidth="1"/>
    <col min="12" max="16384" width="9.140625" style="5"/>
  </cols>
  <sheetData>
    <row r="1" spans="1:15">
      <c r="F1" s="571"/>
      <c r="G1" s="571"/>
      <c r="H1" s="571"/>
      <c r="I1" s="571"/>
      <c r="J1" s="1"/>
      <c r="K1" s="1"/>
    </row>
    <row r="2" spans="1:15" ht="15" customHeight="1">
      <c r="A2" s="646" t="s">
        <v>26</v>
      </c>
      <c r="B2" s="646"/>
      <c r="C2" s="646"/>
      <c r="D2" s="646"/>
      <c r="E2" s="646"/>
      <c r="F2" s="646"/>
      <c r="G2" s="646"/>
      <c r="H2" s="646"/>
      <c r="I2" s="646"/>
      <c r="J2" s="3"/>
      <c r="K2" s="3"/>
    </row>
    <row r="3" spans="1:15" ht="15" customHeight="1">
      <c r="A3" s="646" t="s">
        <v>27</v>
      </c>
      <c r="B3" s="646"/>
      <c r="C3" s="646"/>
      <c r="D3" s="646"/>
      <c r="E3" s="646"/>
      <c r="F3" s="646"/>
      <c r="G3" s="646"/>
      <c r="H3" s="646"/>
      <c r="I3" s="646"/>
      <c r="J3" s="3"/>
      <c r="K3" s="3"/>
    </row>
    <row r="4" spans="1:15" ht="15" customHeight="1">
      <c r="A4" s="646" t="s">
        <v>329</v>
      </c>
      <c r="B4" s="646"/>
      <c r="C4" s="646"/>
      <c r="D4" s="646"/>
      <c r="E4" s="646"/>
      <c r="F4" s="646"/>
      <c r="G4" s="646"/>
      <c r="H4" s="646"/>
      <c r="I4" s="646"/>
      <c r="J4" s="3"/>
      <c r="K4" s="3"/>
    </row>
    <row r="5" spans="1:15" ht="15" customHeight="1">
      <c r="J5" s="2"/>
      <c r="K5" s="2"/>
    </row>
    <row r="6" spans="1:15">
      <c r="F6" s="8"/>
      <c r="G6" s="8"/>
      <c r="H6" s="2"/>
      <c r="I6" s="2"/>
      <c r="J6" s="2"/>
      <c r="K6" s="2"/>
    </row>
    <row r="7" spans="1:15" ht="15" customHeight="1">
      <c r="A7" s="1134" t="s">
        <v>282</v>
      </c>
      <c r="B7" s="1134"/>
      <c r="C7" s="1134"/>
      <c r="D7" s="1134"/>
      <c r="E7" s="1134"/>
      <c r="F7" s="1134"/>
      <c r="G7" s="1134"/>
      <c r="H7" s="1134"/>
      <c r="I7" s="1134"/>
      <c r="J7" s="2"/>
      <c r="K7" s="2"/>
    </row>
    <row r="9" spans="1:15" ht="15" customHeight="1">
      <c r="A9" s="648" t="s">
        <v>29</v>
      </c>
      <c r="B9" s="649"/>
      <c r="C9" s="649"/>
      <c r="D9" s="649"/>
      <c r="E9" s="649"/>
      <c r="F9" s="650"/>
      <c r="G9" s="654" t="str">
        <f>'Capa Planilha de Custos'!$B$7</f>
        <v>0001305-55.2020.4.05.7400</v>
      </c>
      <c r="H9" s="655"/>
      <c r="I9" s="656"/>
    </row>
    <row r="10" spans="1:15">
      <c r="A10" s="651"/>
      <c r="B10" s="652"/>
      <c r="C10" s="652"/>
      <c r="D10" s="652"/>
      <c r="E10" s="652"/>
      <c r="F10" s="653"/>
      <c r="G10" s="657"/>
      <c r="H10" s="658"/>
      <c r="I10" s="659"/>
    </row>
    <row r="11" spans="1:15" ht="42" customHeight="1">
      <c r="A11" s="632" t="s">
        <v>332</v>
      </c>
      <c r="B11" s="633"/>
      <c r="C11" s="633"/>
      <c r="D11" s="633"/>
      <c r="E11" s="633"/>
      <c r="F11" s="634"/>
      <c r="G11" s="638" t="str">
        <f>'Capa Planilha de Custos'!B19</f>
        <v>CONVENÇÕES COLETIVAS DE TRABALHO 2021/2021:
PB000047/2021 - SINDICATO DAS EMPRESAS DE ASSEIO E CONSERVAÇÃO DO ESTADO DA PARAÍBA SEAC-PB;
PB000100/2021 - SINDICATO DOS TRABALHADORES NAS EMPEMPRESAS PRESTADORAS DE SERVIÇOS EM CAMPINA GRANDE-PB</v>
      </c>
      <c r="H11" s="639"/>
      <c r="I11" s="640"/>
      <c r="O11"/>
    </row>
    <row r="12" spans="1:15" ht="42" customHeight="1">
      <c r="A12" s="635"/>
      <c r="B12" s="636"/>
      <c r="C12" s="636"/>
      <c r="D12" s="636"/>
      <c r="E12" s="636"/>
      <c r="F12" s="637"/>
      <c r="G12" s="641"/>
      <c r="H12" s="642"/>
      <c r="I12" s="643"/>
    </row>
    <row r="13" spans="1:15" ht="27.6" customHeight="1">
      <c r="A13" s="644" t="s">
        <v>323</v>
      </c>
      <c r="B13" s="644"/>
      <c r="C13" s="644"/>
      <c r="D13" s="644"/>
      <c r="E13" s="644"/>
      <c r="F13" s="644"/>
      <c r="G13" s="645">
        <f>'Capa Planilha de Custos'!B17</f>
        <v>36</v>
      </c>
      <c r="H13" s="645"/>
      <c r="I13" s="645"/>
    </row>
    <row r="14" spans="1:15">
      <c r="F14" s="4"/>
    </row>
    <row r="15" spans="1:15" ht="24" customHeight="1">
      <c r="A15" s="591" t="s">
        <v>135</v>
      </c>
      <c r="B15" s="591" t="s">
        <v>41</v>
      </c>
      <c r="C15" s="592" t="s">
        <v>253</v>
      </c>
      <c r="D15" s="591" t="s">
        <v>59</v>
      </c>
      <c r="E15" s="591"/>
      <c r="F15" s="591"/>
      <c r="G15" s="137" t="s">
        <v>36</v>
      </c>
      <c r="H15" s="137" t="s">
        <v>39</v>
      </c>
      <c r="I15" s="137" t="s">
        <v>40</v>
      </c>
    </row>
    <row r="16" spans="1:15" ht="24" customHeight="1">
      <c r="A16" s="591"/>
      <c r="B16" s="591"/>
      <c r="C16" s="593"/>
      <c r="D16" s="440" t="s">
        <v>657</v>
      </c>
      <c r="E16" s="440" t="s">
        <v>134</v>
      </c>
      <c r="F16" s="591" t="s">
        <v>60</v>
      </c>
      <c r="G16" s="591"/>
      <c r="H16" s="591"/>
      <c r="I16" s="591"/>
    </row>
    <row r="17" spans="1:9" ht="24" customHeight="1">
      <c r="A17" s="1133">
        <v>1</v>
      </c>
      <c r="B17" s="1133">
        <v>1</v>
      </c>
      <c r="C17" s="564" t="s">
        <v>333</v>
      </c>
      <c r="D17" s="568" t="s">
        <v>656</v>
      </c>
      <c r="E17" s="438">
        <v>1</v>
      </c>
      <c r="F17" s="159" t="s">
        <v>580</v>
      </c>
      <c r="G17" s="44">
        <f>'Consolidado Mão de Obra'!E12</f>
        <v>4749.9799999999996</v>
      </c>
      <c r="H17" s="44">
        <f>G17*12</f>
        <v>56999.759999999995</v>
      </c>
      <c r="I17" s="44">
        <f t="shared" ref="I17:I40" si="0">G17*$G$13</f>
        <v>170999.27999999997</v>
      </c>
    </row>
    <row r="18" spans="1:9" ht="24" customHeight="1">
      <c r="A18" s="1133"/>
      <c r="B18" s="1133"/>
      <c r="C18" s="662"/>
      <c r="D18" s="662"/>
      <c r="E18" s="438">
        <v>2</v>
      </c>
      <c r="F18" s="159" t="s">
        <v>252</v>
      </c>
      <c r="G18" s="44">
        <f>'Consolidado Mão de Obra'!E13</f>
        <v>25888.240000000002</v>
      </c>
      <c r="H18" s="44">
        <f t="shared" ref="H18:H24" si="1">G18*12</f>
        <v>310658.88</v>
      </c>
      <c r="I18" s="44">
        <f t="shared" si="0"/>
        <v>931976.64</v>
      </c>
    </row>
    <row r="19" spans="1:9" ht="24" customHeight="1">
      <c r="A19" s="1133"/>
      <c r="B19" s="1133"/>
      <c r="C19" s="662"/>
      <c r="D19" s="662"/>
      <c r="E19" s="438">
        <v>3</v>
      </c>
      <c r="F19" s="159" t="s">
        <v>578</v>
      </c>
      <c r="G19" s="44">
        <f>'Consolidado Mão de Obra'!E14</f>
        <v>6938.06</v>
      </c>
      <c r="H19" s="44">
        <f t="shared" si="1"/>
        <v>83256.72</v>
      </c>
      <c r="I19" s="44">
        <f t="shared" si="0"/>
        <v>249770.16</v>
      </c>
    </row>
    <row r="20" spans="1:9" ht="24" customHeight="1">
      <c r="A20" s="1133"/>
      <c r="B20" s="1133"/>
      <c r="C20" s="662"/>
      <c r="D20" s="662"/>
      <c r="E20" s="438">
        <v>4</v>
      </c>
      <c r="F20" s="159" t="s">
        <v>606</v>
      </c>
      <c r="G20" s="44">
        <f>'Consolidado Mão de Obra'!E15</f>
        <v>3700.76</v>
      </c>
      <c r="H20" s="44">
        <f>G20*12</f>
        <v>44409.120000000003</v>
      </c>
      <c r="I20" s="44">
        <f>G20*$G$13</f>
        <v>133227.36000000002</v>
      </c>
    </row>
    <row r="21" spans="1:9" ht="24" customHeight="1">
      <c r="A21" s="1133"/>
      <c r="B21" s="1133"/>
      <c r="C21" s="662"/>
      <c r="D21" s="565"/>
      <c r="E21" s="438">
        <v>5</v>
      </c>
      <c r="F21" s="159" t="s">
        <v>579</v>
      </c>
      <c r="G21" s="44">
        <f>'Consolidado Mão de Obra'!E16</f>
        <v>8316.6</v>
      </c>
      <c r="H21" s="44">
        <f>G21*12</f>
        <v>99799.200000000012</v>
      </c>
      <c r="I21" s="44">
        <f>G21*$G$13</f>
        <v>299397.60000000003</v>
      </c>
    </row>
    <row r="22" spans="1:9" ht="24" customHeight="1">
      <c r="A22" s="1133"/>
      <c r="B22" s="1133"/>
      <c r="C22" s="662"/>
      <c r="D22" s="568" t="s">
        <v>658</v>
      </c>
      <c r="E22" s="438">
        <v>6</v>
      </c>
      <c r="F22" s="159" t="s">
        <v>165</v>
      </c>
      <c r="G22" s="44">
        <f>'Consolidado Mão de Obra'!E17</f>
        <v>12020.12</v>
      </c>
      <c r="H22" s="44">
        <f t="shared" si="1"/>
        <v>144241.44</v>
      </c>
      <c r="I22" s="44">
        <f t="shared" si="0"/>
        <v>432724.32</v>
      </c>
    </row>
    <row r="23" spans="1:9" ht="24" customHeight="1">
      <c r="A23" s="1133"/>
      <c r="B23" s="1133"/>
      <c r="C23" s="662"/>
      <c r="D23" s="662"/>
      <c r="E23" s="438">
        <v>7</v>
      </c>
      <c r="F23" s="159" t="s">
        <v>339</v>
      </c>
      <c r="G23" s="44">
        <f>'Consolidado Mão de Obra'!E18</f>
        <v>3138.35</v>
      </c>
      <c r="H23" s="44">
        <f t="shared" si="1"/>
        <v>37660.199999999997</v>
      </c>
      <c r="I23" s="44">
        <f t="shared" si="0"/>
        <v>112980.59999999999</v>
      </c>
    </row>
    <row r="24" spans="1:9" ht="24" customHeight="1">
      <c r="A24" s="1133"/>
      <c r="B24" s="1133"/>
      <c r="C24" s="662"/>
      <c r="D24" s="565"/>
      <c r="E24" s="438">
        <v>8</v>
      </c>
      <c r="F24" s="159" t="s">
        <v>137</v>
      </c>
      <c r="G24" s="44">
        <f>'Consolidado Mão de Obra'!E19</f>
        <v>11795.24</v>
      </c>
      <c r="H24" s="44">
        <f t="shared" si="1"/>
        <v>141542.88</v>
      </c>
      <c r="I24" s="44">
        <f t="shared" si="0"/>
        <v>424628.64</v>
      </c>
    </row>
    <row r="25" spans="1:9" ht="38.25">
      <c r="A25" s="1133"/>
      <c r="B25" s="1131">
        <v>2</v>
      </c>
      <c r="C25" s="1128" t="s">
        <v>334</v>
      </c>
      <c r="D25" s="442" t="s">
        <v>659</v>
      </c>
      <c r="E25" s="437">
        <v>10</v>
      </c>
      <c r="F25" s="428" t="s">
        <v>578</v>
      </c>
      <c r="G25" s="140">
        <f>'Consolidado Mão de Obra'!E24</f>
        <v>3469.03</v>
      </c>
      <c r="H25" s="140">
        <f t="shared" ref="H25:H40" si="2">G25*12</f>
        <v>41628.36</v>
      </c>
      <c r="I25" s="148">
        <f t="shared" si="0"/>
        <v>124885.08</v>
      </c>
    </row>
    <row r="26" spans="1:9" ht="38.25">
      <c r="A26" s="1133"/>
      <c r="B26" s="1131"/>
      <c r="C26" s="1132"/>
      <c r="D26" s="442" t="s">
        <v>660</v>
      </c>
      <c r="E26" s="437">
        <v>12</v>
      </c>
      <c r="F26" s="428" t="s">
        <v>581</v>
      </c>
      <c r="G26" s="140">
        <f>'Consolidado Mão de Obra'!E25</f>
        <v>3469.76</v>
      </c>
      <c r="H26" s="140">
        <f t="shared" si="2"/>
        <v>41637.120000000003</v>
      </c>
      <c r="I26" s="148">
        <f t="shared" si="0"/>
        <v>124911.36000000002</v>
      </c>
    </row>
    <row r="27" spans="1:9" ht="24" customHeight="1">
      <c r="A27" s="1133"/>
      <c r="B27" s="564">
        <v>3</v>
      </c>
      <c r="C27" s="568" t="s">
        <v>335</v>
      </c>
      <c r="D27" s="568" t="s">
        <v>661</v>
      </c>
      <c r="E27" s="438">
        <v>13</v>
      </c>
      <c r="F27" s="159" t="s">
        <v>579</v>
      </c>
      <c r="G27" s="18">
        <f>'Consolidado Mão de Obra'!E30</f>
        <v>8316.6</v>
      </c>
      <c r="H27" s="18">
        <f t="shared" si="2"/>
        <v>99799.200000000012</v>
      </c>
      <c r="I27" s="44">
        <f t="shared" si="0"/>
        <v>299397.60000000003</v>
      </c>
    </row>
    <row r="28" spans="1:9" ht="24" customHeight="1">
      <c r="A28" s="1133"/>
      <c r="B28" s="662"/>
      <c r="C28" s="1130"/>
      <c r="D28" s="565"/>
      <c r="E28" s="438">
        <v>14</v>
      </c>
      <c r="F28" s="85" t="s">
        <v>252</v>
      </c>
      <c r="G28" s="18">
        <f>'Consolidado Mão de Obra'!E31</f>
        <v>19416.18</v>
      </c>
      <c r="H28" s="18">
        <f t="shared" si="2"/>
        <v>232994.16</v>
      </c>
      <c r="I28" s="44">
        <f t="shared" si="0"/>
        <v>698982.48</v>
      </c>
    </row>
    <row r="29" spans="1:9" ht="24" customHeight="1">
      <c r="A29" s="1133"/>
      <c r="B29" s="662"/>
      <c r="C29" s="1130"/>
      <c r="D29" s="568" t="s">
        <v>658</v>
      </c>
      <c r="E29" s="438">
        <v>15</v>
      </c>
      <c r="F29" s="159" t="s">
        <v>339</v>
      </c>
      <c r="G29" s="18">
        <f>'Consolidado Mão de Obra'!E32</f>
        <v>3138.35</v>
      </c>
      <c r="H29" s="18">
        <f t="shared" si="2"/>
        <v>37660.199999999997</v>
      </c>
      <c r="I29" s="44">
        <f t="shared" si="0"/>
        <v>112980.59999999999</v>
      </c>
    </row>
    <row r="30" spans="1:9" ht="24" customHeight="1">
      <c r="A30" s="1133"/>
      <c r="B30" s="662"/>
      <c r="C30" s="1130"/>
      <c r="D30" s="662"/>
      <c r="E30" s="438">
        <v>16</v>
      </c>
      <c r="F30" s="85" t="s">
        <v>165</v>
      </c>
      <c r="G30" s="18">
        <f>'Consolidado Mão de Obra'!E33</f>
        <v>3005.03</v>
      </c>
      <c r="H30" s="18">
        <f t="shared" si="2"/>
        <v>36060.36</v>
      </c>
      <c r="I30" s="44">
        <f>G30*$G$13</f>
        <v>108181.08</v>
      </c>
    </row>
    <row r="31" spans="1:9" ht="24" customHeight="1">
      <c r="A31" s="1133"/>
      <c r="B31" s="662"/>
      <c r="C31" s="1130"/>
      <c r="D31" s="662"/>
      <c r="E31" s="438">
        <v>17</v>
      </c>
      <c r="F31" s="159" t="s">
        <v>581</v>
      </c>
      <c r="G31" s="18">
        <f>'Consolidado Mão de Obra'!E34</f>
        <v>3469.76</v>
      </c>
      <c r="H31" s="18">
        <f t="shared" si="2"/>
        <v>41637.120000000003</v>
      </c>
      <c r="I31" s="44">
        <f>G31*$G$13</f>
        <v>124911.36000000002</v>
      </c>
    </row>
    <row r="32" spans="1:9" ht="24" customHeight="1">
      <c r="A32" s="1133"/>
      <c r="B32" s="565"/>
      <c r="C32" s="569"/>
      <c r="D32" s="565"/>
      <c r="E32" s="438">
        <v>18</v>
      </c>
      <c r="F32" s="85" t="s">
        <v>137</v>
      </c>
      <c r="G32" s="18">
        <f>'Consolidado Mão de Obra'!E35</f>
        <v>5897.62</v>
      </c>
      <c r="H32" s="18">
        <f t="shared" si="2"/>
        <v>70771.44</v>
      </c>
      <c r="I32" s="44">
        <f>G32*$G$13</f>
        <v>212314.32</v>
      </c>
    </row>
    <row r="33" spans="1:9" ht="24" customHeight="1">
      <c r="A33" s="1133"/>
      <c r="B33" s="1131">
        <v>4</v>
      </c>
      <c r="C33" s="1128" t="s">
        <v>336</v>
      </c>
      <c r="D33" s="1128" t="s">
        <v>659</v>
      </c>
      <c r="E33" s="437">
        <v>19</v>
      </c>
      <c r="F33" s="428" t="s">
        <v>578</v>
      </c>
      <c r="G33" s="140">
        <f>'Consolidado Mão de Obra'!E41</f>
        <v>3469.03</v>
      </c>
      <c r="H33" s="140">
        <f t="shared" si="2"/>
        <v>41628.36</v>
      </c>
      <c r="I33" s="148">
        <f t="shared" si="0"/>
        <v>124885.08</v>
      </c>
    </row>
    <row r="34" spans="1:9" ht="24" customHeight="1">
      <c r="A34" s="1133"/>
      <c r="B34" s="1131"/>
      <c r="C34" s="1132"/>
      <c r="D34" s="1129"/>
      <c r="E34" s="437">
        <v>20</v>
      </c>
      <c r="F34" s="428" t="s">
        <v>252</v>
      </c>
      <c r="G34" s="140">
        <f>'Consolidado Mão de Obra'!E42</f>
        <v>3236.03</v>
      </c>
      <c r="H34" s="140">
        <f t="shared" si="2"/>
        <v>38832.36</v>
      </c>
      <c r="I34" s="148">
        <f t="shared" si="0"/>
        <v>116497.08</v>
      </c>
    </row>
    <row r="35" spans="1:9" ht="38.25">
      <c r="A35" s="1133"/>
      <c r="B35" s="1131"/>
      <c r="C35" s="1132"/>
      <c r="D35" s="442" t="s">
        <v>660</v>
      </c>
      <c r="E35" s="437">
        <v>21</v>
      </c>
      <c r="F35" s="428" t="s">
        <v>581</v>
      </c>
      <c r="G35" s="140">
        <f>'Consolidado Mão de Obra'!E43</f>
        <v>3469.76</v>
      </c>
      <c r="H35" s="140">
        <f t="shared" si="2"/>
        <v>41637.120000000003</v>
      </c>
      <c r="I35" s="148">
        <f t="shared" si="0"/>
        <v>124911.36000000002</v>
      </c>
    </row>
    <row r="36" spans="1:9" ht="38.25">
      <c r="A36" s="1133"/>
      <c r="B36" s="1133">
        <v>5</v>
      </c>
      <c r="C36" s="568" t="s">
        <v>337</v>
      </c>
      <c r="D36" s="443" t="s">
        <v>659</v>
      </c>
      <c r="E36" s="438">
        <v>22</v>
      </c>
      <c r="F36" s="159" t="s">
        <v>578</v>
      </c>
      <c r="G36" s="18">
        <f>'Consolidado Mão de Obra'!E48</f>
        <v>3469.03</v>
      </c>
      <c r="H36" s="18">
        <f t="shared" si="2"/>
        <v>41628.36</v>
      </c>
      <c r="I36" s="44">
        <f t="shared" si="0"/>
        <v>124885.08</v>
      </c>
    </row>
    <row r="37" spans="1:9" ht="38.25">
      <c r="A37" s="1133"/>
      <c r="B37" s="1133"/>
      <c r="C37" s="1130"/>
      <c r="D37" s="443" t="s">
        <v>660</v>
      </c>
      <c r="E37" s="438">
        <v>23</v>
      </c>
      <c r="F37" s="85" t="s">
        <v>581</v>
      </c>
      <c r="G37" s="18">
        <f>'Consolidado Mão de Obra'!E49</f>
        <v>3469.76</v>
      </c>
      <c r="H37" s="18">
        <f t="shared" si="2"/>
        <v>41637.120000000003</v>
      </c>
      <c r="I37" s="44">
        <f t="shared" si="0"/>
        <v>124911.36000000002</v>
      </c>
    </row>
    <row r="38" spans="1:9" ht="24" customHeight="1">
      <c r="A38" s="1133"/>
      <c r="B38" s="1131">
        <v>6</v>
      </c>
      <c r="C38" s="1128" t="s">
        <v>338</v>
      </c>
      <c r="D38" s="1128" t="s">
        <v>659</v>
      </c>
      <c r="E38" s="437">
        <v>24</v>
      </c>
      <c r="F38" s="428" t="s">
        <v>578</v>
      </c>
      <c r="G38" s="140">
        <f>'Consolidado Mão de Obra'!E54</f>
        <v>3469.03</v>
      </c>
      <c r="H38" s="140">
        <f t="shared" si="2"/>
        <v>41628.36</v>
      </c>
      <c r="I38" s="148">
        <f t="shared" si="0"/>
        <v>124885.08</v>
      </c>
    </row>
    <row r="39" spans="1:9" ht="24" customHeight="1">
      <c r="A39" s="1133"/>
      <c r="B39" s="1131"/>
      <c r="C39" s="1132"/>
      <c r="D39" s="1129"/>
      <c r="E39" s="437">
        <v>25</v>
      </c>
      <c r="F39" s="428" t="s">
        <v>252</v>
      </c>
      <c r="G39" s="140">
        <f>'Consolidado Mão de Obra'!E55</f>
        <v>3236.03</v>
      </c>
      <c r="H39" s="140">
        <f t="shared" si="2"/>
        <v>38832.36</v>
      </c>
      <c r="I39" s="148">
        <f t="shared" si="0"/>
        <v>116497.08</v>
      </c>
    </row>
    <row r="40" spans="1:9" ht="38.25">
      <c r="A40" s="1133"/>
      <c r="B40" s="1131"/>
      <c r="C40" s="1132"/>
      <c r="D40" s="442" t="s">
        <v>660</v>
      </c>
      <c r="E40" s="437">
        <v>26</v>
      </c>
      <c r="F40" s="428" t="s">
        <v>581</v>
      </c>
      <c r="G40" s="140">
        <f>'Consolidado Mão de Obra'!E56</f>
        <v>3469.76</v>
      </c>
      <c r="H40" s="140">
        <f t="shared" si="2"/>
        <v>41637.120000000003</v>
      </c>
      <c r="I40" s="148">
        <f t="shared" si="0"/>
        <v>124911.36000000002</v>
      </c>
    </row>
    <row r="41" spans="1:9" s="481" customFormat="1" ht="21.75" customHeight="1">
      <c r="A41" s="1135" t="s">
        <v>683</v>
      </c>
      <c r="B41" s="1135"/>
      <c r="C41" s="1135"/>
      <c r="D41" s="1135"/>
      <c r="E41" s="1135"/>
      <c r="F41" s="1135"/>
      <c r="G41" s="557">
        <f>SUM(G17:G40)</f>
        <v>154018.11000000004</v>
      </c>
      <c r="H41" s="557">
        <f>SUM(H17:H40)</f>
        <v>1848217.3200000008</v>
      </c>
      <c r="I41" s="557">
        <f>SUM(I17:I40)</f>
        <v>5544651.9600000018</v>
      </c>
    </row>
  </sheetData>
  <mergeCells count="36">
    <mergeCell ref="A41:F41"/>
    <mergeCell ref="B33:B35"/>
    <mergeCell ref="C33:C35"/>
    <mergeCell ref="B36:B37"/>
    <mergeCell ref="F1:I1"/>
    <mergeCell ref="A2:I2"/>
    <mergeCell ref="A3:I3"/>
    <mergeCell ref="A4:I4"/>
    <mergeCell ref="A7:I7"/>
    <mergeCell ref="A11:F12"/>
    <mergeCell ref="G11:I12"/>
    <mergeCell ref="A9:F10"/>
    <mergeCell ref="G9:I10"/>
    <mergeCell ref="A13:F13"/>
    <mergeCell ref="G13:I13"/>
    <mergeCell ref="A15:A16"/>
    <mergeCell ref="B15:B16"/>
    <mergeCell ref="C15:C16"/>
    <mergeCell ref="D15:F15"/>
    <mergeCell ref="F16:I16"/>
    <mergeCell ref="C36:C37"/>
    <mergeCell ref="B38:B40"/>
    <mergeCell ref="C38:C40"/>
    <mergeCell ref="A17:A40"/>
    <mergeCell ref="B17:B24"/>
    <mergeCell ref="C17:C24"/>
    <mergeCell ref="B27:B32"/>
    <mergeCell ref="C27:C32"/>
    <mergeCell ref="B25:B26"/>
    <mergeCell ref="C25:C26"/>
    <mergeCell ref="D17:D21"/>
    <mergeCell ref="D22:D24"/>
    <mergeCell ref="D27:D28"/>
    <mergeCell ref="D29:D32"/>
    <mergeCell ref="D33:D34"/>
    <mergeCell ref="D38:D39"/>
  </mergeCells>
  <pageMargins left="0.51181102362204722" right="0.51181102362204722" top="0.78740157480314965" bottom="0.78740157480314965" header="0.31496062992125984" footer="0.31496062992125984"/>
  <pageSetup paperSize="9" scale="4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E9821B"/>
  </sheetPr>
  <dimension ref="A1:AQ160"/>
  <sheetViews>
    <sheetView showGridLines="0" topLeftCell="A25" zoomScaleSheetLayoutView="120" workbookViewId="0">
      <selection activeCell="C73" sqref="C73:AJ73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6" width="3.85546875" style="34" customWidth="1"/>
    <col min="37" max="37" width="2.42578125" style="130" customWidth="1"/>
    <col min="38" max="38" width="13" style="130" customWidth="1"/>
    <col min="39" max="42" width="2.42578125" style="34"/>
    <col min="43" max="43" width="3.5703125" style="34" customWidth="1"/>
    <col min="44" max="16384" width="2.42578125" style="34"/>
  </cols>
  <sheetData>
    <row r="1" spans="1:38" ht="15" customHeight="1">
      <c r="A1" s="854"/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  <c r="AI1" s="854"/>
      <c r="AJ1" s="854"/>
    </row>
    <row r="2" spans="1:38" ht="15" customHeight="1">
      <c r="A2" s="855" t="s">
        <v>26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  <c r="S2" s="855"/>
      <c r="T2" s="855"/>
      <c r="U2" s="855"/>
      <c r="V2" s="855"/>
      <c r="W2" s="855"/>
      <c r="X2" s="855"/>
      <c r="Y2" s="855"/>
      <c r="Z2" s="855"/>
      <c r="AA2" s="855"/>
      <c r="AB2" s="855"/>
      <c r="AC2" s="855"/>
      <c r="AD2" s="855"/>
      <c r="AE2" s="855"/>
      <c r="AF2" s="855"/>
      <c r="AG2" s="855"/>
      <c r="AH2" s="855"/>
      <c r="AI2" s="855"/>
      <c r="AJ2" s="855"/>
    </row>
    <row r="3" spans="1:38" ht="15" customHeight="1">
      <c r="A3" s="855" t="s">
        <v>27</v>
      </c>
      <c r="B3" s="855"/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  <c r="AB3" s="855"/>
      <c r="AC3" s="855"/>
      <c r="AD3" s="855"/>
      <c r="AE3" s="855"/>
      <c r="AF3" s="855"/>
      <c r="AG3" s="855"/>
      <c r="AH3" s="855"/>
      <c r="AI3" s="855"/>
      <c r="AJ3" s="855"/>
    </row>
    <row r="4" spans="1:38" ht="15" customHeight="1">
      <c r="A4" s="855" t="s">
        <v>329</v>
      </c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B4" s="855"/>
      <c r="AC4" s="855"/>
      <c r="AD4" s="855"/>
      <c r="AE4" s="855"/>
      <c r="AF4" s="855"/>
      <c r="AG4" s="855"/>
      <c r="AH4" s="855"/>
      <c r="AI4" s="855"/>
      <c r="AJ4" s="855"/>
    </row>
    <row r="5" spans="1:38" ht="15" customHeight="1">
      <c r="A5" s="854"/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854"/>
      <c r="W5" s="854"/>
      <c r="X5" s="854"/>
      <c r="Y5" s="854"/>
      <c r="Z5" s="854"/>
      <c r="AA5" s="854"/>
      <c r="AB5" s="854"/>
      <c r="AC5" s="854"/>
      <c r="AD5" s="854"/>
      <c r="AE5" s="854"/>
      <c r="AF5" s="854"/>
      <c r="AG5" s="854"/>
      <c r="AH5" s="854"/>
      <c r="AI5" s="854"/>
      <c r="AJ5" s="854"/>
    </row>
    <row r="6" spans="1:38" ht="15" customHeight="1">
      <c r="A6" s="854"/>
      <c r="B6" s="854"/>
      <c r="C6" s="854"/>
      <c r="D6" s="854"/>
      <c r="E6" s="854"/>
      <c r="F6" s="854"/>
      <c r="G6" s="854"/>
      <c r="H6" s="854"/>
      <c r="I6" s="854"/>
      <c r="J6" s="854"/>
      <c r="K6" s="854"/>
      <c r="L6" s="854"/>
      <c r="M6" s="854"/>
      <c r="N6" s="854"/>
      <c r="O6" s="854"/>
      <c r="P6" s="854"/>
      <c r="Q6" s="854"/>
      <c r="R6" s="854"/>
      <c r="S6" s="854"/>
      <c r="T6" s="854"/>
      <c r="U6" s="854"/>
      <c r="V6" s="854"/>
      <c r="W6" s="854"/>
      <c r="X6" s="854"/>
      <c r="Y6" s="854"/>
      <c r="Z6" s="854"/>
      <c r="AA6" s="854"/>
      <c r="AB6" s="854"/>
      <c r="AC6" s="854"/>
      <c r="AD6" s="854"/>
      <c r="AE6" s="854"/>
      <c r="AF6" s="854"/>
      <c r="AG6" s="854"/>
      <c r="AH6" s="854"/>
      <c r="AI6" s="854"/>
      <c r="AJ6" s="854"/>
    </row>
    <row r="7" spans="1:38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  <c r="AK7" s="131"/>
      <c r="AL7" s="131"/>
    </row>
    <row r="8" spans="1:38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  <c r="AK8" s="131"/>
      <c r="AL8" s="131"/>
    </row>
    <row r="9" spans="1:38" s="35" customFormat="1" ht="14.45" customHeight="1">
      <c r="A9" s="856" t="s">
        <v>340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  <c r="AK9" s="131"/>
      <c r="AL9" s="131"/>
    </row>
    <row r="10" spans="1:38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  <c r="AK10" s="131"/>
      <c r="AL10" s="131"/>
    </row>
    <row r="11" spans="1:38" s="35" customFormat="1" ht="14.45" customHeight="1">
      <c r="A11" s="859" t="str">
        <f>'Capa Planilha de Custos'!B7</f>
        <v>0001305-55.2020.4.05.7400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  <c r="AK11" s="131"/>
      <c r="AL11" s="131"/>
    </row>
    <row r="12" spans="1:38" s="35" customFormat="1" ht="14.45" customHeight="1">
      <c r="A12" s="860" t="s">
        <v>144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  <c r="R12" s="861"/>
      <c r="S12" s="861"/>
      <c r="T12" s="861"/>
      <c r="U12" s="861"/>
      <c r="V12" s="861"/>
      <c r="W12" s="861"/>
      <c r="X12" s="861"/>
      <c r="Y12" s="861"/>
      <c r="Z12" s="861"/>
      <c r="AA12" s="861"/>
      <c r="AB12" s="861"/>
      <c r="AC12" s="861"/>
      <c r="AD12" s="861"/>
      <c r="AE12" s="861"/>
      <c r="AF12" s="861"/>
      <c r="AG12" s="861"/>
      <c r="AH12" s="861"/>
      <c r="AI12" s="861"/>
      <c r="AJ12" s="862"/>
      <c r="AK12" s="131"/>
      <c r="AL12" s="131"/>
    </row>
    <row r="13" spans="1:38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  <c r="AK13" s="131"/>
      <c r="AL13" s="131"/>
    </row>
    <row r="14" spans="1:38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131"/>
      <c r="AL14" s="131"/>
    </row>
    <row r="15" spans="1:38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  <c r="AK15" s="131"/>
      <c r="AL15" s="131"/>
    </row>
    <row r="16" spans="1:38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  <c r="AK16" s="131"/>
      <c r="AL16" s="131"/>
    </row>
    <row r="17" spans="1:38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48" t="s">
        <v>341</v>
      </c>
      <c r="AE17" s="849"/>
      <c r="AF17" s="849"/>
      <c r="AG17" s="849"/>
      <c r="AH17" s="849"/>
      <c r="AI17" s="849"/>
      <c r="AJ17" s="850"/>
      <c r="AK17" s="131"/>
      <c r="AL17" s="131"/>
    </row>
    <row r="18" spans="1:38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23" t="s">
        <v>342</v>
      </c>
      <c r="AE18" s="824"/>
      <c r="AF18" s="824"/>
      <c r="AG18" s="824"/>
      <c r="AH18" s="824"/>
      <c r="AI18" s="824"/>
      <c r="AJ18" s="825"/>
      <c r="AK18" s="131"/>
      <c r="AL18" s="131"/>
    </row>
    <row r="19" spans="1:38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  <c r="AK19" s="131"/>
      <c r="AL19" s="131"/>
    </row>
    <row r="20" spans="1:38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131"/>
      <c r="AL20" s="131"/>
    </row>
    <row r="21" spans="1:38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  <c r="AK21" s="131"/>
      <c r="AL21" s="131"/>
    </row>
    <row r="22" spans="1:38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23" t="s">
        <v>138</v>
      </c>
      <c r="R22" s="824"/>
      <c r="S22" s="824"/>
      <c r="T22" s="824"/>
      <c r="U22" s="824"/>
      <c r="V22" s="824"/>
      <c r="W22" s="824"/>
      <c r="X22" s="824"/>
      <c r="Y22" s="824"/>
      <c r="Z22" s="824"/>
      <c r="AA22" s="824"/>
      <c r="AB22" s="824"/>
      <c r="AC22" s="824"/>
      <c r="AD22" s="824"/>
      <c r="AE22" s="824"/>
      <c r="AF22" s="824"/>
      <c r="AG22" s="824"/>
      <c r="AH22" s="824"/>
      <c r="AI22" s="824"/>
      <c r="AJ22" s="825"/>
      <c r="AK22" s="131"/>
      <c r="AL22" s="131"/>
    </row>
    <row r="23" spans="1:38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  <c r="AK23" s="131"/>
      <c r="AL23" s="131"/>
    </row>
    <row r="24" spans="1:38" s="35" customFormat="1" ht="14.45" customHeight="1">
      <c r="A24" s="832" t="s">
        <v>353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  <c r="AK24" s="131"/>
      <c r="AL24" s="131"/>
    </row>
    <row r="25" spans="1:38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131"/>
      <c r="AL25" s="131"/>
    </row>
    <row r="26" spans="1:38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  <c r="AK26" s="131"/>
      <c r="AL26" s="131"/>
    </row>
    <row r="27" spans="1:38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131"/>
      <c r="AL27" s="131"/>
    </row>
    <row r="28" spans="1:38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  <c r="AK28" s="131"/>
      <c r="AL28" s="131"/>
    </row>
    <row r="29" spans="1:38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  <c r="AK29" s="131"/>
      <c r="AL29" s="131"/>
    </row>
    <row r="30" spans="1:38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819" t="s">
        <v>140</v>
      </c>
      <c r="AE30" s="819"/>
      <c r="AF30" s="819"/>
      <c r="AG30" s="819"/>
      <c r="AH30" s="819"/>
      <c r="AI30" s="819"/>
      <c r="AJ30" s="819"/>
      <c r="AK30" s="131"/>
      <c r="AL30" s="131"/>
    </row>
    <row r="31" spans="1:38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819" t="s">
        <v>141</v>
      </c>
      <c r="AE31" s="819"/>
      <c r="AF31" s="819"/>
      <c r="AG31" s="819"/>
      <c r="AH31" s="819"/>
      <c r="AI31" s="819"/>
      <c r="AJ31" s="819"/>
      <c r="AK31" s="131"/>
      <c r="AL31" s="131"/>
    </row>
    <row r="32" spans="1:38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v>1640</v>
      </c>
      <c r="AE32" s="820"/>
      <c r="AF32" s="820"/>
      <c r="AG32" s="820"/>
      <c r="AH32" s="820"/>
      <c r="AI32" s="820"/>
      <c r="AJ32" s="820"/>
      <c r="AK32" s="131"/>
      <c r="AL32" s="131"/>
    </row>
    <row r="33" spans="1:38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19" t="s">
        <v>214</v>
      </c>
      <c r="AE33" s="819"/>
      <c r="AF33" s="819"/>
      <c r="AG33" s="819"/>
      <c r="AH33" s="819"/>
      <c r="AI33" s="819"/>
      <c r="AJ33" s="819"/>
      <c r="AK33" s="131"/>
      <c r="AL33" s="131"/>
    </row>
    <row r="34" spans="1:38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  <c r="AK34" s="131"/>
      <c r="AL34" s="131"/>
    </row>
    <row r="35" spans="1:38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131"/>
      <c r="AL35" s="131"/>
    </row>
    <row r="36" spans="1:38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8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  <c r="AK37" s="132"/>
      <c r="AL37" s="132"/>
    </row>
    <row r="38" spans="1:38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1640</v>
      </c>
      <c r="AE38" s="775"/>
      <c r="AF38" s="775"/>
      <c r="AG38" s="775"/>
      <c r="AH38" s="775"/>
      <c r="AI38" s="775"/>
      <c r="AJ38" s="776"/>
    </row>
    <row r="39" spans="1:38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8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41"/>
      <c r="Z40" s="742"/>
      <c r="AA40" s="742"/>
      <c r="AB40" s="742"/>
      <c r="AC40" s="743"/>
      <c r="AD40" s="744"/>
      <c r="AE40" s="745"/>
      <c r="AF40" s="745"/>
      <c r="AG40" s="745"/>
      <c r="AH40" s="745"/>
      <c r="AI40" s="745"/>
      <c r="AJ40" s="746"/>
    </row>
    <row r="41" spans="1:38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8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8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8" ht="14.45" customHeight="1">
      <c r="A44" s="722" t="s">
        <v>8</v>
      </c>
      <c r="B44" s="723"/>
      <c r="C44" s="724" t="s">
        <v>529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10">
        <v>0.2</v>
      </c>
      <c r="Z44" s="811"/>
      <c r="AA44" s="811"/>
      <c r="AB44" s="811"/>
      <c r="AC44" s="812"/>
      <c r="AD44" s="744">
        <f>AD38*Y44</f>
        <v>328</v>
      </c>
      <c r="AE44" s="745"/>
      <c r="AF44" s="745"/>
      <c r="AG44" s="745"/>
      <c r="AH44" s="745"/>
      <c r="AI44" s="745"/>
      <c r="AJ44" s="746"/>
    </row>
    <row r="45" spans="1:38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1968</v>
      </c>
      <c r="AE45" s="692"/>
      <c r="AF45" s="692"/>
      <c r="AG45" s="692"/>
      <c r="AH45" s="692"/>
      <c r="AI45" s="692"/>
      <c r="AJ45" s="693"/>
    </row>
    <row r="46" spans="1:38" ht="14.45" customHeight="1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60"/>
      <c r="Z46" s="60"/>
      <c r="AA46" s="60"/>
      <c r="AB46" s="60"/>
      <c r="AC46" s="60"/>
      <c r="AD46" s="61"/>
      <c r="AE46" s="61"/>
      <c r="AF46" s="61"/>
      <c r="AG46" s="61"/>
      <c r="AH46" s="61"/>
      <c r="AI46" s="61"/>
      <c r="AJ46" s="61"/>
    </row>
    <row r="47" spans="1:38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8" ht="14.45" customHeight="1">
      <c r="A48" s="813" t="s">
        <v>280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8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8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164</v>
      </c>
      <c r="AE50" s="775"/>
      <c r="AF50" s="775"/>
      <c r="AG50" s="775"/>
      <c r="AH50" s="775"/>
      <c r="AI50" s="775"/>
      <c r="AJ50" s="776"/>
    </row>
    <row r="51" spans="1:38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54.666666666666664</v>
      </c>
      <c r="AE51" s="775"/>
      <c r="AF51" s="775"/>
      <c r="AG51" s="775"/>
      <c r="AH51" s="775"/>
      <c r="AI51" s="775"/>
      <c r="AJ51" s="776"/>
    </row>
    <row r="52" spans="1:38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218.66666666666666</v>
      </c>
      <c r="AE52" s="692"/>
      <c r="AF52" s="692"/>
      <c r="AG52" s="692"/>
      <c r="AH52" s="692"/>
      <c r="AI52" s="692"/>
      <c r="AJ52" s="693"/>
    </row>
    <row r="53" spans="1:38" ht="14.45" customHeight="1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60"/>
      <c r="Z53" s="60"/>
      <c r="AA53" s="60"/>
      <c r="AB53" s="60"/>
      <c r="AC53" s="60"/>
      <c r="AD53" s="61"/>
      <c r="AE53" s="61"/>
      <c r="AF53" s="61"/>
      <c r="AG53" s="61"/>
      <c r="AH53" s="61"/>
      <c r="AI53" s="61"/>
      <c r="AJ53" s="61"/>
    </row>
    <row r="54" spans="1:38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8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8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>Y56*($AD$45+$AD$52)</f>
        <v>437.33333333333331</v>
      </c>
      <c r="AE56" s="775"/>
      <c r="AF56" s="775"/>
      <c r="AG56" s="775"/>
      <c r="AH56" s="775"/>
      <c r="AI56" s="775"/>
      <c r="AJ56" s="776"/>
    </row>
    <row r="57" spans="1:38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ref="AD57:AD63" si="0">Y57*($AD$45+$AD$52)</f>
        <v>54.666666666666664</v>
      </c>
      <c r="AE57" s="775"/>
      <c r="AF57" s="775"/>
      <c r="AG57" s="775"/>
      <c r="AH57" s="775"/>
      <c r="AI57" s="775"/>
      <c r="AJ57" s="776"/>
    </row>
    <row r="58" spans="1:38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802">
        <v>0.03</v>
      </c>
      <c r="Z58" s="803"/>
      <c r="AA58" s="803"/>
      <c r="AB58" s="803"/>
      <c r="AC58" s="804"/>
      <c r="AD58" s="774">
        <f t="shared" si="0"/>
        <v>65.599999999999994</v>
      </c>
      <c r="AE58" s="775"/>
      <c r="AF58" s="775"/>
      <c r="AG58" s="775"/>
      <c r="AH58" s="775"/>
      <c r="AI58" s="775"/>
      <c r="AJ58" s="776"/>
      <c r="AL58" s="150"/>
    </row>
    <row r="59" spans="1:38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32.799999999999997</v>
      </c>
      <c r="AE59" s="775"/>
      <c r="AF59" s="775"/>
      <c r="AG59" s="775"/>
      <c r="AH59" s="775"/>
      <c r="AI59" s="775"/>
      <c r="AJ59" s="776"/>
    </row>
    <row r="60" spans="1:38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21.866666666666667</v>
      </c>
      <c r="AE60" s="775"/>
      <c r="AF60" s="775"/>
      <c r="AG60" s="775"/>
      <c r="AH60" s="775"/>
      <c r="AI60" s="775"/>
      <c r="AJ60" s="776"/>
    </row>
    <row r="61" spans="1:38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13.12</v>
      </c>
      <c r="AE61" s="775"/>
      <c r="AF61" s="775"/>
      <c r="AG61" s="775"/>
      <c r="AH61" s="775"/>
      <c r="AI61" s="775"/>
      <c r="AJ61" s="776"/>
    </row>
    <row r="62" spans="1:38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4.3733333333333331</v>
      </c>
      <c r="AE62" s="775"/>
      <c r="AF62" s="775"/>
      <c r="AG62" s="775"/>
      <c r="AH62" s="775"/>
      <c r="AI62" s="775"/>
      <c r="AJ62" s="776"/>
    </row>
    <row r="63" spans="1:38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174.93333333333334</v>
      </c>
      <c r="AE63" s="775"/>
      <c r="AF63" s="775"/>
      <c r="AG63" s="775"/>
      <c r="AH63" s="775"/>
      <c r="AI63" s="775"/>
      <c r="AJ63" s="776"/>
    </row>
    <row r="64" spans="1:38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804.69333333333338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1">
        <f>(4*2*22)-(AD38*6%)</f>
        <v>77.600000000000009</v>
      </c>
      <c r="AE68" s="772"/>
      <c r="AF68" s="772"/>
      <c r="AG68" s="772"/>
      <c r="AH68" s="772"/>
      <c r="AI68" s="772"/>
      <c r="AJ68" s="773"/>
    </row>
    <row r="69" spans="1:36" ht="14.45" customHeight="1">
      <c r="A69" s="722" t="s">
        <v>1</v>
      </c>
      <c r="B69" s="723"/>
      <c r="C69" s="724" t="s">
        <v>344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1">
        <f>(18*22)*80%</f>
        <v>316.8</v>
      </c>
      <c r="AE69" s="772"/>
      <c r="AF69" s="772"/>
      <c r="AG69" s="772"/>
      <c r="AH69" s="772"/>
      <c r="AI69" s="772"/>
      <c r="AJ69" s="773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343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345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787">
        <v>10</v>
      </c>
      <c r="AE72" s="788"/>
      <c r="AF72" s="788"/>
      <c r="AG72" s="788"/>
      <c r="AH72" s="788"/>
      <c r="AI72" s="788"/>
      <c r="AJ72" s="789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422.6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218.66666666666666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804.69333333333338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422.6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1445.96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8.1999999999999993</v>
      </c>
      <c r="AE85" s="775"/>
      <c r="AF85" s="775"/>
      <c r="AG85" s="775"/>
      <c r="AH85" s="775"/>
      <c r="AI85" s="775"/>
      <c r="AJ85" s="776"/>
      <c r="AL85" s="149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0.65600000000000003</v>
      </c>
      <c r="AE86" s="775"/>
      <c r="AF86" s="775"/>
      <c r="AG86" s="775"/>
      <c r="AH86" s="775"/>
      <c r="AI86" s="775"/>
      <c r="AJ86" s="776"/>
      <c r="AL86" s="149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66">
        <f>(((1+(2/12)+((1/3)*(1/12)))))*0.08*0.4*0.95</f>
        <v>3.6311111111111113E-2</v>
      </c>
      <c r="Z87" s="867"/>
      <c r="AA87" s="867"/>
      <c r="AB87" s="867"/>
      <c r="AC87" s="868"/>
      <c r="AD87" s="774">
        <f>Y87*$AD$45</f>
        <v>71.460266666666669</v>
      </c>
      <c r="AE87" s="775"/>
      <c r="AF87" s="775"/>
      <c r="AG87" s="775"/>
      <c r="AH87" s="775"/>
      <c r="AI87" s="775"/>
      <c r="AJ87" s="776"/>
      <c r="AL87" s="151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66.382555555555555</v>
      </c>
      <c r="AE88" s="775"/>
      <c r="AF88" s="775"/>
      <c r="AG88" s="775"/>
      <c r="AH88" s="775"/>
      <c r="AI88" s="775"/>
      <c r="AJ88" s="776"/>
    </row>
    <row r="89" spans="1:43" ht="24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14.082133333333335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289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72">
        <f>Y88*0.08*0.4</f>
        <v>6.2222222222222236E-4</v>
      </c>
      <c r="Z90" s="873"/>
      <c r="AA90" s="873"/>
      <c r="AB90" s="873"/>
      <c r="AC90" s="874"/>
      <c r="AD90" s="774">
        <f>Y90*$AD$45</f>
        <v>1.2245333333333337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162.00548888888889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</row>
    <row r="96" spans="1:43" ht="14.45" customHeight="1">
      <c r="A96" s="722" t="s">
        <v>0</v>
      </c>
      <c r="B96" s="723"/>
      <c r="C96" s="724" t="s">
        <v>324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164</v>
      </c>
      <c r="AE96" s="775"/>
      <c r="AF96" s="775"/>
      <c r="AG96" s="775"/>
      <c r="AH96" s="775"/>
      <c r="AI96" s="775"/>
      <c r="AJ96" s="776"/>
      <c r="AL96" s="133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27.3552</v>
      </c>
      <c r="AE97" s="775"/>
      <c r="AF97" s="775"/>
      <c r="AG97" s="775"/>
      <c r="AH97" s="775"/>
      <c r="AI97" s="775"/>
      <c r="AJ97" s="776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0.39360000000000001</v>
      </c>
      <c r="AE98" s="775"/>
      <c r="AF98" s="775"/>
      <c r="AG98" s="775"/>
      <c r="AH98" s="775"/>
      <c r="AI98" s="775"/>
      <c r="AJ98" s="776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5.5103999999999997</v>
      </c>
      <c r="AE99" s="775"/>
      <c r="AF99" s="775"/>
      <c r="AG99" s="775"/>
      <c r="AH99" s="775"/>
      <c r="AI99" s="775"/>
      <c r="AJ99" s="776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2.5583999999999998</v>
      </c>
      <c r="AE100" s="775"/>
      <c r="AF100" s="775"/>
      <c r="AG100" s="775"/>
      <c r="AH100" s="775"/>
      <c r="AI100" s="775"/>
      <c r="AJ100" s="776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1.3775999999999999</v>
      </c>
      <c r="AE101" s="775"/>
      <c r="AF101" s="775"/>
      <c r="AG101" s="775"/>
      <c r="AH101" s="775"/>
      <c r="AI101" s="775"/>
      <c r="AJ101" s="776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38.623822222222223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74.039833600000009</v>
      </c>
      <c r="AE105" s="775"/>
      <c r="AF105" s="775"/>
      <c r="AG105" s="775"/>
      <c r="AH105" s="775"/>
      <c r="AI105" s="775"/>
      <c r="AJ105" s="776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313.85885582222227</v>
      </c>
      <c r="AE106" s="692"/>
      <c r="AF106" s="692"/>
      <c r="AG106" s="692"/>
      <c r="AH106" s="692"/>
      <c r="AI106" s="692"/>
      <c r="AJ106" s="693"/>
    </row>
    <row r="107" spans="1:37" ht="14.45" customHeight="1">
      <c r="A107" s="778"/>
      <c r="B107" s="778"/>
      <c r="C107" s="778"/>
      <c r="D107" s="778"/>
      <c r="E107" s="778"/>
      <c r="F107" s="778"/>
      <c r="G107" s="778"/>
      <c r="H107" s="778"/>
      <c r="I107" s="778"/>
      <c r="J107" s="778"/>
      <c r="K107" s="778"/>
      <c r="L107" s="778"/>
      <c r="M107" s="778"/>
      <c r="N107" s="778"/>
      <c r="O107" s="778"/>
      <c r="P107" s="778"/>
      <c r="Q107" s="778"/>
      <c r="R107" s="778"/>
      <c r="S107" s="778"/>
      <c r="T107" s="778"/>
      <c r="U107" s="778"/>
      <c r="V107" s="778"/>
      <c r="W107" s="778"/>
      <c r="X107" s="778"/>
      <c r="Y107" s="778"/>
      <c r="Z107" s="778"/>
      <c r="AA107" s="778"/>
      <c r="AB107" s="778"/>
      <c r="AC107" s="778"/>
      <c r="AD107" s="778"/>
      <c r="AE107" s="778"/>
      <c r="AF107" s="778"/>
      <c r="AG107" s="778"/>
      <c r="AH107" s="778"/>
      <c r="AI107" s="778"/>
      <c r="AJ107" s="778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8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8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8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313.85885582222227</v>
      </c>
      <c r="AE115" s="775"/>
      <c r="AF115" s="775"/>
      <c r="AG115" s="775"/>
      <c r="AH115" s="775"/>
      <c r="AI115" s="775"/>
      <c r="AJ115" s="776"/>
    </row>
    <row r="116" spans="1:38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8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313.85885582222227</v>
      </c>
      <c r="AE117" s="692"/>
      <c r="AF117" s="692"/>
      <c r="AG117" s="692"/>
      <c r="AH117" s="692"/>
      <c r="AI117" s="692"/>
      <c r="AJ117" s="693"/>
    </row>
    <row r="118" spans="1:38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8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8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8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'Fardamentos EPI´s Supervisores'!H15</f>
        <v>62.36</v>
      </c>
      <c r="AE121" s="772"/>
      <c r="AF121" s="772"/>
      <c r="AG121" s="772"/>
      <c r="AH121" s="772"/>
      <c r="AI121" s="772"/>
      <c r="AJ121" s="773"/>
    </row>
    <row r="122" spans="1:38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8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/>
      <c r="AE123" s="772"/>
      <c r="AF123" s="772"/>
      <c r="AG123" s="772"/>
      <c r="AH123" s="772"/>
      <c r="AI123" s="772"/>
      <c r="AJ123" s="773"/>
    </row>
    <row r="124" spans="1:38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62.36</v>
      </c>
      <c r="AE124" s="692"/>
      <c r="AF124" s="692"/>
      <c r="AG124" s="692"/>
      <c r="AH124" s="692"/>
      <c r="AI124" s="692"/>
      <c r="AJ124" s="693"/>
    </row>
    <row r="125" spans="1:38" ht="14.45" customHeight="1"/>
    <row r="126" spans="1:38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</row>
    <row r="127" spans="1:38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</row>
    <row r="128" spans="1:38" ht="14.45" customHeight="1">
      <c r="A128" s="736" t="s">
        <v>0</v>
      </c>
      <c r="B128" s="737"/>
      <c r="C128" s="757" t="s">
        <v>326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118.56553034133334</v>
      </c>
      <c r="AE128" s="745"/>
      <c r="AF128" s="745"/>
      <c r="AG128" s="745"/>
      <c r="AH128" s="745"/>
      <c r="AI128" s="745"/>
      <c r="AJ128" s="746"/>
      <c r="AL128" s="152"/>
    </row>
    <row r="129" spans="1:37" ht="14.45" customHeight="1">
      <c r="A129" s="736" t="s">
        <v>1</v>
      </c>
      <c r="B129" s="737"/>
      <c r="C129" s="757" t="s">
        <v>325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268.35331700588449</v>
      </c>
      <c r="AE129" s="745"/>
      <c r="AF129" s="745"/>
      <c r="AG129" s="745"/>
      <c r="AH129" s="745"/>
      <c r="AI129" s="745"/>
      <c r="AJ129" s="746"/>
    </row>
    <row r="130" spans="1:37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</row>
    <row r="131" spans="1:37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</row>
    <row r="132" spans="1:37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142.49928381143937</v>
      </c>
      <c r="AE132" s="745"/>
      <c r="AF132" s="745"/>
      <c r="AG132" s="745"/>
      <c r="AH132" s="745"/>
      <c r="AI132" s="745"/>
      <c r="AJ132" s="746"/>
    </row>
    <row r="133" spans="1:37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30.874844825811863</v>
      </c>
      <c r="AE133" s="745"/>
      <c r="AF133" s="745"/>
      <c r="AG133" s="745"/>
      <c r="AH133" s="745"/>
      <c r="AI133" s="745"/>
      <c r="AJ133" s="746"/>
      <c r="AK133" s="134"/>
    </row>
    <row r="134" spans="1:37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237.49880635239899</v>
      </c>
      <c r="AE134" s="745"/>
      <c r="AF134" s="745"/>
      <c r="AG134" s="745"/>
      <c r="AH134" s="745"/>
      <c r="AI134" s="745"/>
      <c r="AJ134" s="746"/>
    </row>
    <row r="135" spans="1:37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797.79178233686798</v>
      </c>
      <c r="AE135" s="747"/>
      <c r="AF135" s="747"/>
      <c r="AG135" s="747"/>
      <c r="AH135" s="747"/>
      <c r="AI135" s="747"/>
      <c r="AJ135" s="747"/>
    </row>
    <row r="136" spans="1:37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7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</row>
    <row r="138" spans="1:37" ht="14.4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</row>
    <row r="139" spans="1:37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</row>
    <row r="140" spans="1:37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1968</v>
      </c>
      <c r="AE140" s="720"/>
      <c r="AF140" s="720"/>
      <c r="AG140" s="720"/>
      <c r="AH140" s="720"/>
      <c r="AI140" s="720"/>
      <c r="AJ140" s="721"/>
    </row>
    <row r="141" spans="1:37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1445.96</v>
      </c>
      <c r="AE141" s="720"/>
      <c r="AF141" s="720"/>
      <c r="AG141" s="720"/>
      <c r="AH141" s="720"/>
      <c r="AI141" s="720"/>
      <c r="AJ141" s="721"/>
    </row>
    <row r="142" spans="1:37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162.00548888888889</v>
      </c>
      <c r="AE142" s="720"/>
      <c r="AF142" s="720"/>
      <c r="AG142" s="720"/>
      <c r="AH142" s="720"/>
      <c r="AI142" s="720"/>
      <c r="AJ142" s="721"/>
    </row>
    <row r="143" spans="1:37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AD106</f>
        <v>313.85885582222227</v>
      </c>
      <c r="AE143" s="720"/>
      <c r="AF143" s="720"/>
      <c r="AG143" s="720"/>
      <c r="AH143" s="720"/>
      <c r="AI143" s="720"/>
      <c r="AJ143" s="721"/>
    </row>
    <row r="144" spans="1:37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62.36</v>
      </c>
      <c r="AE144" s="720"/>
      <c r="AF144" s="720"/>
      <c r="AG144" s="720"/>
      <c r="AH144" s="720"/>
      <c r="AI144" s="720"/>
      <c r="AJ144" s="721"/>
    </row>
    <row r="145" spans="1:38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3952.1843447111114</v>
      </c>
      <c r="AE145" s="720"/>
      <c r="AF145" s="720"/>
      <c r="AG145" s="720"/>
      <c r="AH145" s="720"/>
      <c r="AI145" s="720"/>
      <c r="AJ145" s="721"/>
    </row>
    <row r="146" spans="1:38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797.79178233686798</v>
      </c>
      <c r="AE146" s="720"/>
      <c r="AF146" s="720"/>
      <c r="AG146" s="720"/>
      <c r="AH146" s="720"/>
      <c r="AI146" s="720"/>
      <c r="AJ146" s="721"/>
      <c r="AL146" s="133"/>
    </row>
    <row r="147" spans="1:38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4749.9761270479794</v>
      </c>
      <c r="AE147" s="692"/>
      <c r="AF147" s="692"/>
      <c r="AG147" s="692"/>
      <c r="AH147" s="692"/>
      <c r="AI147" s="692"/>
      <c r="AJ147" s="693"/>
    </row>
    <row r="148" spans="1:38" ht="14.45" customHeight="1"/>
    <row r="149" spans="1:38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8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8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8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8" ht="34.15" customHeight="1">
      <c r="A153" s="701" t="str">
        <f>A24</f>
        <v>SERVIÇO DE SUPERVISOR ADMINISTRATIVO (JOÃO PESSOA)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4749.9761270479794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4749.9761270479794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4749.9761270479794</v>
      </c>
      <c r="AF153" s="714"/>
      <c r="AG153" s="714"/>
      <c r="AH153" s="714"/>
      <c r="AI153" s="714"/>
      <c r="AJ153" s="715"/>
    </row>
    <row r="154" spans="1:38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4749.9799999999996</v>
      </c>
      <c r="AF154" s="686"/>
      <c r="AG154" s="686"/>
      <c r="AH154" s="686"/>
      <c r="AI154" s="686"/>
      <c r="AJ154" s="686"/>
    </row>
    <row r="155" spans="1:38" ht="14.45" customHeight="1"/>
    <row r="156" spans="1:38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8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8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8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4749.9799999999996</v>
      </c>
      <c r="AE159" s="700"/>
      <c r="AF159" s="700"/>
      <c r="AG159" s="700"/>
      <c r="AH159" s="700"/>
      <c r="AI159" s="700"/>
      <c r="AJ159" s="700"/>
    </row>
    <row r="160" spans="1:38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170999.27999999997</v>
      </c>
      <c r="AE160" s="684"/>
      <c r="AF160" s="684"/>
      <c r="AG160" s="684"/>
      <c r="AH160" s="684"/>
      <c r="AI160" s="684"/>
      <c r="AJ160" s="684"/>
    </row>
  </sheetData>
  <mergeCells count="392">
    <mergeCell ref="A102:X102"/>
    <mergeCell ref="Y102:AC102"/>
    <mergeCell ref="AD102:AJ102"/>
    <mergeCell ref="A103:B103"/>
    <mergeCell ref="A105:B105"/>
    <mergeCell ref="C105:X105"/>
    <mergeCell ref="Y105:AC105"/>
    <mergeCell ref="AD105:AJ105"/>
    <mergeCell ref="C103:X103"/>
    <mergeCell ref="Y103:AC103"/>
    <mergeCell ref="A100:B100"/>
    <mergeCell ref="C100:X100"/>
    <mergeCell ref="Y100:AC100"/>
    <mergeCell ref="AD100:AJ100"/>
    <mergeCell ref="A101:B101"/>
    <mergeCell ref="C101:X101"/>
    <mergeCell ref="Y101:AC101"/>
    <mergeCell ref="AD101:AJ101"/>
    <mergeCell ref="A98:B98"/>
    <mergeCell ref="C98:X98"/>
    <mergeCell ref="Y98:AC98"/>
    <mergeCell ref="AD98:AJ98"/>
    <mergeCell ref="A99:B99"/>
    <mergeCell ref="C99:X99"/>
    <mergeCell ref="Y99:AC99"/>
    <mergeCell ref="AD99:AJ99"/>
    <mergeCell ref="A96:B96"/>
    <mergeCell ref="C96:X96"/>
    <mergeCell ref="Y96:AC96"/>
    <mergeCell ref="AD96:AJ96"/>
    <mergeCell ref="A97:B97"/>
    <mergeCell ref="C97:X97"/>
    <mergeCell ref="Y97:AC97"/>
    <mergeCell ref="AD97:AJ97"/>
    <mergeCell ref="A93:AJ93"/>
    <mergeCell ref="A94:AJ94"/>
    <mergeCell ref="A95:B95"/>
    <mergeCell ref="C95:X95"/>
    <mergeCell ref="Y95:AC95"/>
    <mergeCell ref="AD95:AJ95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D85:AJ85"/>
    <mergeCell ref="A86:B86"/>
    <mergeCell ref="C86:X86"/>
    <mergeCell ref="Y86:AC86"/>
    <mergeCell ref="AD86:AJ86"/>
    <mergeCell ref="A87:B87"/>
    <mergeCell ref="C87:X87"/>
    <mergeCell ref="Y87:AC87"/>
    <mergeCell ref="AD87:AJ87"/>
    <mergeCell ref="Y106:AC106"/>
    <mergeCell ref="AD106:AJ106"/>
    <mergeCell ref="A83:AJ83"/>
    <mergeCell ref="A84:B84"/>
    <mergeCell ref="C84:X84"/>
    <mergeCell ref="Y84:AC84"/>
    <mergeCell ref="AD84:AJ84"/>
    <mergeCell ref="A85:B85"/>
    <mergeCell ref="C85:X85"/>
    <mergeCell ref="Y85:AC85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74:AC74"/>
    <mergeCell ref="AD74:AJ74"/>
    <mergeCell ref="A75:AJ75"/>
    <mergeCell ref="A76:AJ76"/>
    <mergeCell ref="A77:B77"/>
    <mergeCell ref="C77:AC77"/>
    <mergeCell ref="AD77:AJ77"/>
    <mergeCell ref="A80:B80"/>
    <mergeCell ref="C80:AC80"/>
    <mergeCell ref="AD80:AJ80"/>
    <mergeCell ref="A81:AC81"/>
    <mergeCell ref="AD81:AJ81"/>
    <mergeCell ref="A82:AJ82"/>
    <mergeCell ref="A78:B78"/>
    <mergeCell ref="C78:AC78"/>
    <mergeCell ref="AD78:AJ78"/>
    <mergeCell ref="A79:B79"/>
    <mergeCell ref="C79:AC79"/>
    <mergeCell ref="AD79:AJ79"/>
    <mergeCell ref="A92:AJ92"/>
    <mergeCell ref="A110:B110"/>
    <mergeCell ref="C110:AC110"/>
    <mergeCell ref="AD110:AJ110"/>
    <mergeCell ref="A111:AC111"/>
    <mergeCell ref="AD111:AJ111"/>
    <mergeCell ref="AD103:AJ103"/>
    <mergeCell ref="A104:AC104"/>
    <mergeCell ref="AD104:AJ104"/>
    <mergeCell ref="A106:X106"/>
    <mergeCell ref="A112:AJ112"/>
    <mergeCell ref="A107:AJ107"/>
    <mergeCell ref="A108:AJ108"/>
    <mergeCell ref="A109:B109"/>
    <mergeCell ref="C109:X109"/>
    <mergeCell ref="Y109:AC109"/>
    <mergeCell ref="AD109:AJ109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C127:X127"/>
    <mergeCell ref="Y127:AC127"/>
    <mergeCell ref="AD127:AJ127"/>
    <mergeCell ref="A128:B128"/>
    <mergeCell ref="C128:X128"/>
    <mergeCell ref="Y128:AC128"/>
    <mergeCell ref="AD128:AJ128"/>
    <mergeCell ref="A124:AC124"/>
    <mergeCell ref="AD124:AJ124"/>
    <mergeCell ref="A126:AJ126"/>
    <mergeCell ref="A132:B132"/>
    <mergeCell ref="C132:X132"/>
    <mergeCell ref="Y132:AC132"/>
    <mergeCell ref="AD132:AJ132"/>
    <mergeCell ref="C131:X131"/>
    <mergeCell ref="Y131:AC131"/>
    <mergeCell ref="A127:B127"/>
    <mergeCell ref="A133:B133"/>
    <mergeCell ref="C133:X133"/>
    <mergeCell ref="Y133:AC133"/>
    <mergeCell ref="AD133:AJ133"/>
    <mergeCell ref="A129:B129"/>
    <mergeCell ref="C129:X129"/>
    <mergeCell ref="Y129:AC129"/>
    <mergeCell ref="AD129:AJ129"/>
    <mergeCell ref="Y130:AC130"/>
    <mergeCell ref="A131:B131"/>
    <mergeCell ref="A137:AJ137"/>
    <mergeCell ref="A139:AC139"/>
    <mergeCell ref="AD139:AJ139"/>
    <mergeCell ref="A140:B140"/>
    <mergeCell ref="C140:AC140"/>
    <mergeCell ref="AD140:AJ140"/>
    <mergeCell ref="A134:B134"/>
    <mergeCell ref="C134:X134"/>
    <mergeCell ref="Y134:AC134"/>
    <mergeCell ref="AD134:AJ134"/>
    <mergeCell ref="A135:AC135"/>
    <mergeCell ref="AD135:AJ135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W153:AA153"/>
    <mergeCell ref="AB153:AD153"/>
    <mergeCell ref="AE153:AJ153"/>
    <mergeCell ref="A145:AC145"/>
    <mergeCell ref="AD145:AJ145"/>
    <mergeCell ref="A146:B146"/>
    <mergeCell ref="C146:AC146"/>
    <mergeCell ref="AD146:AJ146"/>
    <mergeCell ref="A147:AC147"/>
    <mergeCell ref="AD147:AJ147"/>
    <mergeCell ref="A152:L152"/>
    <mergeCell ref="M152:Q152"/>
    <mergeCell ref="R152:V152"/>
    <mergeCell ref="W152:AA152"/>
    <mergeCell ref="AB152:AD152"/>
    <mergeCell ref="AD159:AJ159"/>
    <mergeCell ref="AE152:AJ152"/>
    <mergeCell ref="A153:L153"/>
    <mergeCell ref="M153:Q153"/>
    <mergeCell ref="R153:V153"/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E9821B"/>
  </sheetPr>
  <dimension ref="A1:AQ160"/>
  <sheetViews>
    <sheetView showGridLines="0" zoomScale="115" zoomScaleNormal="115" zoomScaleSheetLayoutView="120" workbookViewId="0">
      <selection activeCell="AO133" sqref="AO133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6" width="3.85546875" style="34" customWidth="1"/>
    <col min="37" max="37" width="2.42578125" style="34" customWidth="1"/>
    <col min="38" max="38" width="13" style="130" customWidth="1"/>
    <col min="39" max="42" width="2.42578125" style="34"/>
    <col min="43" max="43" width="3.5703125" style="34" customWidth="1"/>
    <col min="44" max="16384" width="2.42578125" style="34"/>
  </cols>
  <sheetData>
    <row r="1" spans="1:38" ht="15" customHeight="1">
      <c r="A1" s="854"/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  <c r="AI1" s="854"/>
      <c r="AJ1" s="854"/>
    </row>
    <row r="2" spans="1:38" ht="15" customHeight="1">
      <c r="A2" s="855" t="s">
        <v>26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  <c r="S2" s="855"/>
      <c r="T2" s="855"/>
      <c r="U2" s="855"/>
      <c r="V2" s="855"/>
      <c r="W2" s="855"/>
      <c r="X2" s="855"/>
      <c r="Y2" s="855"/>
      <c r="Z2" s="855"/>
      <c r="AA2" s="855"/>
      <c r="AB2" s="855"/>
      <c r="AC2" s="855"/>
      <c r="AD2" s="855"/>
      <c r="AE2" s="855"/>
      <c r="AF2" s="855"/>
      <c r="AG2" s="855"/>
      <c r="AH2" s="855"/>
      <c r="AI2" s="855"/>
      <c r="AJ2" s="855"/>
    </row>
    <row r="3" spans="1:38" ht="15" customHeight="1">
      <c r="A3" s="855" t="s">
        <v>27</v>
      </c>
      <c r="B3" s="855"/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  <c r="AB3" s="855"/>
      <c r="AC3" s="855"/>
      <c r="AD3" s="855"/>
      <c r="AE3" s="855"/>
      <c r="AF3" s="855"/>
      <c r="AG3" s="855"/>
      <c r="AH3" s="855"/>
      <c r="AI3" s="855"/>
      <c r="AJ3" s="855"/>
    </row>
    <row r="4" spans="1:38" ht="15" customHeight="1">
      <c r="A4" s="855" t="s">
        <v>329</v>
      </c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B4" s="855"/>
      <c r="AC4" s="855"/>
      <c r="AD4" s="855"/>
      <c r="AE4" s="855"/>
      <c r="AF4" s="855"/>
      <c r="AG4" s="855"/>
      <c r="AH4" s="855"/>
      <c r="AI4" s="855"/>
      <c r="AJ4" s="855"/>
    </row>
    <row r="5" spans="1:38" ht="15" customHeight="1">
      <c r="A5" s="854"/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854"/>
      <c r="W5" s="854"/>
      <c r="X5" s="854"/>
      <c r="Y5" s="854"/>
      <c r="Z5" s="854"/>
      <c r="AA5" s="854"/>
      <c r="AB5" s="854"/>
      <c r="AC5" s="854"/>
      <c r="AD5" s="854"/>
      <c r="AE5" s="854"/>
      <c r="AF5" s="854"/>
      <c r="AG5" s="854"/>
      <c r="AH5" s="854"/>
      <c r="AI5" s="854"/>
      <c r="AJ5" s="854"/>
    </row>
    <row r="6" spans="1:38" ht="15" customHeight="1">
      <c r="A6" s="854"/>
      <c r="B6" s="854"/>
      <c r="C6" s="854"/>
      <c r="D6" s="854"/>
      <c r="E6" s="854"/>
      <c r="F6" s="854"/>
      <c r="G6" s="854"/>
      <c r="H6" s="854"/>
      <c r="I6" s="854"/>
      <c r="J6" s="854"/>
      <c r="K6" s="854"/>
      <c r="L6" s="854"/>
      <c r="M6" s="854"/>
      <c r="N6" s="854"/>
      <c r="O6" s="854"/>
      <c r="P6" s="854"/>
      <c r="Q6" s="854"/>
      <c r="R6" s="854"/>
      <c r="S6" s="854"/>
      <c r="T6" s="854"/>
      <c r="U6" s="854"/>
      <c r="V6" s="854"/>
      <c r="W6" s="854"/>
      <c r="X6" s="854"/>
      <c r="Y6" s="854"/>
      <c r="Z6" s="854"/>
      <c r="AA6" s="854"/>
      <c r="AB6" s="854"/>
      <c r="AC6" s="854"/>
      <c r="AD6" s="854"/>
      <c r="AE6" s="854"/>
      <c r="AF6" s="854"/>
      <c r="AG6" s="854"/>
      <c r="AH6" s="854"/>
      <c r="AI6" s="854"/>
      <c r="AJ6" s="854"/>
    </row>
    <row r="7" spans="1:38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  <c r="AL7" s="131"/>
    </row>
    <row r="8" spans="1:38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  <c r="AL8" s="131"/>
    </row>
    <row r="9" spans="1:38" s="35" customFormat="1" ht="14.45" customHeight="1">
      <c r="A9" s="856" t="s">
        <v>349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  <c r="AL9" s="131"/>
    </row>
    <row r="10" spans="1:38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  <c r="AL10" s="131"/>
    </row>
    <row r="11" spans="1:38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  <c r="AL11" s="131"/>
    </row>
    <row r="12" spans="1:38" s="35" customFormat="1" ht="14.45" customHeight="1">
      <c r="A12" s="860" t="s">
        <v>144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  <c r="R12" s="861"/>
      <c r="S12" s="861"/>
      <c r="T12" s="861"/>
      <c r="U12" s="861"/>
      <c r="V12" s="861"/>
      <c r="W12" s="861"/>
      <c r="X12" s="861"/>
      <c r="Y12" s="861"/>
      <c r="Z12" s="861"/>
      <c r="AA12" s="861"/>
      <c r="AB12" s="861"/>
      <c r="AC12" s="861"/>
      <c r="AD12" s="861"/>
      <c r="AE12" s="861"/>
      <c r="AF12" s="861"/>
      <c r="AG12" s="861"/>
      <c r="AH12" s="861"/>
      <c r="AI12" s="861"/>
      <c r="AJ12" s="862"/>
      <c r="AL12" s="131"/>
    </row>
    <row r="13" spans="1:38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  <c r="AL13" s="131"/>
    </row>
    <row r="14" spans="1:38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L14" s="131"/>
    </row>
    <row r="15" spans="1:38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  <c r="AL15" s="131"/>
    </row>
    <row r="16" spans="1:38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  <c r="AL16" s="131"/>
    </row>
    <row r="17" spans="1:38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  <c r="AL17" s="131"/>
    </row>
    <row r="18" spans="1:38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  <c r="AL18" s="131"/>
    </row>
    <row r="19" spans="1:38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  <c r="AL19" s="131"/>
    </row>
    <row r="20" spans="1:38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L20" s="131"/>
    </row>
    <row r="21" spans="1:38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  <c r="AL21" s="131"/>
    </row>
    <row r="22" spans="1:38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333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  <c r="AL22" s="131"/>
    </row>
    <row r="23" spans="1:38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  <c r="AL23" s="131"/>
    </row>
    <row r="24" spans="1:38" s="35" customFormat="1" ht="14.45" customHeight="1">
      <c r="A24" s="832" t="s">
        <v>352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  <c r="AL24" s="131"/>
    </row>
    <row r="25" spans="1:38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L25" s="131"/>
    </row>
    <row r="26" spans="1:38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  <c r="AL26" s="131"/>
    </row>
    <row r="27" spans="1:38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L27" s="131"/>
    </row>
    <row r="28" spans="1:38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  <c r="AL28" s="131"/>
    </row>
    <row r="29" spans="1:38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  <c r="AL29" s="131"/>
    </row>
    <row r="30" spans="1:38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819" t="s">
        <v>218</v>
      </c>
      <c r="AE30" s="819"/>
      <c r="AF30" s="819"/>
      <c r="AG30" s="819"/>
      <c r="AH30" s="819"/>
      <c r="AI30" s="819"/>
      <c r="AJ30" s="819"/>
      <c r="AL30" s="131"/>
    </row>
    <row r="31" spans="1:38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819" t="s">
        <v>225</v>
      </c>
      <c r="AE31" s="819"/>
      <c r="AF31" s="819"/>
      <c r="AG31" s="819"/>
      <c r="AH31" s="819"/>
      <c r="AI31" s="819"/>
      <c r="AJ31" s="819"/>
      <c r="AL31" s="131"/>
    </row>
    <row r="32" spans="1:38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v>1103</v>
      </c>
      <c r="AE32" s="820"/>
      <c r="AF32" s="820"/>
      <c r="AG32" s="820"/>
      <c r="AH32" s="820"/>
      <c r="AI32" s="820"/>
      <c r="AJ32" s="820"/>
      <c r="AL32" s="131"/>
    </row>
    <row r="33" spans="1:38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19" t="s">
        <v>221</v>
      </c>
      <c r="AE33" s="819"/>
      <c r="AF33" s="819"/>
      <c r="AG33" s="819"/>
      <c r="AH33" s="819"/>
      <c r="AI33" s="819"/>
      <c r="AJ33" s="819"/>
      <c r="AL33" s="131"/>
    </row>
    <row r="34" spans="1:38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  <c r="AL34" s="131"/>
    </row>
    <row r="35" spans="1:38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L35" s="131"/>
    </row>
    <row r="36" spans="1:38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8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  <c r="AL37" s="132"/>
    </row>
    <row r="38" spans="1:38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1103</v>
      </c>
      <c r="AE38" s="775"/>
      <c r="AF38" s="775"/>
      <c r="AG38" s="775"/>
      <c r="AH38" s="775"/>
      <c r="AI38" s="775"/>
      <c r="AJ38" s="776"/>
    </row>
    <row r="39" spans="1:38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8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41"/>
      <c r="Z40" s="742"/>
      <c r="AA40" s="742"/>
      <c r="AB40" s="742"/>
      <c r="AC40" s="743"/>
      <c r="AD40" s="744"/>
      <c r="AE40" s="745"/>
      <c r="AF40" s="745"/>
      <c r="AG40" s="745"/>
      <c r="AH40" s="745"/>
      <c r="AI40" s="745"/>
      <c r="AJ40" s="746"/>
    </row>
    <row r="41" spans="1:38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8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8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8" ht="14.45" customHeight="1">
      <c r="A44" s="722" t="s">
        <v>8</v>
      </c>
      <c r="B44" s="723"/>
      <c r="C44" s="724" t="s">
        <v>605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85"/>
      <c r="Z44" s="886"/>
      <c r="AA44" s="886"/>
      <c r="AB44" s="886"/>
      <c r="AC44" s="887"/>
      <c r="AD44" s="744">
        <v>220</v>
      </c>
      <c r="AE44" s="745"/>
      <c r="AF44" s="745"/>
      <c r="AG44" s="745"/>
      <c r="AH44" s="745"/>
      <c r="AI44" s="745"/>
      <c r="AJ44" s="746"/>
    </row>
    <row r="45" spans="1:38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1323</v>
      </c>
      <c r="AE45" s="692"/>
      <c r="AF45" s="692"/>
      <c r="AG45" s="692"/>
      <c r="AH45" s="692"/>
      <c r="AI45" s="692"/>
      <c r="AJ45" s="693"/>
    </row>
    <row r="46" spans="1:38" ht="14.45" customHeight="1">
      <c r="A46" s="331"/>
      <c r="B46" s="331"/>
      <c r="C46" s="331"/>
      <c r="D46" s="331"/>
      <c r="E46" s="331"/>
      <c r="F46" s="331"/>
      <c r="G46" s="331"/>
      <c r="H46" s="331"/>
      <c r="I46" s="331"/>
      <c r="J46" s="331"/>
      <c r="K46" s="331"/>
      <c r="L46" s="331"/>
      <c r="M46" s="331"/>
      <c r="N46" s="331"/>
      <c r="O46" s="331"/>
      <c r="P46" s="331"/>
      <c r="Q46" s="331"/>
      <c r="R46" s="331"/>
      <c r="S46" s="331"/>
      <c r="T46" s="331"/>
      <c r="U46" s="331"/>
      <c r="V46" s="331"/>
      <c r="W46" s="331"/>
      <c r="X46" s="331"/>
      <c r="Y46" s="332"/>
      <c r="Z46" s="332"/>
      <c r="AA46" s="332"/>
      <c r="AB46" s="332"/>
      <c r="AC46" s="332"/>
      <c r="AD46" s="61"/>
      <c r="AE46" s="61"/>
      <c r="AF46" s="61"/>
      <c r="AG46" s="61"/>
      <c r="AH46" s="61"/>
      <c r="AI46" s="61"/>
      <c r="AJ46" s="61"/>
    </row>
    <row r="47" spans="1:38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8" ht="14.45" customHeight="1">
      <c r="A48" s="813" t="s">
        <v>280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110.25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36.75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147</v>
      </c>
      <c r="AE52" s="692"/>
      <c r="AF52" s="692"/>
      <c r="AG52" s="692"/>
      <c r="AH52" s="692"/>
      <c r="AI52" s="692"/>
      <c r="AJ52" s="693"/>
    </row>
    <row r="53" spans="1:36" ht="14.45" customHeight="1">
      <c r="A53" s="331"/>
      <c r="B53" s="331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1"/>
      <c r="N53" s="331"/>
      <c r="O53" s="331"/>
      <c r="P53" s="331"/>
      <c r="Q53" s="331"/>
      <c r="R53" s="331"/>
      <c r="S53" s="331"/>
      <c r="T53" s="331"/>
      <c r="U53" s="331"/>
      <c r="V53" s="331"/>
      <c r="W53" s="331"/>
      <c r="X53" s="331"/>
      <c r="Y53" s="332"/>
      <c r="Z53" s="332"/>
      <c r="AA53" s="332"/>
      <c r="AB53" s="332"/>
      <c r="AC53" s="332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294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36.75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44.1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22.05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14.700000000000001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8.82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2.94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117.60000000000001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540.96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109.82000000000001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454.82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147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540.96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454.82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1142.78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5.5125000000000002</v>
      </c>
      <c r="AE85" s="775"/>
      <c r="AF85" s="775"/>
      <c r="AG85" s="775"/>
      <c r="AH85" s="775"/>
      <c r="AI85" s="775"/>
      <c r="AJ85" s="776"/>
      <c r="AL85" s="149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0.441</v>
      </c>
      <c r="AE86" s="775"/>
      <c r="AF86" s="775"/>
      <c r="AG86" s="775"/>
      <c r="AH86" s="775"/>
      <c r="AI86" s="775"/>
      <c r="AJ86" s="776"/>
      <c r="AL86" s="149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48.0396</v>
      </c>
      <c r="AE87" s="775"/>
      <c r="AF87" s="775"/>
      <c r="AG87" s="775"/>
      <c r="AH87" s="775"/>
      <c r="AI87" s="775"/>
      <c r="AJ87" s="776"/>
      <c r="AL87" s="149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47.945722222222216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9.466800000000001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0.82320000000000015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112.22882222222222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110.25</v>
      </c>
      <c r="AE96" s="775"/>
      <c r="AF96" s="775"/>
      <c r="AG96" s="775"/>
      <c r="AH96" s="775"/>
      <c r="AI96" s="775"/>
      <c r="AJ96" s="776"/>
      <c r="AK96" s="130"/>
      <c r="AL96" s="133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18.389699999999998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0.2646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3.7044000000000001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1.7199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0.92610000000000003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25.9651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49.773729600000003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210.99352959999999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8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8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8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210.99352959999999</v>
      </c>
      <c r="AE115" s="775"/>
      <c r="AF115" s="775"/>
      <c r="AG115" s="775"/>
      <c r="AH115" s="775"/>
      <c r="AI115" s="775"/>
      <c r="AJ115" s="776"/>
    </row>
    <row r="116" spans="1:38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8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210.99352959999999</v>
      </c>
      <c r="AE117" s="692"/>
      <c r="AF117" s="692"/>
      <c r="AG117" s="692"/>
      <c r="AH117" s="692"/>
      <c r="AI117" s="692"/>
      <c r="AJ117" s="693"/>
    </row>
    <row r="118" spans="1:38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8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8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8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'Fardamentos e EPI´s - ASG'!H20</f>
        <v>135.04333333333332</v>
      </c>
      <c r="AE121" s="772"/>
      <c r="AF121" s="772"/>
      <c r="AG121" s="772"/>
      <c r="AH121" s="772"/>
      <c r="AI121" s="772"/>
      <c r="AJ121" s="773"/>
    </row>
    <row r="122" spans="1:38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8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>
        <f>'Equip. e Ferramentas - Preço'!O165</f>
        <v>155.14487882758621</v>
      </c>
      <c r="AE123" s="772"/>
      <c r="AF123" s="772"/>
      <c r="AG123" s="772"/>
      <c r="AH123" s="772"/>
      <c r="AI123" s="772"/>
      <c r="AJ123" s="773"/>
    </row>
    <row r="124" spans="1:38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290.18821216091953</v>
      </c>
      <c r="AE124" s="692"/>
      <c r="AF124" s="692"/>
      <c r="AG124" s="692"/>
      <c r="AH124" s="692"/>
      <c r="AI124" s="692"/>
      <c r="AJ124" s="693"/>
    </row>
    <row r="125" spans="1:38" ht="14.45" customHeight="1"/>
    <row r="126" spans="1:38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8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8" ht="14.45" customHeight="1">
      <c r="A128" s="736" t="s">
        <v>0</v>
      </c>
      <c r="B128" s="737"/>
      <c r="C128" s="757" t="s">
        <v>326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92.375716919494238</v>
      </c>
      <c r="AE128" s="745"/>
      <c r="AF128" s="745"/>
      <c r="AG128" s="745"/>
      <c r="AH128" s="745"/>
      <c r="AI128" s="745"/>
      <c r="AJ128" s="746"/>
      <c r="AK128" s="130"/>
      <c r="AL128" s="418"/>
    </row>
    <row r="129" spans="1:38" ht="14.45" customHeight="1">
      <c r="A129" s="736" t="s">
        <v>1</v>
      </c>
      <c r="B129" s="737"/>
      <c r="C129" s="757" t="s">
        <v>325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209.07703929445532</v>
      </c>
      <c r="AE129" s="745"/>
      <c r="AF129" s="745"/>
      <c r="AG129" s="745"/>
      <c r="AH129" s="745"/>
      <c r="AI129" s="745"/>
      <c r="AJ129" s="746"/>
      <c r="AK129" s="130"/>
    </row>
    <row r="130" spans="1:38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  <c r="AL130" s="418"/>
    </row>
    <row r="131" spans="1:38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8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111.02276913619347</v>
      </c>
      <c r="AE132" s="745"/>
      <c r="AF132" s="745"/>
      <c r="AG132" s="745"/>
      <c r="AH132" s="745"/>
      <c r="AI132" s="745"/>
      <c r="AJ132" s="746"/>
      <c r="AK132" s="130"/>
      <c r="AL132" s="418"/>
    </row>
    <row r="133" spans="1:38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24.054933312841918</v>
      </c>
      <c r="AE133" s="745"/>
      <c r="AF133" s="745"/>
      <c r="AG133" s="745"/>
      <c r="AH133" s="745"/>
      <c r="AI133" s="745"/>
      <c r="AJ133" s="746"/>
      <c r="AK133" s="134"/>
      <c r="AL133" s="418"/>
    </row>
    <row r="134" spans="1:38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185.03794856032246</v>
      </c>
      <c r="AE134" s="745"/>
      <c r="AF134" s="745"/>
      <c r="AG134" s="745"/>
      <c r="AH134" s="745"/>
      <c r="AI134" s="745"/>
      <c r="AJ134" s="746"/>
      <c r="AK134" s="130"/>
    </row>
    <row r="135" spans="1:38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621.56840722330742</v>
      </c>
      <c r="AE135" s="747"/>
      <c r="AF135" s="747"/>
      <c r="AG135" s="747"/>
      <c r="AH135" s="747"/>
      <c r="AI135" s="747"/>
      <c r="AJ135" s="747"/>
      <c r="AK135" s="130"/>
    </row>
    <row r="136" spans="1:38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8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8" ht="14.45" customHeight="1">
      <c r="A138" s="330"/>
      <c r="B138" s="330"/>
      <c r="C138" s="330"/>
      <c r="D138" s="330"/>
      <c r="E138" s="330"/>
      <c r="F138" s="330"/>
      <c r="G138" s="330"/>
      <c r="H138" s="330"/>
      <c r="I138" s="330"/>
      <c r="J138" s="330"/>
      <c r="K138" s="330"/>
      <c r="L138" s="330"/>
      <c r="M138" s="330"/>
      <c r="N138" s="330"/>
      <c r="O138" s="330"/>
      <c r="P138" s="330"/>
      <c r="Q138" s="330"/>
      <c r="R138" s="330"/>
      <c r="S138" s="330"/>
      <c r="T138" s="330"/>
      <c r="U138" s="330"/>
      <c r="V138" s="330"/>
      <c r="W138" s="330"/>
      <c r="X138" s="330"/>
      <c r="Y138" s="330"/>
      <c r="Z138" s="330"/>
      <c r="AA138" s="330"/>
      <c r="AB138" s="330"/>
      <c r="AC138" s="330"/>
      <c r="AD138" s="330"/>
      <c r="AE138" s="330"/>
      <c r="AF138" s="330"/>
      <c r="AG138" s="330"/>
      <c r="AH138" s="330"/>
      <c r="AI138" s="330"/>
      <c r="AJ138" s="330"/>
      <c r="AK138" s="130"/>
    </row>
    <row r="139" spans="1:38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8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1323</v>
      </c>
      <c r="AE140" s="720"/>
      <c r="AF140" s="720"/>
      <c r="AG140" s="720"/>
      <c r="AH140" s="720"/>
      <c r="AI140" s="720"/>
      <c r="AJ140" s="721"/>
      <c r="AK140" s="130"/>
    </row>
    <row r="141" spans="1:38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1142.78</v>
      </c>
      <c r="AE141" s="720"/>
      <c r="AF141" s="720"/>
      <c r="AG141" s="720"/>
      <c r="AH141" s="720"/>
      <c r="AI141" s="720"/>
      <c r="AJ141" s="721"/>
      <c r="AK141" s="130"/>
    </row>
    <row r="142" spans="1:38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112.22882222222222</v>
      </c>
      <c r="AE142" s="720"/>
      <c r="AF142" s="720"/>
      <c r="AG142" s="720"/>
      <c r="AH142" s="720"/>
      <c r="AI142" s="720"/>
      <c r="AJ142" s="721"/>
      <c r="AK142" s="130"/>
    </row>
    <row r="143" spans="1:38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210.99352959999999</v>
      </c>
      <c r="AE143" s="720"/>
      <c r="AF143" s="720"/>
      <c r="AG143" s="720"/>
      <c r="AH143" s="720"/>
      <c r="AI143" s="720"/>
      <c r="AJ143" s="721"/>
      <c r="AK143" s="130"/>
    </row>
    <row r="144" spans="1:38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290.18821216091953</v>
      </c>
      <c r="AE144" s="720"/>
      <c r="AF144" s="720"/>
      <c r="AG144" s="720"/>
      <c r="AH144" s="720"/>
      <c r="AI144" s="720"/>
      <c r="AJ144" s="721"/>
      <c r="AK144" s="130"/>
    </row>
    <row r="145" spans="1:37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3079.1905639831416</v>
      </c>
      <c r="AE145" s="720"/>
      <c r="AF145" s="720"/>
      <c r="AG145" s="720"/>
      <c r="AH145" s="720"/>
      <c r="AI145" s="720"/>
      <c r="AJ145" s="721"/>
      <c r="AK145" s="130"/>
    </row>
    <row r="146" spans="1:37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621.56840722330742</v>
      </c>
      <c r="AE146" s="720"/>
      <c r="AF146" s="720"/>
      <c r="AG146" s="720"/>
      <c r="AH146" s="720"/>
      <c r="AI146" s="720"/>
      <c r="AJ146" s="721"/>
      <c r="AK146" s="130"/>
    </row>
    <row r="147" spans="1:37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3700.7589712064491</v>
      </c>
      <c r="AE147" s="692"/>
      <c r="AF147" s="692"/>
      <c r="AG147" s="692"/>
      <c r="AH147" s="692"/>
      <c r="AI147" s="692"/>
      <c r="AJ147" s="693"/>
      <c r="AK147" s="130"/>
    </row>
    <row r="148" spans="1:37" ht="14.45" customHeight="1"/>
    <row r="149" spans="1:37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7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7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7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7" ht="34.15" customHeight="1">
      <c r="A153" s="701" t="str">
        <f>A24</f>
        <v>SERVIÇO DE LIMPEZA (JOÃO PESSOA)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3700.7589712064491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3700.7589712064491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3700.7589712064491</v>
      </c>
      <c r="AF153" s="714"/>
      <c r="AG153" s="714"/>
      <c r="AH153" s="714"/>
      <c r="AI153" s="714"/>
      <c r="AJ153" s="715"/>
    </row>
    <row r="154" spans="1:37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3700.76</v>
      </c>
      <c r="AF154" s="686"/>
      <c r="AG154" s="686"/>
      <c r="AH154" s="686"/>
      <c r="AI154" s="686"/>
      <c r="AJ154" s="686"/>
    </row>
    <row r="155" spans="1:37" ht="14.45" customHeight="1"/>
    <row r="156" spans="1:37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7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7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7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3700.76</v>
      </c>
      <c r="AE159" s="700"/>
      <c r="AF159" s="700"/>
      <c r="AG159" s="700"/>
      <c r="AH159" s="700"/>
      <c r="AI159" s="700"/>
      <c r="AJ159" s="700"/>
    </row>
    <row r="160" spans="1:37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133227.36000000002</v>
      </c>
      <c r="AE160" s="684"/>
      <c r="AF160" s="684"/>
      <c r="AG160" s="684"/>
      <c r="AH160" s="684"/>
      <c r="AI160" s="684"/>
      <c r="AJ160" s="684"/>
    </row>
  </sheetData>
  <mergeCells count="392"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  <mergeCell ref="AD159:AJ159"/>
    <mergeCell ref="A153:L153"/>
    <mergeCell ref="M153:Q153"/>
    <mergeCell ref="R153:V153"/>
    <mergeCell ref="W153:AA153"/>
    <mergeCell ref="AB153:AD153"/>
    <mergeCell ref="AE153:AJ153"/>
    <mergeCell ref="A152:L152"/>
    <mergeCell ref="M152:Q152"/>
    <mergeCell ref="R152:V152"/>
    <mergeCell ref="W152:AA152"/>
    <mergeCell ref="AB152:AD152"/>
    <mergeCell ref="AE152:AJ15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A145:AC145"/>
    <mergeCell ref="AD145:AJ145"/>
    <mergeCell ref="A146:B146"/>
    <mergeCell ref="C146:AC146"/>
    <mergeCell ref="AD146:AJ146"/>
    <mergeCell ref="A147:AC147"/>
    <mergeCell ref="AD147:AJ147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35:AC135"/>
    <mergeCell ref="AD135:AJ135"/>
    <mergeCell ref="A137:AJ137"/>
    <mergeCell ref="A139:AC139"/>
    <mergeCell ref="AD139:AJ139"/>
    <mergeCell ref="A140:B140"/>
    <mergeCell ref="C140:AC140"/>
    <mergeCell ref="AD140:AJ140"/>
    <mergeCell ref="AD132:AJ132"/>
    <mergeCell ref="A133:B133"/>
    <mergeCell ref="C133:X133"/>
    <mergeCell ref="Y133:AC133"/>
    <mergeCell ref="AD133:AJ133"/>
    <mergeCell ref="A134:B134"/>
    <mergeCell ref="C134:X134"/>
    <mergeCell ref="Y134:AC134"/>
    <mergeCell ref="AD134:AJ134"/>
    <mergeCell ref="Y130:AC130"/>
    <mergeCell ref="A131:B131"/>
    <mergeCell ref="C131:X131"/>
    <mergeCell ref="Y131:AC131"/>
    <mergeCell ref="A132:B132"/>
    <mergeCell ref="C132:X132"/>
    <mergeCell ref="Y132:AC132"/>
    <mergeCell ref="A128:B128"/>
    <mergeCell ref="C128:X128"/>
    <mergeCell ref="Y128:AC128"/>
    <mergeCell ref="AD128:AJ128"/>
    <mergeCell ref="A129:B129"/>
    <mergeCell ref="C129:X129"/>
    <mergeCell ref="Y129:AC129"/>
    <mergeCell ref="AD129:AJ129"/>
    <mergeCell ref="A124:AC124"/>
    <mergeCell ref="AD124:AJ124"/>
    <mergeCell ref="A126:AJ126"/>
    <mergeCell ref="A127:B127"/>
    <mergeCell ref="C127:X127"/>
    <mergeCell ref="Y127:AC127"/>
    <mergeCell ref="AD127:AJ127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10:B110"/>
    <mergeCell ref="C110:AC110"/>
    <mergeCell ref="AD110:AJ110"/>
    <mergeCell ref="A111:AC111"/>
    <mergeCell ref="AD111:AJ111"/>
    <mergeCell ref="A112:AJ112"/>
    <mergeCell ref="A106:X106"/>
    <mergeCell ref="Y106:AC106"/>
    <mergeCell ref="AD106:AJ106"/>
    <mergeCell ref="A107:AJ107"/>
    <mergeCell ref="A108:AJ108"/>
    <mergeCell ref="A109:B109"/>
    <mergeCell ref="C109:X109"/>
    <mergeCell ref="Y109:AC109"/>
    <mergeCell ref="AD109:AJ109"/>
    <mergeCell ref="A104:AC104"/>
    <mergeCell ref="AD104:AJ104"/>
    <mergeCell ref="A105:B105"/>
    <mergeCell ref="C105:X105"/>
    <mergeCell ref="Y105:AC105"/>
    <mergeCell ref="AD105:AJ105"/>
    <mergeCell ref="A102:X102"/>
    <mergeCell ref="Y102:AC102"/>
    <mergeCell ref="AD102:AJ102"/>
    <mergeCell ref="A103:B103"/>
    <mergeCell ref="C103:X103"/>
    <mergeCell ref="Y103:AC103"/>
    <mergeCell ref="AD103:AJ103"/>
    <mergeCell ref="A100:B100"/>
    <mergeCell ref="C100:X100"/>
    <mergeCell ref="Y100:AC100"/>
    <mergeCell ref="AD100:AJ100"/>
    <mergeCell ref="A101:B101"/>
    <mergeCell ref="C101:X101"/>
    <mergeCell ref="Y101:AC101"/>
    <mergeCell ref="AD101:AJ101"/>
    <mergeCell ref="A98:B98"/>
    <mergeCell ref="C98:X98"/>
    <mergeCell ref="Y98:AC98"/>
    <mergeCell ref="AD98:AJ98"/>
    <mergeCell ref="A99:B99"/>
    <mergeCell ref="C99:X99"/>
    <mergeCell ref="Y99:AC99"/>
    <mergeCell ref="AD99:AJ99"/>
    <mergeCell ref="A96:B96"/>
    <mergeCell ref="C96:X96"/>
    <mergeCell ref="Y96:AC96"/>
    <mergeCell ref="AD96:AJ96"/>
    <mergeCell ref="A97:B97"/>
    <mergeCell ref="C97:X97"/>
    <mergeCell ref="Y97:AC97"/>
    <mergeCell ref="AD97:AJ97"/>
    <mergeCell ref="A92:AJ92"/>
    <mergeCell ref="A93:AJ93"/>
    <mergeCell ref="A94:AJ94"/>
    <mergeCell ref="A95:B95"/>
    <mergeCell ref="C95:X95"/>
    <mergeCell ref="Y95:AC95"/>
    <mergeCell ref="AD95:AJ95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A83:AJ83"/>
    <mergeCell ref="A84:B84"/>
    <mergeCell ref="C84:X84"/>
    <mergeCell ref="Y84:AC84"/>
    <mergeCell ref="AD84:AJ84"/>
    <mergeCell ref="A85:B85"/>
    <mergeCell ref="C85:X85"/>
    <mergeCell ref="Y85:AC85"/>
    <mergeCell ref="AD85:AJ85"/>
    <mergeCell ref="A80:B80"/>
    <mergeCell ref="C80:AC80"/>
    <mergeCell ref="AD80:AJ80"/>
    <mergeCell ref="A81:AC81"/>
    <mergeCell ref="AD81:AJ81"/>
    <mergeCell ref="A82:AJ82"/>
    <mergeCell ref="A78:B78"/>
    <mergeCell ref="C78:AC78"/>
    <mergeCell ref="AD78:AJ78"/>
    <mergeCell ref="A79:B79"/>
    <mergeCell ref="C79:AC79"/>
    <mergeCell ref="AD79:AJ79"/>
    <mergeCell ref="A74:AC74"/>
    <mergeCell ref="AD74:AJ74"/>
    <mergeCell ref="A75:AJ75"/>
    <mergeCell ref="A76:AJ76"/>
    <mergeCell ref="A77:B77"/>
    <mergeCell ref="C77:AC77"/>
    <mergeCell ref="AD77:AJ7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AQ160"/>
  <sheetViews>
    <sheetView showGridLines="0" topLeftCell="A61" zoomScale="115" zoomScaleNormal="115" zoomScaleSheetLayoutView="120" workbookViewId="0">
      <selection activeCell="AD121" sqref="AD121:AJ121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5" width="3.85546875" style="34" customWidth="1"/>
    <col min="36" max="36" width="5.5703125" style="34" customWidth="1"/>
    <col min="37" max="37" width="2.42578125" style="34" customWidth="1"/>
    <col min="38" max="38" width="13" style="34" customWidth="1"/>
    <col min="39" max="42" width="2.42578125" style="34"/>
    <col min="43" max="43" width="3.5703125" style="34" customWidth="1"/>
    <col min="44" max="16384" width="2.42578125" style="34"/>
  </cols>
  <sheetData>
    <row r="1" spans="1:36" ht="15" customHeight="1">
      <c r="A1" s="854"/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  <c r="AI1" s="854"/>
      <c r="AJ1" s="854"/>
    </row>
    <row r="2" spans="1:36" ht="15" customHeight="1">
      <c r="A2" s="855" t="s">
        <v>26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  <c r="S2" s="855"/>
      <c r="T2" s="855"/>
      <c r="U2" s="855"/>
      <c r="V2" s="855"/>
      <c r="W2" s="855"/>
      <c r="X2" s="855"/>
      <c r="Y2" s="855"/>
      <c r="Z2" s="855"/>
      <c r="AA2" s="855"/>
      <c r="AB2" s="855"/>
      <c r="AC2" s="855"/>
      <c r="AD2" s="855"/>
      <c r="AE2" s="855"/>
      <c r="AF2" s="855"/>
      <c r="AG2" s="855"/>
      <c r="AH2" s="855"/>
      <c r="AI2" s="855"/>
      <c r="AJ2" s="855"/>
    </row>
    <row r="3" spans="1:36" ht="15" customHeight="1">
      <c r="A3" s="855" t="s">
        <v>27</v>
      </c>
      <c r="B3" s="855"/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  <c r="AB3" s="855"/>
      <c r="AC3" s="855"/>
      <c r="AD3" s="855"/>
      <c r="AE3" s="855"/>
      <c r="AF3" s="855"/>
      <c r="AG3" s="855"/>
      <c r="AH3" s="855"/>
      <c r="AI3" s="855"/>
      <c r="AJ3" s="855"/>
    </row>
    <row r="4" spans="1:36" ht="15" customHeight="1">
      <c r="A4" s="855" t="s">
        <v>329</v>
      </c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B4" s="855"/>
      <c r="AC4" s="855"/>
      <c r="AD4" s="855"/>
      <c r="AE4" s="855"/>
      <c r="AF4" s="855"/>
      <c r="AG4" s="855"/>
      <c r="AH4" s="855"/>
      <c r="AI4" s="855"/>
      <c r="AJ4" s="855"/>
    </row>
    <row r="5" spans="1:36" ht="15" customHeight="1">
      <c r="A5" s="854"/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854"/>
      <c r="W5" s="854"/>
      <c r="X5" s="854"/>
      <c r="Y5" s="854"/>
      <c r="Z5" s="854"/>
      <c r="AA5" s="854"/>
      <c r="AB5" s="854"/>
      <c r="AC5" s="854"/>
      <c r="AD5" s="854"/>
      <c r="AE5" s="854"/>
      <c r="AF5" s="854"/>
      <c r="AG5" s="854"/>
      <c r="AH5" s="854"/>
      <c r="AI5" s="854"/>
      <c r="AJ5" s="854"/>
    </row>
    <row r="6" spans="1:36" ht="15" customHeight="1">
      <c r="A6" s="854"/>
      <c r="B6" s="854"/>
      <c r="C6" s="854"/>
      <c r="D6" s="854"/>
      <c r="E6" s="854"/>
      <c r="F6" s="854"/>
      <c r="G6" s="854"/>
      <c r="H6" s="854"/>
      <c r="I6" s="854"/>
      <c r="J6" s="854"/>
      <c r="K6" s="854"/>
      <c r="L6" s="854"/>
      <c r="M6" s="854"/>
      <c r="N6" s="854"/>
      <c r="O6" s="854"/>
      <c r="P6" s="854"/>
      <c r="Q6" s="854"/>
      <c r="R6" s="854"/>
      <c r="S6" s="854"/>
      <c r="T6" s="854"/>
      <c r="U6" s="854"/>
      <c r="V6" s="854"/>
      <c r="W6" s="854"/>
      <c r="X6" s="854"/>
      <c r="Y6" s="854"/>
      <c r="Z6" s="854"/>
      <c r="AA6" s="854"/>
      <c r="AB6" s="854"/>
      <c r="AC6" s="854"/>
      <c r="AD6" s="854"/>
      <c r="AE6" s="854"/>
      <c r="AF6" s="854"/>
      <c r="AG6" s="854"/>
      <c r="AH6" s="854"/>
      <c r="AI6" s="854"/>
      <c r="AJ6" s="854"/>
    </row>
    <row r="7" spans="1:36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</row>
    <row r="8" spans="1:36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</row>
    <row r="9" spans="1:36" s="35" customFormat="1" ht="14.45" customHeight="1">
      <c r="A9" s="856" t="s">
        <v>350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</row>
    <row r="10" spans="1:36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</row>
    <row r="11" spans="1:36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</row>
    <row r="12" spans="1:36" s="35" customFormat="1" ht="14.45" customHeight="1">
      <c r="A12" s="860" t="s">
        <v>144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  <c r="R12" s="861"/>
      <c r="S12" s="861"/>
      <c r="T12" s="861"/>
      <c r="U12" s="861"/>
      <c r="V12" s="861"/>
      <c r="W12" s="861"/>
      <c r="X12" s="861"/>
      <c r="Y12" s="861"/>
      <c r="Z12" s="861"/>
      <c r="AA12" s="861"/>
      <c r="AB12" s="861"/>
      <c r="AC12" s="861"/>
      <c r="AD12" s="861"/>
      <c r="AE12" s="861"/>
      <c r="AF12" s="861"/>
      <c r="AG12" s="861"/>
      <c r="AH12" s="861"/>
      <c r="AI12" s="861"/>
      <c r="AJ12" s="862"/>
    </row>
    <row r="13" spans="1:36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</row>
    <row r="14" spans="1:36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</row>
    <row r="15" spans="1:36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</row>
    <row r="16" spans="1:36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</row>
    <row r="17" spans="1:36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</row>
    <row r="18" spans="1:36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</row>
    <row r="19" spans="1:36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</row>
    <row r="20" spans="1:36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</row>
    <row r="21" spans="1:36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</row>
    <row r="22" spans="1:36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333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</row>
    <row r="23" spans="1:36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</row>
    <row r="24" spans="1:36" s="35" customFormat="1" ht="14.45" customHeight="1">
      <c r="A24" s="832" t="s">
        <v>355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</row>
    <row r="25" spans="1:36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</row>
    <row r="26" spans="1:36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</row>
    <row r="27" spans="1:36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</row>
    <row r="29" spans="1:36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</row>
    <row r="30" spans="1:36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819" t="s">
        <v>218</v>
      </c>
      <c r="AE30" s="819"/>
      <c r="AF30" s="819"/>
      <c r="AG30" s="819"/>
      <c r="AH30" s="819"/>
      <c r="AI30" s="819"/>
      <c r="AJ30" s="819"/>
    </row>
    <row r="31" spans="1:36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819" t="s">
        <v>225</v>
      </c>
      <c r="AE31" s="819"/>
      <c r="AF31" s="819"/>
      <c r="AG31" s="819"/>
      <c r="AH31" s="819"/>
      <c r="AI31" s="819"/>
      <c r="AJ31" s="819"/>
    </row>
    <row r="32" spans="1:36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f>'ASG CG'!AD32</f>
        <v>1103</v>
      </c>
      <c r="AE32" s="820"/>
      <c r="AF32" s="820"/>
      <c r="AG32" s="820"/>
      <c r="AH32" s="820"/>
      <c r="AI32" s="820"/>
      <c r="AJ32" s="820"/>
    </row>
    <row r="33" spans="1:36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97" t="s">
        <v>380</v>
      </c>
      <c r="AE33" s="897"/>
      <c r="AF33" s="897"/>
      <c r="AG33" s="897"/>
      <c r="AH33" s="897"/>
      <c r="AI33" s="897"/>
      <c r="AJ33" s="897"/>
    </row>
    <row r="34" spans="1:36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</row>
    <row r="35" spans="1:36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6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</row>
    <row r="38" spans="1:36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1103</v>
      </c>
      <c r="AE38" s="775"/>
      <c r="AF38" s="775"/>
      <c r="AG38" s="775"/>
      <c r="AH38" s="775"/>
      <c r="AI38" s="775"/>
      <c r="AJ38" s="776"/>
    </row>
    <row r="39" spans="1:36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6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894">
        <v>0.4</v>
      </c>
      <c r="Z40" s="895"/>
      <c r="AA40" s="895"/>
      <c r="AB40" s="895"/>
      <c r="AC40" s="896"/>
      <c r="AD40" s="744">
        <f>AD38*Y40</f>
        <v>441.20000000000005</v>
      </c>
      <c r="AE40" s="745"/>
      <c r="AF40" s="745"/>
      <c r="AG40" s="745"/>
      <c r="AH40" s="745"/>
      <c r="AI40" s="745"/>
      <c r="AJ40" s="746"/>
    </row>
    <row r="41" spans="1:36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6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6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6" ht="14.45" customHeight="1">
      <c r="A44" s="722" t="s">
        <v>8</v>
      </c>
      <c r="B44" s="723"/>
      <c r="C44" s="724" t="s">
        <v>11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14"/>
      <c r="Z44" s="811"/>
      <c r="AA44" s="811"/>
      <c r="AB44" s="811"/>
      <c r="AC44" s="812"/>
      <c r="AD44" s="744"/>
      <c r="AE44" s="745"/>
      <c r="AF44" s="745"/>
      <c r="AG44" s="745"/>
      <c r="AH44" s="745"/>
      <c r="AI44" s="745"/>
      <c r="AJ44" s="746"/>
    </row>
    <row r="45" spans="1:36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1544.2</v>
      </c>
      <c r="AE45" s="692"/>
      <c r="AF45" s="692"/>
      <c r="AG45" s="692"/>
      <c r="AH45" s="692"/>
      <c r="AI45" s="692"/>
      <c r="AJ45" s="693"/>
    </row>
    <row r="46" spans="1:36" ht="14.45" customHeight="1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60"/>
      <c r="Z46" s="60"/>
      <c r="AA46" s="60"/>
      <c r="AB46" s="60"/>
      <c r="AC46" s="60"/>
      <c r="AD46" s="61"/>
      <c r="AE46" s="61"/>
      <c r="AF46" s="61"/>
      <c r="AG46" s="61"/>
      <c r="AH46" s="61"/>
      <c r="AI46" s="61"/>
      <c r="AJ46" s="61"/>
    </row>
    <row r="47" spans="1:36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6" ht="14.45" customHeight="1">
      <c r="A48" s="813" t="s">
        <v>280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128.68333333333334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42.894444444444446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171.57777777777778</v>
      </c>
      <c r="AE52" s="692"/>
      <c r="AF52" s="692"/>
      <c r="AG52" s="692"/>
      <c r="AH52" s="692"/>
      <c r="AI52" s="692"/>
      <c r="AJ52" s="693"/>
    </row>
    <row r="53" spans="1:36" ht="14.45" customHeight="1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60"/>
      <c r="Z53" s="60"/>
      <c r="AA53" s="60"/>
      <c r="AB53" s="60"/>
      <c r="AC53" s="60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343.15555555555557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42.894444444444446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51.473333333333336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25.736666666666668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17.157777777777778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10.294666666666668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3.4315555555555557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137.26222222222222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631.40622222222225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109.82000000000001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454.82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171.57777777777778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631.40622222222225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454.82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1257.8040000000001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6.434166666666667</v>
      </c>
      <c r="AE85" s="775"/>
      <c r="AF85" s="775"/>
      <c r="AG85" s="775"/>
      <c r="AH85" s="775"/>
      <c r="AI85" s="775"/>
      <c r="AJ85" s="776"/>
      <c r="AL85" s="116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0.51473333333333338</v>
      </c>
      <c r="AE86" s="775"/>
      <c r="AF86" s="775"/>
      <c r="AG86" s="775"/>
      <c r="AH86" s="775"/>
      <c r="AI86" s="775"/>
      <c r="AJ86" s="776"/>
      <c r="AL86" s="116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56.071617777777782</v>
      </c>
      <c r="AE87" s="775"/>
      <c r="AF87" s="775"/>
      <c r="AG87" s="775"/>
      <c r="AH87" s="775"/>
      <c r="AI87" s="775"/>
      <c r="AJ87" s="776"/>
      <c r="AL87" s="116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54.48341111111111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11.049608888888891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0.96083555555555578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129.51437333333334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128.68333333333334</v>
      </c>
      <c r="AE96" s="775"/>
      <c r="AF96" s="775"/>
      <c r="AG96" s="775"/>
      <c r="AH96" s="775"/>
      <c r="AI96" s="775"/>
      <c r="AJ96" s="776"/>
      <c r="AK96" s="130"/>
      <c r="AL96" s="117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21.464379999999998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0.30884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4.32376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2.00746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1.08094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30.306354814814814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58.095686506666674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246.27075465481485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7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7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7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246.27075465481485</v>
      </c>
      <c r="AE115" s="775"/>
      <c r="AF115" s="775"/>
      <c r="AG115" s="775"/>
      <c r="AH115" s="775"/>
      <c r="AI115" s="775"/>
      <c r="AJ115" s="776"/>
    </row>
    <row r="116" spans="1:37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7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246.27075465481485</v>
      </c>
      <c r="AE117" s="692"/>
      <c r="AF117" s="692"/>
      <c r="AG117" s="692"/>
      <c r="AH117" s="692"/>
      <c r="AI117" s="692"/>
      <c r="AJ117" s="693"/>
    </row>
    <row r="118" spans="1:37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7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7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7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'Fardamentos e EPI´s - ALIS'!H19</f>
        <v>126.95333333333332</v>
      </c>
      <c r="AE121" s="772"/>
      <c r="AF121" s="772"/>
      <c r="AG121" s="772"/>
      <c r="AH121" s="772"/>
      <c r="AI121" s="772"/>
      <c r="AJ121" s="773"/>
    </row>
    <row r="122" spans="1:37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7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>
        <f>'Equip. e Ferramentas - Preço'!O165</f>
        <v>155.14487882758621</v>
      </c>
      <c r="AE123" s="772"/>
      <c r="AF123" s="772"/>
      <c r="AG123" s="772"/>
      <c r="AH123" s="772"/>
      <c r="AI123" s="772"/>
      <c r="AJ123" s="773"/>
    </row>
    <row r="124" spans="1:37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282.0982121609195</v>
      </c>
      <c r="AE124" s="692"/>
      <c r="AF124" s="692"/>
      <c r="AG124" s="692"/>
      <c r="AH124" s="692"/>
      <c r="AI124" s="692"/>
      <c r="AJ124" s="693"/>
    </row>
    <row r="125" spans="1:37" ht="14.45" customHeight="1"/>
    <row r="126" spans="1:37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7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7" ht="14.45" customHeight="1">
      <c r="A128" s="736" t="s">
        <v>0</v>
      </c>
      <c r="B128" s="737"/>
      <c r="C128" s="757" t="s">
        <v>328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103.79662020447205</v>
      </c>
      <c r="AE128" s="745"/>
      <c r="AF128" s="745"/>
      <c r="AG128" s="745"/>
      <c r="AH128" s="745"/>
      <c r="AI128" s="745"/>
      <c r="AJ128" s="746"/>
      <c r="AK128" s="130"/>
    </row>
    <row r="129" spans="1:37" ht="14.45" customHeight="1">
      <c r="A129" s="736" t="s">
        <v>1</v>
      </c>
      <c r="B129" s="737"/>
      <c r="C129" s="757" t="s">
        <v>327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234.92635039612173</v>
      </c>
      <c r="AE129" s="745"/>
      <c r="AF129" s="745"/>
      <c r="AG129" s="745"/>
      <c r="AH129" s="745"/>
      <c r="AI129" s="745"/>
      <c r="AJ129" s="746"/>
      <c r="AK129" s="130"/>
    </row>
    <row r="130" spans="1:37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</row>
    <row r="131" spans="1:37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7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124.74910708537477</v>
      </c>
      <c r="AE132" s="745"/>
      <c r="AF132" s="745"/>
      <c r="AG132" s="745"/>
      <c r="AH132" s="745"/>
      <c r="AI132" s="745"/>
      <c r="AJ132" s="746"/>
      <c r="AK132" s="130"/>
    </row>
    <row r="133" spans="1:37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27.028973201831199</v>
      </c>
      <c r="AE133" s="745"/>
      <c r="AF133" s="745"/>
      <c r="AG133" s="745"/>
      <c r="AH133" s="745"/>
      <c r="AI133" s="745"/>
      <c r="AJ133" s="746"/>
      <c r="AK133" s="134"/>
    </row>
    <row r="134" spans="1:37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207.91517847562466</v>
      </c>
      <c r="AE134" s="745"/>
      <c r="AF134" s="745"/>
      <c r="AG134" s="745"/>
      <c r="AH134" s="745"/>
      <c r="AI134" s="745"/>
      <c r="AJ134" s="746"/>
      <c r="AK134" s="130"/>
    </row>
    <row r="135" spans="1:37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698.41622936342446</v>
      </c>
      <c r="AE135" s="747"/>
      <c r="AF135" s="747"/>
      <c r="AG135" s="747"/>
      <c r="AH135" s="747"/>
      <c r="AI135" s="747"/>
      <c r="AJ135" s="747"/>
      <c r="AK135" s="130"/>
    </row>
    <row r="136" spans="1:37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7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7" ht="14.4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0"/>
    </row>
    <row r="139" spans="1:37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7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1544.2</v>
      </c>
      <c r="AE140" s="720"/>
      <c r="AF140" s="720"/>
      <c r="AG140" s="720"/>
      <c r="AH140" s="720"/>
      <c r="AI140" s="720"/>
      <c r="AJ140" s="721"/>
      <c r="AK140" s="130"/>
    </row>
    <row r="141" spans="1:37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1257.8040000000001</v>
      </c>
      <c r="AE141" s="720"/>
      <c r="AF141" s="720"/>
      <c r="AG141" s="720"/>
      <c r="AH141" s="720"/>
      <c r="AI141" s="720"/>
      <c r="AJ141" s="721"/>
      <c r="AK141" s="130"/>
    </row>
    <row r="142" spans="1:37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129.51437333333334</v>
      </c>
      <c r="AE142" s="720"/>
      <c r="AF142" s="720"/>
      <c r="AG142" s="720"/>
      <c r="AH142" s="720"/>
      <c r="AI142" s="720"/>
      <c r="AJ142" s="721"/>
      <c r="AK142" s="130"/>
    </row>
    <row r="143" spans="1:37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246.27075465481485</v>
      </c>
      <c r="AE143" s="720"/>
      <c r="AF143" s="720"/>
      <c r="AG143" s="720"/>
      <c r="AH143" s="720"/>
      <c r="AI143" s="720"/>
      <c r="AJ143" s="721"/>
      <c r="AK143" s="130"/>
    </row>
    <row r="144" spans="1:37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282.0982121609195</v>
      </c>
      <c r="AE144" s="720"/>
      <c r="AF144" s="720"/>
      <c r="AG144" s="720"/>
      <c r="AH144" s="720"/>
      <c r="AI144" s="720"/>
      <c r="AJ144" s="721"/>
      <c r="AK144" s="130"/>
    </row>
    <row r="145" spans="1:38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3459.8873401490678</v>
      </c>
      <c r="AE145" s="720"/>
      <c r="AF145" s="720"/>
      <c r="AG145" s="720"/>
      <c r="AH145" s="720"/>
      <c r="AI145" s="720"/>
      <c r="AJ145" s="721"/>
      <c r="AK145" s="130"/>
    </row>
    <row r="146" spans="1:38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698.41622936342446</v>
      </c>
      <c r="AE146" s="720"/>
      <c r="AF146" s="720"/>
      <c r="AG146" s="720"/>
      <c r="AH146" s="720"/>
      <c r="AI146" s="720"/>
      <c r="AJ146" s="721"/>
      <c r="AK146" s="130"/>
    </row>
    <row r="147" spans="1:38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4158.3035695124927</v>
      </c>
      <c r="AE147" s="692"/>
      <c r="AF147" s="692"/>
      <c r="AG147" s="692"/>
      <c r="AH147" s="692"/>
      <c r="AI147" s="692"/>
      <c r="AJ147" s="693"/>
      <c r="AK147" s="130"/>
      <c r="AL147" s="117"/>
    </row>
    <row r="148" spans="1:38" ht="14.45" customHeight="1"/>
    <row r="149" spans="1:38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8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8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8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8" ht="34.15" customHeight="1">
      <c r="A153" s="701" t="str">
        <f>A24</f>
        <v>SERVIÇO DE LIMPEZA COM INSALUBRIDADE (  JOÃO PESSOA  )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4158.3035695124927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4158.3035695124927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4158.3035695124927</v>
      </c>
      <c r="AF153" s="714"/>
      <c r="AG153" s="714"/>
      <c r="AH153" s="714"/>
      <c r="AI153" s="714"/>
      <c r="AJ153" s="715"/>
    </row>
    <row r="154" spans="1:38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4158.3</v>
      </c>
      <c r="AF154" s="686"/>
      <c r="AG154" s="686"/>
      <c r="AH154" s="686"/>
      <c r="AI154" s="686"/>
      <c r="AJ154" s="686"/>
    </row>
    <row r="155" spans="1:38" ht="14.45" customHeight="1"/>
    <row r="156" spans="1:38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8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8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8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4158.3</v>
      </c>
      <c r="AE159" s="700"/>
      <c r="AF159" s="700"/>
      <c r="AG159" s="700"/>
      <c r="AH159" s="700"/>
      <c r="AI159" s="700"/>
      <c r="AJ159" s="700"/>
    </row>
    <row r="160" spans="1:38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149698.80000000002</v>
      </c>
      <c r="AE160" s="684"/>
      <c r="AF160" s="684"/>
      <c r="AG160" s="684"/>
      <c r="AH160" s="684"/>
      <c r="AI160" s="684"/>
      <c r="AJ160" s="684"/>
    </row>
  </sheetData>
  <mergeCells count="392">
    <mergeCell ref="A103:B103"/>
    <mergeCell ref="C103:X103"/>
    <mergeCell ref="Y103:AC103"/>
    <mergeCell ref="AD103:AJ103"/>
    <mergeCell ref="A106:X106"/>
    <mergeCell ref="Y106:AC106"/>
    <mergeCell ref="AD106:AJ106"/>
    <mergeCell ref="A104:AC104"/>
    <mergeCell ref="AD104:AJ104"/>
    <mergeCell ref="A105:B105"/>
    <mergeCell ref="C105:X105"/>
    <mergeCell ref="Y105:AC105"/>
    <mergeCell ref="AD105:AJ105"/>
    <mergeCell ref="A101:B101"/>
    <mergeCell ref="C101:X101"/>
    <mergeCell ref="Y101:AC101"/>
    <mergeCell ref="AD101:AJ101"/>
    <mergeCell ref="A102:X102"/>
    <mergeCell ref="Y102:AC102"/>
    <mergeCell ref="AD102:AJ102"/>
    <mergeCell ref="A99:B99"/>
    <mergeCell ref="C99:X99"/>
    <mergeCell ref="Y99:AC99"/>
    <mergeCell ref="AD99:AJ99"/>
    <mergeCell ref="A100:B100"/>
    <mergeCell ref="C100:X100"/>
    <mergeCell ref="Y100:AC100"/>
    <mergeCell ref="AD100:AJ100"/>
    <mergeCell ref="A97:B97"/>
    <mergeCell ref="C97:X97"/>
    <mergeCell ref="Y97:AC97"/>
    <mergeCell ref="AD97:AJ97"/>
    <mergeCell ref="A98:B98"/>
    <mergeCell ref="C98:X98"/>
    <mergeCell ref="Y98:AC98"/>
    <mergeCell ref="AD98:AJ98"/>
    <mergeCell ref="Y95:AC95"/>
    <mergeCell ref="AD95:AJ95"/>
    <mergeCell ref="A96:B96"/>
    <mergeCell ref="C96:X96"/>
    <mergeCell ref="Y96:AC96"/>
    <mergeCell ref="AD96:AJ96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A83:AJ83"/>
    <mergeCell ref="A84:B84"/>
    <mergeCell ref="C84:X84"/>
    <mergeCell ref="Y84:AC84"/>
    <mergeCell ref="AD84:AJ84"/>
    <mergeCell ref="A85:B85"/>
    <mergeCell ref="C85:X85"/>
    <mergeCell ref="Y85:AC85"/>
    <mergeCell ref="AD85:AJ85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74:AC74"/>
    <mergeCell ref="AD74:AJ74"/>
    <mergeCell ref="A75:AJ75"/>
    <mergeCell ref="A76:AJ76"/>
    <mergeCell ref="A77:B77"/>
    <mergeCell ref="C77:AC77"/>
    <mergeCell ref="AD77:AJ77"/>
    <mergeCell ref="A80:B80"/>
    <mergeCell ref="C80:AC80"/>
    <mergeCell ref="AD80:AJ80"/>
    <mergeCell ref="A81:AC81"/>
    <mergeCell ref="AD81:AJ81"/>
    <mergeCell ref="A82:AJ82"/>
    <mergeCell ref="A78:B78"/>
    <mergeCell ref="C78:AC78"/>
    <mergeCell ref="AD78:AJ78"/>
    <mergeCell ref="A79:B79"/>
    <mergeCell ref="C79:AC79"/>
    <mergeCell ref="AD79:AJ79"/>
    <mergeCell ref="A92:AJ92"/>
    <mergeCell ref="A110:B110"/>
    <mergeCell ref="C110:AC110"/>
    <mergeCell ref="AD110:AJ110"/>
    <mergeCell ref="A111:AC111"/>
    <mergeCell ref="AD111:AJ111"/>
    <mergeCell ref="A93:AJ93"/>
    <mergeCell ref="A94:AJ94"/>
    <mergeCell ref="A95:B95"/>
    <mergeCell ref="C95:X95"/>
    <mergeCell ref="A112:AJ112"/>
    <mergeCell ref="A107:AJ107"/>
    <mergeCell ref="A108:AJ108"/>
    <mergeCell ref="A109:B109"/>
    <mergeCell ref="C109:X109"/>
    <mergeCell ref="Y109:AC109"/>
    <mergeCell ref="AD109:AJ109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C127:X127"/>
    <mergeCell ref="Y127:AC127"/>
    <mergeCell ref="AD127:AJ127"/>
    <mergeCell ref="A128:B128"/>
    <mergeCell ref="C128:X128"/>
    <mergeCell ref="Y128:AC128"/>
    <mergeCell ref="AD128:AJ128"/>
    <mergeCell ref="A124:AC124"/>
    <mergeCell ref="AD124:AJ124"/>
    <mergeCell ref="A126:AJ126"/>
    <mergeCell ref="A132:B132"/>
    <mergeCell ref="C132:X132"/>
    <mergeCell ref="Y132:AC132"/>
    <mergeCell ref="AD132:AJ132"/>
    <mergeCell ref="C131:X131"/>
    <mergeCell ref="Y131:AC131"/>
    <mergeCell ref="A127:B127"/>
    <mergeCell ref="A133:B133"/>
    <mergeCell ref="C133:X133"/>
    <mergeCell ref="Y133:AC133"/>
    <mergeCell ref="AD133:AJ133"/>
    <mergeCell ref="A129:B129"/>
    <mergeCell ref="C129:X129"/>
    <mergeCell ref="Y129:AC129"/>
    <mergeCell ref="AD129:AJ129"/>
    <mergeCell ref="Y130:AC130"/>
    <mergeCell ref="A131:B131"/>
    <mergeCell ref="A137:AJ137"/>
    <mergeCell ref="A139:AC139"/>
    <mergeCell ref="AD139:AJ139"/>
    <mergeCell ref="A140:B140"/>
    <mergeCell ref="C140:AC140"/>
    <mergeCell ref="AD140:AJ140"/>
    <mergeCell ref="A134:B134"/>
    <mergeCell ref="C134:X134"/>
    <mergeCell ref="Y134:AC134"/>
    <mergeCell ref="AD134:AJ134"/>
    <mergeCell ref="A135:AC135"/>
    <mergeCell ref="AD135:AJ135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W153:AA153"/>
    <mergeCell ref="AB153:AD153"/>
    <mergeCell ref="AE153:AJ153"/>
    <mergeCell ref="A145:AC145"/>
    <mergeCell ref="AD145:AJ145"/>
    <mergeCell ref="A146:B146"/>
    <mergeCell ref="C146:AC146"/>
    <mergeCell ref="AD146:AJ146"/>
    <mergeCell ref="A147:AC147"/>
    <mergeCell ref="AD147:AJ147"/>
    <mergeCell ref="A152:L152"/>
    <mergeCell ref="M152:Q152"/>
    <mergeCell ref="R152:V152"/>
    <mergeCell ref="W152:AA152"/>
    <mergeCell ref="AB152:AD152"/>
    <mergeCell ref="AD159:AJ159"/>
    <mergeCell ref="AE152:AJ152"/>
    <mergeCell ref="A153:L153"/>
    <mergeCell ref="M153:Q153"/>
    <mergeCell ref="R153:V153"/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AQ160"/>
  <sheetViews>
    <sheetView showGridLines="0" topLeftCell="A58" zoomScale="115" zoomScaleNormal="115" zoomScaleSheetLayoutView="120" workbookViewId="0">
      <selection activeCell="AD121" sqref="AD121:AJ121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5" width="3.85546875" style="34" customWidth="1"/>
    <col min="36" max="36" width="5.85546875" style="34" customWidth="1"/>
    <col min="37" max="37" width="2.42578125" style="34" customWidth="1"/>
    <col min="38" max="38" width="13" style="34" customWidth="1"/>
    <col min="39" max="42" width="2.42578125" style="34"/>
    <col min="43" max="43" width="3.5703125" style="34" customWidth="1"/>
    <col min="44" max="16384" width="2.42578125" style="34"/>
  </cols>
  <sheetData>
    <row r="1" spans="1:36" ht="15" customHeight="1">
      <c r="A1" s="898"/>
      <c r="B1" s="898"/>
      <c r="C1" s="898"/>
      <c r="D1" s="898"/>
      <c r="E1" s="898"/>
      <c r="F1" s="898"/>
      <c r="G1" s="898"/>
      <c r="H1" s="898"/>
      <c r="I1" s="898"/>
      <c r="J1" s="898"/>
      <c r="K1" s="898"/>
      <c r="L1" s="898"/>
      <c r="M1" s="898"/>
      <c r="N1" s="898"/>
      <c r="O1" s="898"/>
      <c r="P1" s="898"/>
      <c r="Q1" s="898"/>
      <c r="R1" s="898"/>
      <c r="S1" s="898"/>
      <c r="T1" s="898"/>
      <c r="U1" s="898"/>
      <c r="V1" s="898"/>
      <c r="W1" s="898"/>
      <c r="X1" s="898"/>
      <c r="Y1" s="898"/>
      <c r="Z1" s="898"/>
      <c r="AA1" s="898"/>
      <c r="AB1" s="898"/>
      <c r="AC1" s="898"/>
      <c r="AD1" s="898"/>
      <c r="AE1" s="898"/>
      <c r="AF1" s="898"/>
      <c r="AG1" s="898"/>
      <c r="AH1" s="898"/>
      <c r="AI1" s="898"/>
      <c r="AJ1" s="898"/>
    </row>
    <row r="2" spans="1:36" ht="15" customHeight="1">
      <c r="A2" s="899" t="s">
        <v>26</v>
      </c>
      <c r="B2" s="899"/>
      <c r="C2" s="899"/>
      <c r="D2" s="899"/>
      <c r="E2" s="899"/>
      <c r="F2" s="899"/>
      <c r="G2" s="899"/>
      <c r="H2" s="899"/>
      <c r="I2" s="899"/>
      <c r="J2" s="899"/>
      <c r="K2" s="899"/>
      <c r="L2" s="899"/>
      <c r="M2" s="899"/>
      <c r="N2" s="899"/>
      <c r="O2" s="899"/>
      <c r="P2" s="899"/>
      <c r="Q2" s="899"/>
      <c r="R2" s="899"/>
      <c r="S2" s="899"/>
      <c r="T2" s="899"/>
      <c r="U2" s="899"/>
      <c r="V2" s="899"/>
      <c r="W2" s="899"/>
      <c r="X2" s="899"/>
      <c r="Y2" s="899"/>
      <c r="Z2" s="899"/>
      <c r="AA2" s="899"/>
      <c r="AB2" s="899"/>
      <c r="AC2" s="899"/>
      <c r="AD2" s="899"/>
      <c r="AE2" s="899"/>
      <c r="AF2" s="899"/>
      <c r="AG2" s="899"/>
      <c r="AH2" s="899"/>
      <c r="AI2" s="899"/>
      <c r="AJ2" s="899"/>
    </row>
    <row r="3" spans="1:36" ht="15" customHeight="1">
      <c r="A3" s="899" t="s">
        <v>27</v>
      </c>
      <c r="B3" s="899"/>
      <c r="C3" s="899"/>
      <c r="D3" s="899"/>
      <c r="E3" s="899"/>
      <c r="F3" s="899"/>
      <c r="G3" s="899"/>
      <c r="H3" s="899"/>
      <c r="I3" s="899"/>
      <c r="J3" s="899"/>
      <c r="K3" s="899"/>
      <c r="L3" s="899"/>
      <c r="M3" s="899"/>
      <c r="N3" s="899"/>
      <c r="O3" s="899"/>
      <c r="P3" s="899"/>
      <c r="Q3" s="899"/>
      <c r="R3" s="899"/>
      <c r="S3" s="899"/>
      <c r="T3" s="899"/>
      <c r="U3" s="899"/>
      <c r="V3" s="899"/>
      <c r="W3" s="899"/>
      <c r="X3" s="899"/>
      <c r="Y3" s="899"/>
      <c r="Z3" s="899"/>
      <c r="AA3" s="899"/>
      <c r="AB3" s="899"/>
      <c r="AC3" s="899"/>
      <c r="AD3" s="899"/>
      <c r="AE3" s="899"/>
      <c r="AF3" s="899"/>
      <c r="AG3" s="899"/>
      <c r="AH3" s="899"/>
      <c r="AI3" s="899"/>
      <c r="AJ3" s="899"/>
    </row>
    <row r="4" spans="1:36" ht="15" customHeight="1">
      <c r="A4" s="899" t="s">
        <v>329</v>
      </c>
      <c r="B4" s="899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  <c r="AF4" s="899"/>
      <c r="AG4" s="899"/>
      <c r="AH4" s="899"/>
      <c r="AI4" s="899"/>
      <c r="AJ4" s="899"/>
    </row>
    <row r="5" spans="1:36" ht="15" customHeight="1">
      <c r="A5" s="898"/>
      <c r="B5" s="898"/>
      <c r="C5" s="898"/>
      <c r="D5" s="898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898"/>
      <c r="AB5" s="898"/>
      <c r="AC5" s="898"/>
      <c r="AD5" s="898"/>
      <c r="AE5" s="898"/>
      <c r="AF5" s="898"/>
      <c r="AG5" s="898"/>
      <c r="AH5" s="898"/>
      <c r="AI5" s="898"/>
      <c r="AJ5" s="898"/>
    </row>
    <row r="6" spans="1:36" ht="15" customHeight="1">
      <c r="A6" s="898"/>
      <c r="B6" s="898"/>
      <c r="C6" s="898"/>
      <c r="D6" s="898"/>
      <c r="E6" s="898"/>
      <c r="F6" s="898"/>
      <c r="G6" s="898"/>
      <c r="H6" s="898"/>
      <c r="I6" s="898"/>
      <c r="J6" s="898"/>
      <c r="K6" s="898"/>
      <c r="L6" s="898"/>
      <c r="M6" s="898"/>
      <c r="N6" s="898"/>
      <c r="O6" s="898"/>
      <c r="P6" s="898"/>
      <c r="Q6" s="898"/>
      <c r="R6" s="898"/>
      <c r="S6" s="898"/>
      <c r="T6" s="898"/>
      <c r="U6" s="898"/>
      <c r="V6" s="898"/>
      <c r="W6" s="898"/>
      <c r="X6" s="898"/>
      <c r="Y6" s="898"/>
      <c r="Z6" s="898"/>
      <c r="AA6" s="898"/>
      <c r="AB6" s="898"/>
      <c r="AC6" s="898"/>
      <c r="AD6" s="898"/>
      <c r="AE6" s="898"/>
      <c r="AF6" s="898"/>
      <c r="AG6" s="898"/>
      <c r="AH6" s="898"/>
      <c r="AI6" s="898"/>
      <c r="AJ6" s="898"/>
    </row>
    <row r="7" spans="1:36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</row>
    <row r="8" spans="1:36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</row>
    <row r="9" spans="1:36" s="35" customFormat="1" ht="14.45" customHeight="1">
      <c r="A9" s="856" t="s">
        <v>356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</row>
    <row r="10" spans="1:36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</row>
    <row r="11" spans="1:36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</row>
    <row r="12" spans="1:36" s="35" customFormat="1" ht="14.45" customHeight="1">
      <c r="A12" s="900" t="s">
        <v>144</v>
      </c>
      <c r="B12" s="901"/>
      <c r="C12" s="901"/>
      <c r="D12" s="901"/>
      <c r="E12" s="901"/>
      <c r="F12" s="901"/>
      <c r="G12" s="901"/>
      <c r="H12" s="901"/>
      <c r="I12" s="901"/>
      <c r="J12" s="901"/>
      <c r="K12" s="901"/>
      <c r="L12" s="901"/>
      <c r="M12" s="901"/>
      <c r="N12" s="901"/>
      <c r="O12" s="901"/>
      <c r="P12" s="901"/>
      <c r="Q12" s="901"/>
      <c r="R12" s="901"/>
      <c r="S12" s="901"/>
      <c r="T12" s="901"/>
      <c r="U12" s="901"/>
      <c r="V12" s="901"/>
      <c r="W12" s="901"/>
      <c r="X12" s="901"/>
      <c r="Y12" s="901"/>
      <c r="Z12" s="901"/>
      <c r="AA12" s="901"/>
      <c r="AB12" s="901"/>
      <c r="AC12" s="901"/>
      <c r="AD12" s="901"/>
      <c r="AE12" s="901"/>
      <c r="AF12" s="901"/>
      <c r="AG12" s="901"/>
      <c r="AH12" s="901"/>
      <c r="AI12" s="901"/>
      <c r="AJ12" s="902"/>
    </row>
    <row r="13" spans="1:36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</row>
    <row r="14" spans="1:36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</row>
    <row r="15" spans="1:36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</row>
    <row r="16" spans="1:36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</row>
    <row r="17" spans="1:36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</row>
    <row r="18" spans="1:36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</row>
    <row r="19" spans="1:36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</row>
    <row r="20" spans="1:36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</row>
    <row r="21" spans="1:36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</row>
    <row r="22" spans="1:36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334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</row>
    <row r="23" spans="1:36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</row>
    <row r="24" spans="1:36" s="35" customFormat="1" ht="14.45" customHeight="1">
      <c r="A24" s="832" t="s">
        <v>363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</row>
    <row r="25" spans="1:36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</row>
    <row r="26" spans="1:36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</row>
    <row r="27" spans="1:36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</row>
    <row r="29" spans="1:36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</row>
    <row r="30" spans="1:36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819" t="s">
        <v>218</v>
      </c>
      <c r="AE30" s="819"/>
      <c r="AF30" s="819"/>
      <c r="AG30" s="819"/>
      <c r="AH30" s="819"/>
      <c r="AI30" s="819"/>
      <c r="AJ30" s="819"/>
    </row>
    <row r="31" spans="1:36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819" t="s">
        <v>225</v>
      </c>
      <c r="AE31" s="819"/>
      <c r="AF31" s="819"/>
      <c r="AG31" s="819"/>
      <c r="AH31" s="819"/>
      <c r="AI31" s="819"/>
      <c r="AJ31" s="819"/>
    </row>
    <row r="32" spans="1:36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f>'ASG CG'!AD32</f>
        <v>1103</v>
      </c>
      <c r="AE32" s="820"/>
      <c r="AF32" s="820"/>
      <c r="AG32" s="820"/>
      <c r="AH32" s="820"/>
      <c r="AI32" s="820"/>
      <c r="AJ32" s="820"/>
    </row>
    <row r="33" spans="1:36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97" t="s">
        <v>380</v>
      </c>
      <c r="AE33" s="897"/>
      <c r="AF33" s="897"/>
      <c r="AG33" s="897"/>
      <c r="AH33" s="897"/>
      <c r="AI33" s="897"/>
      <c r="AJ33" s="897"/>
    </row>
    <row r="34" spans="1:36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</row>
    <row r="35" spans="1:36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6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</row>
    <row r="38" spans="1:36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1103</v>
      </c>
      <c r="AE38" s="775"/>
      <c r="AF38" s="775"/>
      <c r="AG38" s="775"/>
      <c r="AH38" s="775"/>
      <c r="AI38" s="775"/>
      <c r="AJ38" s="776"/>
    </row>
    <row r="39" spans="1:36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6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54">
        <v>0.4</v>
      </c>
      <c r="Z40" s="755"/>
      <c r="AA40" s="755"/>
      <c r="AB40" s="755"/>
      <c r="AC40" s="756"/>
      <c r="AD40" s="744">
        <f>AD38*Y40</f>
        <v>441.20000000000005</v>
      </c>
      <c r="AE40" s="745"/>
      <c r="AF40" s="745"/>
      <c r="AG40" s="745"/>
      <c r="AH40" s="745"/>
      <c r="AI40" s="745"/>
      <c r="AJ40" s="746"/>
    </row>
    <row r="41" spans="1:36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6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6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6" ht="14.45" customHeight="1">
      <c r="A44" s="722" t="s">
        <v>8</v>
      </c>
      <c r="B44" s="723"/>
      <c r="C44" s="724" t="s">
        <v>224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14"/>
      <c r="Z44" s="811"/>
      <c r="AA44" s="811"/>
      <c r="AB44" s="811"/>
      <c r="AC44" s="812"/>
      <c r="AD44" s="744">
        <v>0</v>
      </c>
      <c r="AE44" s="745"/>
      <c r="AF44" s="745"/>
      <c r="AG44" s="745"/>
      <c r="AH44" s="745"/>
      <c r="AI44" s="745"/>
      <c r="AJ44" s="746"/>
    </row>
    <row r="45" spans="1:36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1544.2</v>
      </c>
      <c r="AE45" s="692"/>
      <c r="AF45" s="692"/>
      <c r="AG45" s="692"/>
      <c r="AH45" s="692"/>
      <c r="AI45" s="692"/>
      <c r="AJ45" s="693"/>
    </row>
    <row r="46" spans="1:36" ht="14.45" customHeight="1">
      <c r="A46" s="123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4"/>
      <c r="Z46" s="124"/>
      <c r="AA46" s="124"/>
      <c r="AB46" s="124"/>
      <c r="AC46" s="124"/>
      <c r="AD46" s="61"/>
      <c r="AE46" s="61"/>
      <c r="AF46" s="61"/>
      <c r="AG46" s="61"/>
      <c r="AH46" s="61"/>
      <c r="AI46" s="61"/>
      <c r="AJ46" s="61"/>
    </row>
    <row r="47" spans="1:36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6" ht="14.45" customHeight="1">
      <c r="A48" s="813" t="s">
        <v>280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128.68333333333334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42.894444444444446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171.57777777777778</v>
      </c>
      <c r="AE52" s="692"/>
      <c r="AF52" s="692"/>
      <c r="AG52" s="692"/>
      <c r="AH52" s="692"/>
      <c r="AI52" s="692"/>
      <c r="AJ52" s="693"/>
    </row>
    <row r="53" spans="1:36" ht="14.45" customHeight="1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4"/>
      <c r="Z53" s="124"/>
      <c r="AA53" s="124"/>
      <c r="AB53" s="124"/>
      <c r="AC53" s="124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343.15555555555557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42.894444444444446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51.473333333333336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25.736666666666668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17.157777777777778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10.294666666666668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3.4315555555555557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137.26222222222222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631.40622222222225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109.82000000000001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454.82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171.57777777777778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631.40622222222225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454.82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1257.8040000000001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6.434166666666667</v>
      </c>
      <c r="AE85" s="775"/>
      <c r="AF85" s="775"/>
      <c r="AG85" s="775"/>
      <c r="AH85" s="775"/>
      <c r="AI85" s="775"/>
      <c r="AJ85" s="776"/>
      <c r="AL85" s="116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0.51473333333333338</v>
      </c>
      <c r="AE86" s="775"/>
      <c r="AF86" s="775"/>
      <c r="AG86" s="775"/>
      <c r="AH86" s="775"/>
      <c r="AI86" s="775"/>
      <c r="AJ86" s="776"/>
      <c r="AL86" s="116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56.071617777777782</v>
      </c>
      <c r="AE87" s="775"/>
      <c r="AF87" s="775"/>
      <c r="AG87" s="775"/>
      <c r="AH87" s="775"/>
      <c r="AI87" s="775"/>
      <c r="AJ87" s="776"/>
      <c r="AL87" s="116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54.48341111111111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11.049608888888891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0.96083555555555578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129.51437333333334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128.68333333333334</v>
      </c>
      <c r="AE96" s="775"/>
      <c r="AF96" s="775"/>
      <c r="AG96" s="775"/>
      <c r="AH96" s="775"/>
      <c r="AI96" s="775"/>
      <c r="AJ96" s="776"/>
      <c r="AK96" s="130"/>
      <c r="AL96" s="117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21.464379999999998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0.30884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4.32376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2.00746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1.08094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30.306354814814814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58.095686506666674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246.27075465481485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7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7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7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246.27075465481485</v>
      </c>
      <c r="AE115" s="775"/>
      <c r="AF115" s="775"/>
      <c r="AG115" s="775"/>
      <c r="AH115" s="775"/>
      <c r="AI115" s="775"/>
      <c r="AJ115" s="776"/>
    </row>
    <row r="116" spans="1:37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7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246.27075465481485</v>
      </c>
      <c r="AE117" s="692"/>
      <c r="AF117" s="692"/>
      <c r="AG117" s="692"/>
      <c r="AH117" s="692"/>
      <c r="AI117" s="692"/>
      <c r="AJ117" s="693"/>
    </row>
    <row r="118" spans="1:37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7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7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7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'ALIS Insalub JPA'!AD121</f>
        <v>126.95333333333332</v>
      </c>
      <c r="AE121" s="772"/>
      <c r="AF121" s="772"/>
      <c r="AG121" s="772"/>
      <c r="AH121" s="772"/>
      <c r="AI121" s="772"/>
      <c r="AJ121" s="773"/>
    </row>
    <row r="122" spans="1:37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7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>
        <f>'Equip. e Ferramentas - Preço'!O165</f>
        <v>155.14487882758621</v>
      </c>
      <c r="AE123" s="772"/>
      <c r="AF123" s="772"/>
      <c r="AG123" s="772"/>
      <c r="AH123" s="772"/>
      <c r="AI123" s="772"/>
      <c r="AJ123" s="773"/>
    </row>
    <row r="124" spans="1:37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282.0982121609195</v>
      </c>
      <c r="AE124" s="692"/>
      <c r="AF124" s="692"/>
      <c r="AG124" s="692"/>
      <c r="AH124" s="692"/>
      <c r="AI124" s="692"/>
      <c r="AJ124" s="693"/>
    </row>
    <row r="125" spans="1:37" ht="14.45" customHeight="1"/>
    <row r="126" spans="1:37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7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7" ht="14.45" customHeight="1">
      <c r="A128" s="736" t="s">
        <v>0</v>
      </c>
      <c r="B128" s="737"/>
      <c r="C128" s="757" t="s">
        <v>328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103.79662020447205</v>
      </c>
      <c r="AE128" s="745"/>
      <c r="AF128" s="745"/>
      <c r="AG128" s="745"/>
      <c r="AH128" s="745"/>
      <c r="AI128" s="745"/>
      <c r="AJ128" s="746"/>
      <c r="AK128" s="130"/>
    </row>
    <row r="129" spans="1:37" ht="14.45" customHeight="1">
      <c r="A129" s="736" t="s">
        <v>1</v>
      </c>
      <c r="B129" s="737"/>
      <c r="C129" s="757" t="s">
        <v>327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234.92635039612173</v>
      </c>
      <c r="AE129" s="745"/>
      <c r="AF129" s="745"/>
      <c r="AG129" s="745"/>
      <c r="AH129" s="745"/>
      <c r="AI129" s="745"/>
      <c r="AJ129" s="746"/>
      <c r="AK129" s="130"/>
    </row>
    <row r="130" spans="1:37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</row>
    <row r="131" spans="1:37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7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124.74910708537477</v>
      </c>
      <c r="AE132" s="745"/>
      <c r="AF132" s="745"/>
      <c r="AG132" s="745"/>
      <c r="AH132" s="745"/>
      <c r="AI132" s="745"/>
      <c r="AJ132" s="746"/>
      <c r="AK132" s="130"/>
    </row>
    <row r="133" spans="1:37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27.028973201831199</v>
      </c>
      <c r="AE133" s="745"/>
      <c r="AF133" s="745"/>
      <c r="AG133" s="745"/>
      <c r="AH133" s="745"/>
      <c r="AI133" s="745"/>
      <c r="AJ133" s="746"/>
      <c r="AK133" s="134"/>
    </row>
    <row r="134" spans="1:37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207.91517847562466</v>
      </c>
      <c r="AE134" s="745"/>
      <c r="AF134" s="745"/>
      <c r="AG134" s="745"/>
      <c r="AH134" s="745"/>
      <c r="AI134" s="745"/>
      <c r="AJ134" s="746"/>
      <c r="AK134" s="130"/>
    </row>
    <row r="135" spans="1:37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698.41622936342446</v>
      </c>
      <c r="AE135" s="747"/>
      <c r="AF135" s="747"/>
      <c r="AG135" s="747"/>
      <c r="AH135" s="747"/>
      <c r="AI135" s="747"/>
      <c r="AJ135" s="747"/>
      <c r="AK135" s="130"/>
    </row>
    <row r="136" spans="1:37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7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7" ht="14.4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0"/>
    </row>
    <row r="139" spans="1:37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7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1544.2</v>
      </c>
      <c r="AE140" s="720"/>
      <c r="AF140" s="720"/>
      <c r="AG140" s="720"/>
      <c r="AH140" s="720"/>
      <c r="AI140" s="720"/>
      <c r="AJ140" s="721"/>
      <c r="AK140" s="130"/>
    </row>
    <row r="141" spans="1:37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1257.8040000000001</v>
      </c>
      <c r="AE141" s="720"/>
      <c r="AF141" s="720"/>
      <c r="AG141" s="720"/>
      <c r="AH141" s="720"/>
      <c r="AI141" s="720"/>
      <c r="AJ141" s="721"/>
      <c r="AK141" s="130"/>
    </row>
    <row r="142" spans="1:37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129.51437333333334</v>
      </c>
      <c r="AE142" s="720"/>
      <c r="AF142" s="720"/>
      <c r="AG142" s="720"/>
      <c r="AH142" s="720"/>
      <c r="AI142" s="720"/>
      <c r="AJ142" s="721"/>
      <c r="AK142" s="130"/>
    </row>
    <row r="143" spans="1:37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246.27075465481485</v>
      </c>
      <c r="AE143" s="720"/>
      <c r="AF143" s="720"/>
      <c r="AG143" s="720"/>
      <c r="AH143" s="720"/>
      <c r="AI143" s="720"/>
      <c r="AJ143" s="721"/>
      <c r="AK143" s="130"/>
    </row>
    <row r="144" spans="1:37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282.0982121609195</v>
      </c>
      <c r="AE144" s="720"/>
      <c r="AF144" s="720"/>
      <c r="AG144" s="720"/>
      <c r="AH144" s="720"/>
      <c r="AI144" s="720"/>
      <c r="AJ144" s="721"/>
      <c r="AK144" s="130"/>
    </row>
    <row r="145" spans="1:38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3459.8873401490678</v>
      </c>
      <c r="AE145" s="720"/>
      <c r="AF145" s="720"/>
      <c r="AG145" s="720"/>
      <c r="AH145" s="720"/>
      <c r="AI145" s="720"/>
      <c r="AJ145" s="721"/>
      <c r="AK145" s="130"/>
    </row>
    <row r="146" spans="1:38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698.41622936342446</v>
      </c>
      <c r="AE146" s="720"/>
      <c r="AF146" s="720"/>
      <c r="AG146" s="720"/>
      <c r="AH146" s="720"/>
      <c r="AI146" s="720"/>
      <c r="AJ146" s="721"/>
      <c r="AK146" s="130"/>
    </row>
    <row r="147" spans="1:38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4158.3035695124927</v>
      </c>
      <c r="AE147" s="692"/>
      <c r="AF147" s="692"/>
      <c r="AG147" s="692"/>
      <c r="AH147" s="692"/>
      <c r="AI147" s="692"/>
      <c r="AJ147" s="693"/>
      <c r="AK147" s="130"/>
      <c r="AL147" s="117"/>
    </row>
    <row r="148" spans="1:38" ht="14.45" customHeight="1"/>
    <row r="149" spans="1:38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8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8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8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8" ht="34.15" customHeight="1">
      <c r="A153" s="701" t="str">
        <f>A24</f>
        <v>SERVIÇODE LIMPEZA  COM INSALUBRIDADE (CAMPINA GRANDE)
)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4158.3035695124927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4158.3035695124927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4158.3035695124927</v>
      </c>
      <c r="AF153" s="714"/>
      <c r="AG153" s="714"/>
      <c r="AH153" s="714"/>
      <c r="AI153" s="714"/>
      <c r="AJ153" s="715"/>
    </row>
    <row r="154" spans="1:38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4158.3</v>
      </c>
      <c r="AF154" s="686"/>
      <c r="AG154" s="686"/>
      <c r="AH154" s="686"/>
      <c r="AI154" s="686"/>
      <c r="AJ154" s="686"/>
    </row>
    <row r="155" spans="1:38" ht="14.45" customHeight="1"/>
    <row r="156" spans="1:38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8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8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8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4158.3</v>
      </c>
      <c r="AE159" s="700"/>
      <c r="AF159" s="700"/>
      <c r="AG159" s="700"/>
      <c r="AH159" s="700"/>
      <c r="AI159" s="700"/>
      <c r="AJ159" s="700"/>
    </row>
    <row r="160" spans="1:38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149698.80000000002</v>
      </c>
      <c r="AE160" s="684"/>
      <c r="AF160" s="684"/>
      <c r="AG160" s="684"/>
      <c r="AH160" s="684"/>
      <c r="AI160" s="684"/>
      <c r="AJ160" s="684"/>
    </row>
  </sheetData>
  <mergeCells count="392">
    <mergeCell ref="A106:X106"/>
    <mergeCell ref="Y106:AC106"/>
    <mergeCell ref="AD106:AJ106"/>
    <mergeCell ref="A104:AC104"/>
    <mergeCell ref="AD104:AJ104"/>
    <mergeCell ref="A105:B105"/>
    <mergeCell ref="C105:X105"/>
    <mergeCell ref="Y105:AC105"/>
    <mergeCell ref="AD105:AJ105"/>
    <mergeCell ref="A102:X102"/>
    <mergeCell ref="Y102:AC102"/>
    <mergeCell ref="AD102:AJ102"/>
    <mergeCell ref="A103:B103"/>
    <mergeCell ref="C103:X103"/>
    <mergeCell ref="Y103:AC103"/>
    <mergeCell ref="AD103:AJ103"/>
    <mergeCell ref="A100:B100"/>
    <mergeCell ref="C100:X100"/>
    <mergeCell ref="Y100:AC100"/>
    <mergeCell ref="AD100:AJ100"/>
    <mergeCell ref="A101:B101"/>
    <mergeCell ref="C101:X101"/>
    <mergeCell ref="Y101:AC101"/>
    <mergeCell ref="AD101:AJ101"/>
    <mergeCell ref="A98:B98"/>
    <mergeCell ref="C98:X98"/>
    <mergeCell ref="Y98:AC98"/>
    <mergeCell ref="AD98:AJ98"/>
    <mergeCell ref="A99:B99"/>
    <mergeCell ref="C99:X99"/>
    <mergeCell ref="Y99:AC99"/>
    <mergeCell ref="AD99:AJ99"/>
    <mergeCell ref="A96:B96"/>
    <mergeCell ref="C96:X96"/>
    <mergeCell ref="Y96:AC96"/>
    <mergeCell ref="AD96:AJ96"/>
    <mergeCell ref="A97:B97"/>
    <mergeCell ref="C97:X97"/>
    <mergeCell ref="Y97:AC97"/>
    <mergeCell ref="AD97:AJ97"/>
    <mergeCell ref="A93:AJ93"/>
    <mergeCell ref="A94:AJ94"/>
    <mergeCell ref="A95:B95"/>
    <mergeCell ref="C95:X95"/>
    <mergeCell ref="Y95:AC95"/>
    <mergeCell ref="AD95:AJ95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Y84:AC84"/>
    <mergeCell ref="AD84:AJ84"/>
    <mergeCell ref="A85:B85"/>
    <mergeCell ref="C85:X85"/>
    <mergeCell ref="Y85:AC85"/>
    <mergeCell ref="AD85:AJ85"/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  <mergeCell ref="AD159:AJ159"/>
    <mergeCell ref="A153:L153"/>
    <mergeCell ref="M153:Q153"/>
    <mergeCell ref="R153:V153"/>
    <mergeCell ref="W153:AA153"/>
    <mergeCell ref="AB153:AD153"/>
    <mergeCell ref="AE153:AJ153"/>
    <mergeCell ref="A152:L152"/>
    <mergeCell ref="M152:Q152"/>
    <mergeCell ref="R152:V152"/>
    <mergeCell ref="W152:AA152"/>
    <mergeCell ref="AB152:AD152"/>
    <mergeCell ref="AE152:AJ15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A145:AC145"/>
    <mergeCell ref="AD145:AJ145"/>
    <mergeCell ref="A146:B146"/>
    <mergeCell ref="C146:AC146"/>
    <mergeCell ref="AD146:AJ146"/>
    <mergeCell ref="A147:AC147"/>
    <mergeCell ref="AD147:AJ147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37:AJ137"/>
    <mergeCell ref="A139:AC139"/>
    <mergeCell ref="AD139:AJ139"/>
    <mergeCell ref="A140:B140"/>
    <mergeCell ref="C140:AC140"/>
    <mergeCell ref="AD140:AJ140"/>
    <mergeCell ref="A134:B134"/>
    <mergeCell ref="C134:X134"/>
    <mergeCell ref="Y134:AC134"/>
    <mergeCell ref="AD134:AJ134"/>
    <mergeCell ref="A135:AC135"/>
    <mergeCell ref="AD135:AJ135"/>
    <mergeCell ref="A132:B132"/>
    <mergeCell ref="C132:X132"/>
    <mergeCell ref="Y132:AC132"/>
    <mergeCell ref="AD132:AJ132"/>
    <mergeCell ref="A133:B133"/>
    <mergeCell ref="C133:X133"/>
    <mergeCell ref="Y133:AC133"/>
    <mergeCell ref="AD133:AJ133"/>
    <mergeCell ref="A129:B129"/>
    <mergeCell ref="C129:X129"/>
    <mergeCell ref="Y129:AC129"/>
    <mergeCell ref="AD129:AJ129"/>
    <mergeCell ref="Y130:AC130"/>
    <mergeCell ref="A131:B131"/>
    <mergeCell ref="C131:X131"/>
    <mergeCell ref="Y131:AC131"/>
    <mergeCell ref="A127:B127"/>
    <mergeCell ref="C127:X127"/>
    <mergeCell ref="Y127:AC127"/>
    <mergeCell ref="AD127:AJ127"/>
    <mergeCell ref="A128:B128"/>
    <mergeCell ref="C128:X128"/>
    <mergeCell ref="Y128:AC128"/>
    <mergeCell ref="AD128:AJ128"/>
    <mergeCell ref="A124:AC124"/>
    <mergeCell ref="AD124:AJ124"/>
    <mergeCell ref="A126:AJ126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10:B110"/>
    <mergeCell ref="C110:AC110"/>
    <mergeCell ref="AD110:AJ110"/>
    <mergeCell ref="A111:AC111"/>
    <mergeCell ref="AD111:AJ111"/>
    <mergeCell ref="A112:AJ112"/>
    <mergeCell ref="A107:AJ107"/>
    <mergeCell ref="A108:AJ108"/>
    <mergeCell ref="A109:B109"/>
    <mergeCell ref="C109:X109"/>
    <mergeCell ref="Y109:AC109"/>
    <mergeCell ref="AD109:AJ109"/>
    <mergeCell ref="A92:AJ92"/>
    <mergeCell ref="A80:B80"/>
    <mergeCell ref="C80:AC80"/>
    <mergeCell ref="AD80:AJ80"/>
    <mergeCell ref="A81:AC81"/>
    <mergeCell ref="AD81:AJ81"/>
    <mergeCell ref="A82:AJ82"/>
    <mergeCell ref="A83:AJ83"/>
    <mergeCell ref="A84:B84"/>
    <mergeCell ref="C84:X84"/>
    <mergeCell ref="A78:B78"/>
    <mergeCell ref="C78:AC78"/>
    <mergeCell ref="AD78:AJ78"/>
    <mergeCell ref="A79:B79"/>
    <mergeCell ref="C79:AC79"/>
    <mergeCell ref="AD79:AJ79"/>
    <mergeCell ref="A74:AC74"/>
    <mergeCell ref="AD74:AJ74"/>
    <mergeCell ref="A75:AJ75"/>
    <mergeCell ref="A76:AJ76"/>
    <mergeCell ref="A77:B77"/>
    <mergeCell ref="C77:AC77"/>
    <mergeCell ref="AD77:AJ7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AQ160"/>
  <sheetViews>
    <sheetView showGridLines="0" topLeftCell="A70" zoomScale="115" zoomScaleNormal="115" zoomScaleSheetLayoutView="120" workbookViewId="0">
      <selection activeCell="AD73" sqref="AD73:AJ73"/>
    </sheetView>
  </sheetViews>
  <sheetFormatPr defaultColWidth="2.42578125" defaultRowHeight="12.75"/>
  <cols>
    <col min="1" max="2" width="2.42578125" style="34"/>
    <col min="3" max="23" width="2.85546875" style="34" customWidth="1"/>
    <col min="24" max="24" width="20" style="34" customWidth="1"/>
    <col min="25" max="28" width="2.42578125" style="34" customWidth="1"/>
    <col min="29" max="36" width="3.85546875" style="34" customWidth="1"/>
    <col min="37" max="37" width="2.42578125" style="34" customWidth="1"/>
    <col min="38" max="38" width="13" style="130" customWidth="1"/>
    <col min="39" max="42" width="2.42578125" style="34"/>
    <col min="43" max="43" width="3.5703125" style="34" customWidth="1"/>
    <col min="44" max="16384" width="2.42578125" style="34"/>
  </cols>
  <sheetData>
    <row r="1" spans="1:38" ht="15" customHeight="1">
      <c r="A1" s="854"/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  <c r="AI1" s="854"/>
      <c r="AJ1" s="854"/>
    </row>
    <row r="2" spans="1:38" ht="15" customHeight="1">
      <c r="A2" s="855" t="s">
        <v>26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  <c r="S2" s="855"/>
      <c r="T2" s="855"/>
      <c r="U2" s="855"/>
      <c r="V2" s="855"/>
      <c r="W2" s="855"/>
      <c r="X2" s="855"/>
      <c r="Y2" s="855"/>
      <c r="Z2" s="855"/>
      <c r="AA2" s="855"/>
      <c r="AB2" s="855"/>
      <c r="AC2" s="855"/>
      <c r="AD2" s="855"/>
      <c r="AE2" s="855"/>
      <c r="AF2" s="855"/>
      <c r="AG2" s="855"/>
      <c r="AH2" s="855"/>
      <c r="AI2" s="855"/>
      <c r="AJ2" s="855"/>
    </row>
    <row r="3" spans="1:38" ht="15" customHeight="1">
      <c r="A3" s="855" t="s">
        <v>27</v>
      </c>
      <c r="B3" s="855"/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  <c r="AB3" s="855"/>
      <c r="AC3" s="855"/>
      <c r="AD3" s="855"/>
      <c r="AE3" s="855"/>
      <c r="AF3" s="855"/>
      <c r="AG3" s="855"/>
      <c r="AH3" s="855"/>
      <c r="AI3" s="855"/>
      <c r="AJ3" s="855"/>
    </row>
    <row r="4" spans="1:38" ht="15" customHeight="1">
      <c r="A4" s="855" t="s">
        <v>329</v>
      </c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B4" s="855"/>
      <c r="AC4" s="855"/>
      <c r="AD4" s="855"/>
      <c r="AE4" s="855"/>
      <c r="AF4" s="855"/>
      <c r="AG4" s="855"/>
      <c r="AH4" s="855"/>
      <c r="AI4" s="855"/>
      <c r="AJ4" s="855"/>
    </row>
    <row r="5" spans="1:38" ht="15" customHeight="1">
      <c r="A5" s="854"/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854"/>
      <c r="W5" s="854"/>
      <c r="X5" s="854"/>
      <c r="Y5" s="854"/>
      <c r="Z5" s="854"/>
      <c r="AA5" s="854"/>
      <c r="AB5" s="854"/>
      <c r="AC5" s="854"/>
      <c r="AD5" s="854"/>
      <c r="AE5" s="854"/>
      <c r="AF5" s="854"/>
      <c r="AG5" s="854"/>
      <c r="AH5" s="854"/>
      <c r="AI5" s="854"/>
      <c r="AJ5" s="854"/>
    </row>
    <row r="6" spans="1:38" ht="15" customHeight="1">
      <c r="A6" s="854"/>
      <c r="B6" s="854"/>
      <c r="C6" s="854"/>
      <c r="D6" s="854"/>
      <c r="E6" s="854"/>
      <c r="F6" s="854"/>
      <c r="G6" s="854"/>
      <c r="H6" s="854"/>
      <c r="I6" s="854"/>
      <c r="J6" s="854"/>
      <c r="K6" s="854"/>
      <c r="L6" s="854"/>
      <c r="M6" s="854"/>
      <c r="N6" s="854"/>
      <c r="O6" s="854"/>
      <c r="P6" s="854"/>
      <c r="Q6" s="854"/>
      <c r="R6" s="854"/>
      <c r="S6" s="854"/>
      <c r="T6" s="854"/>
      <c r="U6" s="854"/>
      <c r="V6" s="854"/>
      <c r="W6" s="854"/>
      <c r="X6" s="854"/>
      <c r="Y6" s="854"/>
      <c r="Z6" s="854"/>
      <c r="AA6" s="854"/>
      <c r="AB6" s="854"/>
      <c r="AC6" s="854"/>
      <c r="AD6" s="854"/>
      <c r="AE6" s="854"/>
      <c r="AF6" s="854"/>
      <c r="AG6" s="854"/>
      <c r="AH6" s="854"/>
      <c r="AI6" s="854"/>
      <c r="AJ6" s="854"/>
    </row>
    <row r="7" spans="1:38" s="35" customFormat="1" ht="14.45" customHeight="1">
      <c r="A7" s="856" t="s">
        <v>132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  <c r="AG7" s="856"/>
      <c r="AH7" s="856"/>
      <c r="AI7" s="856"/>
      <c r="AJ7" s="856"/>
      <c r="AL7" s="131"/>
    </row>
    <row r="8" spans="1:38" s="35" customFormat="1" ht="14.45" customHeight="1">
      <c r="A8" s="857" t="s">
        <v>61</v>
      </c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  <c r="AL8" s="131"/>
    </row>
    <row r="9" spans="1:38" s="35" customFormat="1" ht="14.45" customHeight="1">
      <c r="A9" s="856" t="s">
        <v>349</v>
      </c>
      <c r="B9" s="856"/>
      <c r="C9" s="856"/>
      <c r="D9" s="856"/>
      <c r="E9" s="856"/>
      <c r="F9" s="856"/>
      <c r="G9" s="856"/>
      <c r="H9" s="856"/>
      <c r="I9" s="856"/>
      <c r="J9" s="856"/>
      <c r="K9" s="856"/>
      <c r="L9" s="856"/>
      <c r="M9" s="856"/>
      <c r="N9" s="856"/>
      <c r="O9" s="856"/>
      <c r="P9" s="856"/>
      <c r="Q9" s="856"/>
      <c r="R9" s="856"/>
      <c r="S9" s="856"/>
      <c r="T9" s="856"/>
      <c r="U9" s="856"/>
      <c r="V9" s="856"/>
      <c r="W9" s="856"/>
      <c r="X9" s="856"/>
      <c r="Y9" s="856"/>
      <c r="Z9" s="856"/>
      <c r="AA9" s="856"/>
      <c r="AB9" s="856"/>
      <c r="AC9" s="856"/>
      <c r="AD9" s="856"/>
      <c r="AE9" s="856"/>
      <c r="AF9" s="856"/>
      <c r="AG9" s="856"/>
      <c r="AH9" s="856"/>
      <c r="AI9" s="856"/>
      <c r="AJ9" s="856"/>
      <c r="AL9" s="131"/>
    </row>
    <row r="10" spans="1:38" s="35" customFormat="1" ht="14.45" customHeight="1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58"/>
      <c r="AF10" s="858"/>
      <c r="AG10" s="858"/>
      <c r="AH10" s="858"/>
      <c r="AI10" s="858"/>
      <c r="AJ10" s="858"/>
      <c r="AL10" s="131"/>
    </row>
    <row r="11" spans="1:38" s="35" customFormat="1" ht="14.45" customHeight="1">
      <c r="A11" s="859" t="s">
        <v>348</v>
      </c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  <c r="O11" s="859"/>
      <c r="P11" s="859"/>
      <c r="Q11" s="859"/>
      <c r="R11" s="859"/>
      <c r="S11" s="859"/>
      <c r="T11" s="859"/>
      <c r="U11" s="859"/>
      <c r="V11" s="859"/>
      <c r="W11" s="859"/>
      <c r="X11" s="859"/>
      <c r="Y11" s="859"/>
      <c r="Z11" s="859"/>
      <c r="AA11" s="859"/>
      <c r="AB11" s="859"/>
      <c r="AC11" s="859"/>
      <c r="AD11" s="859"/>
      <c r="AE11" s="859"/>
      <c r="AF11" s="859"/>
      <c r="AG11" s="859"/>
      <c r="AH11" s="859"/>
      <c r="AI11" s="859"/>
      <c r="AJ11" s="859"/>
      <c r="AL11" s="131"/>
    </row>
    <row r="12" spans="1:38" s="35" customFormat="1" ht="14.45" customHeight="1">
      <c r="A12" s="860" t="s">
        <v>144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  <c r="R12" s="861"/>
      <c r="S12" s="861"/>
      <c r="T12" s="861"/>
      <c r="U12" s="861"/>
      <c r="V12" s="861"/>
      <c r="W12" s="861"/>
      <c r="X12" s="861"/>
      <c r="Y12" s="861"/>
      <c r="Z12" s="861"/>
      <c r="AA12" s="861"/>
      <c r="AB12" s="861"/>
      <c r="AC12" s="861"/>
      <c r="AD12" s="861"/>
      <c r="AE12" s="861"/>
      <c r="AF12" s="861"/>
      <c r="AG12" s="861"/>
      <c r="AH12" s="861"/>
      <c r="AI12" s="861"/>
      <c r="AJ12" s="862"/>
      <c r="AL12" s="131"/>
    </row>
    <row r="13" spans="1:38" s="35" customFormat="1" ht="14.45" customHeight="1">
      <c r="A13" s="842" t="s">
        <v>62</v>
      </c>
      <c r="B13" s="843"/>
      <c r="C13" s="843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843"/>
      <c r="Q13" s="843"/>
      <c r="R13" s="843"/>
      <c r="S13" s="843"/>
      <c r="T13" s="843"/>
      <c r="U13" s="843"/>
      <c r="V13" s="843"/>
      <c r="W13" s="843"/>
      <c r="X13" s="843"/>
      <c r="Y13" s="843"/>
      <c r="Z13" s="843"/>
      <c r="AA13" s="843"/>
      <c r="AB13" s="843"/>
      <c r="AC13" s="843"/>
      <c r="AD13" s="843"/>
      <c r="AE13" s="843"/>
      <c r="AF13" s="843"/>
      <c r="AG13" s="843"/>
      <c r="AH13" s="843"/>
      <c r="AI13" s="843"/>
      <c r="AJ13" s="844"/>
      <c r="AL13" s="131"/>
    </row>
    <row r="14" spans="1:38" s="35" customFormat="1" ht="14.4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L14" s="131"/>
    </row>
    <row r="15" spans="1:38" s="35" customFormat="1" ht="14.45" customHeight="1">
      <c r="A15" s="748" t="s">
        <v>63</v>
      </c>
      <c r="B15" s="749"/>
      <c r="C15" s="749"/>
      <c r="D15" s="749"/>
      <c r="E15" s="749"/>
      <c r="F15" s="749"/>
      <c r="G15" s="749"/>
      <c r="H15" s="749"/>
      <c r="I15" s="749"/>
      <c r="J15" s="749"/>
      <c r="K15" s="749"/>
      <c r="L15" s="749"/>
      <c r="M15" s="749"/>
      <c r="N15" s="749"/>
      <c r="O15" s="749"/>
      <c r="P15" s="749"/>
      <c r="Q15" s="749"/>
      <c r="R15" s="749"/>
      <c r="S15" s="749"/>
      <c r="T15" s="749"/>
      <c r="U15" s="749"/>
      <c r="V15" s="749"/>
      <c r="W15" s="749"/>
      <c r="X15" s="749"/>
      <c r="Y15" s="749"/>
      <c r="Z15" s="749"/>
      <c r="AA15" s="749"/>
      <c r="AB15" s="749"/>
      <c r="AC15" s="749"/>
      <c r="AD15" s="749"/>
      <c r="AE15" s="749"/>
      <c r="AF15" s="749"/>
      <c r="AG15" s="749"/>
      <c r="AH15" s="749"/>
      <c r="AI15" s="749"/>
      <c r="AJ15" s="750"/>
      <c r="AL15" s="131"/>
    </row>
    <row r="16" spans="1:38" s="35" customFormat="1" ht="14.45" customHeight="1">
      <c r="A16" s="722" t="s">
        <v>0</v>
      </c>
      <c r="B16" s="723"/>
      <c r="C16" s="724" t="s">
        <v>64</v>
      </c>
      <c r="D16" s="725"/>
      <c r="E16" s="725"/>
      <c r="F16" s="725"/>
      <c r="G16" s="725"/>
      <c r="H16" s="725"/>
      <c r="I16" s="725"/>
      <c r="J16" s="725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725"/>
      <c r="Y16" s="725"/>
      <c r="Z16" s="725"/>
      <c r="AA16" s="725"/>
      <c r="AB16" s="725"/>
      <c r="AC16" s="726"/>
      <c r="AD16" s="845" t="s">
        <v>65</v>
      </c>
      <c r="AE16" s="846"/>
      <c r="AF16" s="846"/>
      <c r="AG16" s="846"/>
      <c r="AH16" s="846"/>
      <c r="AI16" s="846"/>
      <c r="AJ16" s="847"/>
      <c r="AL16" s="131"/>
    </row>
    <row r="17" spans="1:38" s="35" customFormat="1" ht="14.45" customHeight="1">
      <c r="A17" s="722" t="s">
        <v>1</v>
      </c>
      <c r="B17" s="723"/>
      <c r="C17" s="724" t="s">
        <v>66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5"/>
      <c r="Y17" s="725"/>
      <c r="Z17" s="725"/>
      <c r="AA17" s="725"/>
      <c r="AB17" s="725"/>
      <c r="AC17" s="726"/>
      <c r="AD17" s="879" t="s">
        <v>341</v>
      </c>
      <c r="AE17" s="880"/>
      <c r="AF17" s="880"/>
      <c r="AG17" s="880"/>
      <c r="AH17" s="880"/>
      <c r="AI17" s="880"/>
      <c r="AJ17" s="881"/>
      <c r="AL17" s="131"/>
    </row>
    <row r="18" spans="1:38" s="35" customFormat="1" ht="14.45" customHeight="1">
      <c r="A18" s="722" t="s">
        <v>2</v>
      </c>
      <c r="B18" s="723"/>
      <c r="C18" s="724" t="s">
        <v>67</v>
      </c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5"/>
      <c r="Z18" s="725"/>
      <c r="AA18" s="725"/>
      <c r="AB18" s="725"/>
      <c r="AC18" s="726"/>
      <c r="AD18" s="882" t="s">
        <v>347</v>
      </c>
      <c r="AE18" s="883"/>
      <c r="AF18" s="883"/>
      <c r="AG18" s="883"/>
      <c r="AH18" s="883"/>
      <c r="AI18" s="883"/>
      <c r="AJ18" s="884"/>
      <c r="AL18" s="131"/>
    </row>
    <row r="19" spans="1:38" s="35" customFormat="1" ht="14.45" customHeight="1">
      <c r="A19" s="722" t="s">
        <v>3</v>
      </c>
      <c r="B19" s="723"/>
      <c r="C19" s="724" t="s">
        <v>68</v>
      </c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725"/>
      <c r="V19" s="725"/>
      <c r="W19" s="725"/>
      <c r="X19" s="725"/>
      <c r="Y19" s="725"/>
      <c r="Z19" s="725"/>
      <c r="AA19" s="725"/>
      <c r="AB19" s="725"/>
      <c r="AC19" s="726"/>
      <c r="AD19" s="851">
        <v>36</v>
      </c>
      <c r="AE19" s="852"/>
      <c r="AF19" s="852"/>
      <c r="AG19" s="852"/>
      <c r="AH19" s="852"/>
      <c r="AI19" s="852"/>
      <c r="AJ19" s="853"/>
      <c r="AL19" s="131"/>
    </row>
    <row r="20" spans="1:38" s="35" customFormat="1" ht="14.45" customHeight="1">
      <c r="A20" s="48"/>
      <c r="B20" s="48"/>
      <c r="C20" s="821"/>
      <c r="D20" s="821"/>
      <c r="E20" s="821"/>
      <c r="F20" s="821"/>
      <c r="G20" s="821"/>
      <c r="H20" s="821"/>
      <c r="I20" s="821"/>
      <c r="J20" s="821"/>
      <c r="K20" s="821"/>
      <c r="L20" s="821"/>
      <c r="M20" s="821"/>
      <c r="N20" s="821"/>
      <c r="O20" s="821"/>
      <c r="P20" s="821"/>
      <c r="Q20" s="821"/>
      <c r="R20" s="821"/>
      <c r="S20" s="821"/>
      <c r="T20" s="821"/>
      <c r="U20" s="821"/>
      <c r="V20" s="821"/>
      <c r="W20" s="821"/>
      <c r="X20" s="821"/>
      <c r="Y20" s="821"/>
      <c r="Z20" s="821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L20" s="131"/>
    </row>
    <row r="21" spans="1:38" s="35" customFormat="1" ht="14.45" customHeight="1">
      <c r="A21" s="751" t="s">
        <v>157</v>
      </c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3"/>
      <c r="AL21" s="131"/>
    </row>
    <row r="22" spans="1:38" s="35" customFormat="1" ht="14.45" customHeight="1">
      <c r="A22" s="722" t="s">
        <v>69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723"/>
      <c r="Q22" s="882" t="s">
        <v>333</v>
      </c>
      <c r="R22" s="883"/>
      <c r="S22" s="883"/>
      <c r="T22" s="883"/>
      <c r="U22" s="883"/>
      <c r="V22" s="883"/>
      <c r="W22" s="883"/>
      <c r="X22" s="883"/>
      <c r="Y22" s="883"/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884"/>
      <c r="AL22" s="131"/>
    </row>
    <row r="23" spans="1:38" s="35" customFormat="1" ht="14.45" customHeight="1">
      <c r="A23" s="826" t="s">
        <v>70</v>
      </c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827"/>
      <c r="U23" s="827"/>
      <c r="V23" s="827"/>
      <c r="W23" s="827"/>
      <c r="X23" s="828"/>
      <c r="Y23" s="829" t="s">
        <v>71</v>
      </c>
      <c r="Z23" s="830"/>
      <c r="AA23" s="830"/>
      <c r="AB23" s="830"/>
      <c r="AC23" s="831"/>
      <c r="AD23" s="829" t="s">
        <v>72</v>
      </c>
      <c r="AE23" s="830"/>
      <c r="AF23" s="830"/>
      <c r="AG23" s="830"/>
      <c r="AH23" s="830"/>
      <c r="AI23" s="830"/>
      <c r="AJ23" s="831"/>
      <c r="AL23" s="131"/>
    </row>
    <row r="24" spans="1:38" s="35" customFormat="1" ht="14.45" customHeight="1">
      <c r="A24" s="832" t="s">
        <v>352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4"/>
      <c r="Y24" s="835" t="s">
        <v>73</v>
      </c>
      <c r="Z24" s="836"/>
      <c r="AA24" s="836"/>
      <c r="AB24" s="836"/>
      <c r="AC24" s="837"/>
      <c r="AD24" s="838">
        <v>1</v>
      </c>
      <c r="AE24" s="839"/>
      <c r="AF24" s="839"/>
      <c r="AG24" s="839"/>
      <c r="AH24" s="839"/>
      <c r="AI24" s="839"/>
      <c r="AJ24" s="840"/>
      <c r="AL24" s="131"/>
    </row>
    <row r="25" spans="1:38" s="35" customFormat="1" ht="14.45" customHeight="1">
      <c r="A25" s="48"/>
      <c r="B25" s="48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L25" s="131"/>
    </row>
    <row r="26" spans="1:38" s="35" customFormat="1" ht="14.45" customHeight="1">
      <c r="A26" s="841" t="s">
        <v>74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  <c r="AJ26" s="841"/>
      <c r="AL26" s="131"/>
    </row>
    <row r="27" spans="1:38" s="35" customFormat="1" ht="14.4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L27" s="131"/>
    </row>
    <row r="28" spans="1:38" s="35" customFormat="1" ht="14.45" customHeight="1">
      <c r="A28" s="748" t="s">
        <v>75</v>
      </c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749"/>
      <c r="Q28" s="749"/>
      <c r="R28" s="749"/>
      <c r="S28" s="749"/>
      <c r="T28" s="749"/>
      <c r="U28" s="749"/>
      <c r="V28" s="749"/>
      <c r="W28" s="749"/>
      <c r="X28" s="749"/>
      <c r="Y28" s="749"/>
      <c r="Z28" s="749"/>
      <c r="AA28" s="749"/>
      <c r="AB28" s="749"/>
      <c r="AC28" s="749"/>
      <c r="AD28" s="749"/>
      <c r="AE28" s="749"/>
      <c r="AF28" s="749"/>
      <c r="AG28" s="749"/>
      <c r="AH28" s="749"/>
      <c r="AI28" s="749"/>
      <c r="AJ28" s="750"/>
      <c r="AL28" s="131"/>
    </row>
    <row r="29" spans="1:38" s="35" customFormat="1" ht="14.45" customHeight="1">
      <c r="A29" s="748" t="s">
        <v>76</v>
      </c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  <c r="AB29" s="749"/>
      <c r="AC29" s="749"/>
      <c r="AD29" s="749"/>
      <c r="AE29" s="749"/>
      <c r="AF29" s="749"/>
      <c r="AG29" s="749"/>
      <c r="AH29" s="749"/>
      <c r="AI29" s="749"/>
      <c r="AJ29" s="750"/>
      <c r="AL29" s="131"/>
    </row>
    <row r="30" spans="1:38" s="35" customFormat="1" ht="14.45" customHeight="1">
      <c r="A30" s="680">
        <v>1</v>
      </c>
      <c r="B30" s="680"/>
      <c r="C30" s="724" t="s">
        <v>77</v>
      </c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6"/>
      <c r="AD30" s="819" t="s">
        <v>218</v>
      </c>
      <c r="AE30" s="819"/>
      <c r="AF30" s="819"/>
      <c r="AG30" s="819"/>
      <c r="AH30" s="819"/>
      <c r="AI30" s="819"/>
      <c r="AJ30" s="819"/>
      <c r="AL30" s="131"/>
    </row>
    <row r="31" spans="1:38" s="35" customFormat="1" ht="14.45" customHeight="1">
      <c r="A31" s="680">
        <v>2</v>
      </c>
      <c r="B31" s="680"/>
      <c r="C31" s="724" t="s">
        <v>78</v>
      </c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6"/>
      <c r="AD31" s="819" t="s">
        <v>225</v>
      </c>
      <c r="AE31" s="819"/>
      <c r="AF31" s="819"/>
      <c r="AG31" s="819"/>
      <c r="AH31" s="819"/>
      <c r="AI31" s="819"/>
      <c r="AJ31" s="819"/>
      <c r="AL31" s="131"/>
    </row>
    <row r="32" spans="1:38" s="35" customFormat="1" ht="14.45" customHeight="1">
      <c r="A32" s="680">
        <v>3</v>
      </c>
      <c r="B32" s="680"/>
      <c r="C32" s="724" t="s">
        <v>79</v>
      </c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6"/>
      <c r="AD32" s="820">
        <v>1103</v>
      </c>
      <c r="AE32" s="820"/>
      <c r="AF32" s="820"/>
      <c r="AG32" s="820"/>
      <c r="AH32" s="820"/>
      <c r="AI32" s="820"/>
      <c r="AJ32" s="820"/>
      <c r="AL32" s="131"/>
    </row>
    <row r="33" spans="1:38" s="35" customFormat="1" ht="14.45" customHeight="1">
      <c r="A33" s="680">
        <v>4</v>
      </c>
      <c r="B33" s="680"/>
      <c r="C33" s="724" t="s">
        <v>80</v>
      </c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6"/>
      <c r="AD33" s="819" t="s">
        <v>221</v>
      </c>
      <c r="AE33" s="819"/>
      <c r="AF33" s="819"/>
      <c r="AG33" s="819"/>
      <c r="AH33" s="819"/>
      <c r="AI33" s="819"/>
      <c r="AJ33" s="819"/>
      <c r="AL33" s="131"/>
    </row>
    <row r="34" spans="1:38" s="35" customFormat="1" ht="14.45" customHeight="1">
      <c r="A34" s="680">
        <v>5</v>
      </c>
      <c r="B34" s="680"/>
      <c r="C34" s="815" t="s">
        <v>81</v>
      </c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816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7"/>
      <c r="AD34" s="818">
        <v>44197</v>
      </c>
      <c r="AE34" s="818"/>
      <c r="AF34" s="818"/>
      <c r="AG34" s="818"/>
      <c r="AH34" s="818"/>
      <c r="AI34" s="818"/>
      <c r="AJ34" s="818"/>
      <c r="AL34" s="131"/>
    </row>
    <row r="35" spans="1:38" s="35" customFormat="1" ht="14.45" customHeight="1">
      <c r="A35" s="57"/>
      <c r="B35" s="57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9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L35" s="131"/>
    </row>
    <row r="36" spans="1:38" ht="14.45" customHeight="1">
      <c r="A36" s="748" t="s">
        <v>145</v>
      </c>
      <c r="B36" s="749"/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9"/>
      <c r="P36" s="749"/>
      <c r="Q36" s="749"/>
      <c r="R36" s="749"/>
      <c r="S36" s="749"/>
      <c r="T36" s="749"/>
      <c r="U36" s="749"/>
      <c r="V36" s="749"/>
      <c r="W36" s="749"/>
      <c r="X36" s="749"/>
      <c r="Y36" s="749"/>
      <c r="Z36" s="749"/>
      <c r="AA36" s="749"/>
      <c r="AB36" s="749"/>
      <c r="AC36" s="749"/>
      <c r="AD36" s="749"/>
      <c r="AE36" s="749"/>
      <c r="AF36" s="749"/>
      <c r="AG36" s="749"/>
      <c r="AH36" s="749"/>
      <c r="AI36" s="749"/>
      <c r="AJ36" s="750"/>
    </row>
    <row r="37" spans="1:38" s="36" customFormat="1" ht="14.45" customHeight="1">
      <c r="A37" s="751">
        <v>1</v>
      </c>
      <c r="B37" s="753"/>
      <c r="C37" s="748" t="s">
        <v>4</v>
      </c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50"/>
      <c r="Y37" s="751" t="s">
        <v>82</v>
      </c>
      <c r="Z37" s="752"/>
      <c r="AA37" s="752"/>
      <c r="AB37" s="752"/>
      <c r="AC37" s="753"/>
      <c r="AD37" s="751" t="s">
        <v>83</v>
      </c>
      <c r="AE37" s="752"/>
      <c r="AF37" s="752"/>
      <c r="AG37" s="752"/>
      <c r="AH37" s="752"/>
      <c r="AI37" s="752"/>
      <c r="AJ37" s="753"/>
      <c r="AL37" s="132"/>
    </row>
    <row r="38" spans="1:38" ht="14.45" customHeight="1">
      <c r="A38" s="722" t="s">
        <v>0</v>
      </c>
      <c r="B38" s="723"/>
      <c r="C38" s="724" t="s">
        <v>146</v>
      </c>
      <c r="D38" s="725"/>
      <c r="E38" s="725"/>
      <c r="F38" s="725"/>
      <c r="G38" s="725"/>
      <c r="H38" s="725"/>
      <c r="I38" s="725"/>
      <c r="J38" s="725"/>
      <c r="K38" s="725"/>
      <c r="L38" s="725"/>
      <c r="M38" s="725"/>
      <c r="N38" s="725"/>
      <c r="O38" s="725"/>
      <c r="P38" s="725"/>
      <c r="Q38" s="725"/>
      <c r="R38" s="725"/>
      <c r="S38" s="725"/>
      <c r="T38" s="725"/>
      <c r="U38" s="725"/>
      <c r="V38" s="725"/>
      <c r="W38" s="725"/>
      <c r="X38" s="726"/>
      <c r="Y38" s="814"/>
      <c r="Z38" s="811"/>
      <c r="AA38" s="811"/>
      <c r="AB38" s="811"/>
      <c r="AC38" s="812"/>
      <c r="AD38" s="774">
        <f>AD32</f>
        <v>1103</v>
      </c>
      <c r="AE38" s="775"/>
      <c r="AF38" s="775"/>
      <c r="AG38" s="775"/>
      <c r="AH38" s="775"/>
      <c r="AI38" s="775"/>
      <c r="AJ38" s="776"/>
    </row>
    <row r="39" spans="1:38" ht="14.45" customHeight="1">
      <c r="A39" s="722" t="s">
        <v>1</v>
      </c>
      <c r="B39" s="723"/>
      <c r="C39" s="724" t="s">
        <v>284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6"/>
      <c r="Y39" s="741"/>
      <c r="Z39" s="742"/>
      <c r="AA39" s="742"/>
      <c r="AB39" s="742"/>
      <c r="AC39" s="743"/>
      <c r="AD39" s="744"/>
      <c r="AE39" s="745"/>
      <c r="AF39" s="745"/>
      <c r="AG39" s="745"/>
      <c r="AH39" s="745"/>
      <c r="AI39" s="745"/>
      <c r="AJ39" s="746"/>
    </row>
    <row r="40" spans="1:38" ht="14.45" customHeight="1">
      <c r="A40" s="722" t="s">
        <v>2</v>
      </c>
      <c r="B40" s="723"/>
      <c r="C40" s="724" t="s">
        <v>147</v>
      </c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6"/>
      <c r="Y40" s="741"/>
      <c r="Z40" s="742"/>
      <c r="AA40" s="742"/>
      <c r="AB40" s="742"/>
      <c r="AC40" s="743"/>
      <c r="AD40" s="744"/>
      <c r="AE40" s="745"/>
      <c r="AF40" s="745"/>
      <c r="AG40" s="745"/>
      <c r="AH40" s="745"/>
      <c r="AI40" s="745"/>
      <c r="AJ40" s="746"/>
    </row>
    <row r="41" spans="1:38" ht="14.45" customHeight="1">
      <c r="A41" s="722" t="s">
        <v>3</v>
      </c>
      <c r="B41" s="723"/>
      <c r="C41" s="724" t="s">
        <v>148</v>
      </c>
      <c r="D41" s="725"/>
      <c r="E41" s="725"/>
      <c r="F41" s="725"/>
      <c r="G41" s="725"/>
      <c r="H41" s="725"/>
      <c r="I41" s="725"/>
      <c r="J41" s="725"/>
      <c r="K41" s="725"/>
      <c r="L41" s="725"/>
      <c r="M41" s="725"/>
      <c r="N41" s="725"/>
      <c r="O41" s="725"/>
      <c r="P41" s="725"/>
      <c r="Q41" s="725"/>
      <c r="R41" s="725"/>
      <c r="S41" s="725"/>
      <c r="T41" s="725"/>
      <c r="U41" s="725"/>
      <c r="V41" s="725"/>
      <c r="W41" s="725"/>
      <c r="X41" s="726"/>
      <c r="Y41" s="807"/>
      <c r="Z41" s="808"/>
      <c r="AA41" s="808"/>
      <c r="AB41" s="808"/>
      <c r="AC41" s="809"/>
      <c r="AD41" s="744"/>
      <c r="AE41" s="745"/>
      <c r="AF41" s="745"/>
      <c r="AG41" s="745"/>
      <c r="AH41" s="745"/>
      <c r="AI41" s="745"/>
      <c r="AJ41" s="746"/>
    </row>
    <row r="42" spans="1:38" ht="14.45" customHeight="1">
      <c r="A42" s="722" t="s">
        <v>6</v>
      </c>
      <c r="B42" s="723"/>
      <c r="C42" s="724" t="s">
        <v>84</v>
      </c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  <c r="T42" s="725"/>
      <c r="U42" s="725"/>
      <c r="V42" s="725"/>
      <c r="W42" s="725"/>
      <c r="X42" s="726"/>
      <c r="Y42" s="807"/>
      <c r="Z42" s="808"/>
      <c r="AA42" s="808"/>
      <c r="AB42" s="808"/>
      <c r="AC42" s="809"/>
      <c r="AD42" s="744"/>
      <c r="AE42" s="745"/>
      <c r="AF42" s="745"/>
      <c r="AG42" s="745"/>
      <c r="AH42" s="745"/>
      <c r="AI42" s="745"/>
      <c r="AJ42" s="746"/>
    </row>
    <row r="43" spans="1:38" ht="14.45" customHeight="1">
      <c r="A43" s="722" t="s">
        <v>7</v>
      </c>
      <c r="B43" s="723"/>
      <c r="C43" s="724" t="s">
        <v>85</v>
      </c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  <c r="T43" s="725"/>
      <c r="U43" s="725"/>
      <c r="V43" s="725"/>
      <c r="W43" s="725"/>
      <c r="X43" s="726"/>
      <c r="Y43" s="814"/>
      <c r="Z43" s="811"/>
      <c r="AA43" s="811"/>
      <c r="AB43" s="811"/>
      <c r="AC43" s="812"/>
      <c r="AD43" s="744"/>
      <c r="AE43" s="745"/>
      <c r="AF43" s="745"/>
      <c r="AG43" s="745"/>
      <c r="AH43" s="745"/>
      <c r="AI43" s="745"/>
      <c r="AJ43" s="746"/>
    </row>
    <row r="44" spans="1:38" ht="14.45" customHeight="1">
      <c r="A44" s="722" t="s">
        <v>8</v>
      </c>
      <c r="B44" s="723"/>
      <c r="C44" s="724" t="s">
        <v>11</v>
      </c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  <c r="T44" s="725"/>
      <c r="U44" s="725"/>
      <c r="V44" s="725"/>
      <c r="W44" s="725"/>
      <c r="X44" s="726"/>
      <c r="Y44" s="885"/>
      <c r="Z44" s="886"/>
      <c r="AA44" s="886"/>
      <c r="AB44" s="886"/>
      <c r="AC44" s="887"/>
      <c r="AD44" s="744">
        <f>AD38*Y44</f>
        <v>0</v>
      </c>
      <c r="AE44" s="745"/>
      <c r="AF44" s="745"/>
      <c r="AG44" s="745"/>
      <c r="AH44" s="745"/>
      <c r="AI44" s="745"/>
      <c r="AJ44" s="746"/>
    </row>
    <row r="45" spans="1:38" ht="14.45" customHeight="1">
      <c r="A45" s="727" t="s">
        <v>21</v>
      </c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9"/>
      <c r="AD45" s="691">
        <f>SUM(AD38:AJ44)</f>
        <v>1103</v>
      </c>
      <c r="AE45" s="692"/>
      <c r="AF45" s="692"/>
      <c r="AG45" s="692"/>
      <c r="AH45" s="692"/>
      <c r="AI45" s="692"/>
      <c r="AJ45" s="693"/>
    </row>
    <row r="46" spans="1:38" ht="14.45" customHeight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7"/>
      <c r="Z46" s="157"/>
      <c r="AA46" s="157"/>
      <c r="AB46" s="157"/>
      <c r="AC46" s="157"/>
      <c r="AD46" s="61"/>
      <c r="AE46" s="61"/>
      <c r="AF46" s="61"/>
      <c r="AG46" s="61"/>
      <c r="AH46" s="61"/>
      <c r="AI46" s="61"/>
      <c r="AJ46" s="61"/>
    </row>
    <row r="47" spans="1:38" ht="14.45" customHeight="1">
      <c r="A47" s="765" t="s">
        <v>158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766"/>
      <c r="Q47" s="766"/>
      <c r="R47" s="766"/>
      <c r="S47" s="766"/>
      <c r="T47" s="766"/>
      <c r="U47" s="766"/>
      <c r="V47" s="766"/>
      <c r="W47" s="766"/>
      <c r="X47" s="766"/>
      <c r="Y47" s="766"/>
      <c r="Z47" s="766"/>
      <c r="AA47" s="766"/>
      <c r="AB47" s="766"/>
      <c r="AC47" s="766"/>
      <c r="AD47" s="766"/>
      <c r="AE47" s="766"/>
      <c r="AF47" s="766"/>
      <c r="AG47" s="766"/>
      <c r="AH47" s="766"/>
      <c r="AI47" s="766"/>
      <c r="AJ47" s="767"/>
    </row>
    <row r="48" spans="1:38" ht="14.45" customHeight="1">
      <c r="A48" s="813" t="s">
        <v>280</v>
      </c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49"/>
      <c r="AD48" s="749"/>
      <c r="AE48" s="749"/>
      <c r="AF48" s="749"/>
      <c r="AG48" s="749"/>
      <c r="AH48" s="749"/>
      <c r="AI48" s="749"/>
      <c r="AJ48" s="750"/>
    </row>
    <row r="49" spans="1:36" ht="14.45" customHeight="1">
      <c r="A49" s="751" t="s">
        <v>86</v>
      </c>
      <c r="B49" s="753"/>
      <c r="C49" s="748" t="s">
        <v>278</v>
      </c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750"/>
      <c r="Y49" s="751" t="s">
        <v>82</v>
      </c>
      <c r="Z49" s="752"/>
      <c r="AA49" s="752"/>
      <c r="AB49" s="752"/>
      <c r="AC49" s="753"/>
      <c r="AD49" s="751" t="s">
        <v>83</v>
      </c>
      <c r="AE49" s="752"/>
      <c r="AF49" s="752"/>
      <c r="AG49" s="752"/>
      <c r="AH49" s="752"/>
      <c r="AI49" s="752"/>
      <c r="AJ49" s="753"/>
    </row>
    <row r="50" spans="1:36" ht="14.45" customHeight="1">
      <c r="A50" s="805" t="s">
        <v>0</v>
      </c>
      <c r="B50" s="806"/>
      <c r="C50" s="779" t="s">
        <v>20</v>
      </c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1"/>
      <c r="Y50" s="807">
        <f>1/12</f>
        <v>8.3333333333333329E-2</v>
      </c>
      <c r="Z50" s="808"/>
      <c r="AA50" s="808"/>
      <c r="AB50" s="808"/>
      <c r="AC50" s="809"/>
      <c r="AD50" s="774">
        <f>Y50*AD45</f>
        <v>91.916666666666657</v>
      </c>
      <c r="AE50" s="775"/>
      <c r="AF50" s="775"/>
      <c r="AG50" s="775"/>
      <c r="AH50" s="775"/>
      <c r="AI50" s="775"/>
      <c r="AJ50" s="776"/>
    </row>
    <row r="51" spans="1:36" ht="14.45" customHeight="1">
      <c r="A51" s="805" t="s">
        <v>1</v>
      </c>
      <c r="B51" s="806"/>
      <c r="C51" s="779" t="s">
        <v>261</v>
      </c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1"/>
      <c r="Y51" s="807">
        <f>(1/3)/12</f>
        <v>2.7777777777777776E-2</v>
      </c>
      <c r="Z51" s="808"/>
      <c r="AA51" s="808"/>
      <c r="AB51" s="808"/>
      <c r="AC51" s="809"/>
      <c r="AD51" s="774">
        <f>Y51*AD45</f>
        <v>30.638888888888886</v>
      </c>
      <c r="AE51" s="775"/>
      <c r="AF51" s="775"/>
      <c r="AG51" s="775"/>
      <c r="AH51" s="775"/>
      <c r="AI51" s="775"/>
      <c r="AJ51" s="776"/>
    </row>
    <row r="52" spans="1:36" ht="14.45" customHeight="1">
      <c r="A52" s="728" t="s">
        <v>87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9"/>
      <c r="Y52" s="796">
        <f>SUM(Y50:AC51)</f>
        <v>0.1111111111111111</v>
      </c>
      <c r="Z52" s="797"/>
      <c r="AA52" s="797"/>
      <c r="AB52" s="797"/>
      <c r="AC52" s="798"/>
      <c r="AD52" s="691">
        <f>SUM(AD50:AJ51)</f>
        <v>122.55555555555554</v>
      </c>
      <c r="AE52" s="692"/>
      <c r="AF52" s="692"/>
      <c r="AG52" s="692"/>
      <c r="AH52" s="692"/>
      <c r="AI52" s="692"/>
      <c r="AJ52" s="693"/>
    </row>
    <row r="53" spans="1:36" ht="14.45" customHeight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7"/>
      <c r="Z53" s="157"/>
      <c r="AA53" s="157"/>
      <c r="AB53" s="157"/>
      <c r="AC53" s="157"/>
      <c r="AD53" s="61"/>
      <c r="AE53" s="61"/>
      <c r="AF53" s="61"/>
      <c r="AG53" s="61"/>
      <c r="AH53" s="61"/>
      <c r="AI53" s="61"/>
      <c r="AJ53" s="61"/>
    </row>
    <row r="54" spans="1:36" ht="14.45" customHeight="1">
      <c r="A54" s="748" t="s">
        <v>149</v>
      </c>
      <c r="B54" s="749"/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749"/>
      <c r="Y54" s="749"/>
      <c r="Z54" s="749"/>
      <c r="AA54" s="749"/>
      <c r="AB54" s="749"/>
      <c r="AC54" s="749"/>
      <c r="AD54" s="749"/>
      <c r="AE54" s="749"/>
      <c r="AF54" s="749"/>
      <c r="AG54" s="749"/>
      <c r="AH54" s="749"/>
      <c r="AI54" s="749"/>
      <c r="AJ54" s="750"/>
    </row>
    <row r="55" spans="1:36" ht="14.45" customHeight="1">
      <c r="A55" s="751" t="s">
        <v>88</v>
      </c>
      <c r="B55" s="753"/>
      <c r="C55" s="748" t="s">
        <v>89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  <c r="X55" s="750"/>
      <c r="Y55" s="751" t="s">
        <v>82</v>
      </c>
      <c r="Z55" s="752"/>
      <c r="AA55" s="752"/>
      <c r="AB55" s="752"/>
      <c r="AC55" s="753"/>
      <c r="AD55" s="751" t="s">
        <v>83</v>
      </c>
      <c r="AE55" s="752"/>
      <c r="AF55" s="752"/>
      <c r="AG55" s="752"/>
      <c r="AH55" s="752"/>
      <c r="AI55" s="752"/>
      <c r="AJ55" s="753"/>
    </row>
    <row r="56" spans="1:36" ht="14.45" customHeight="1">
      <c r="A56" s="736" t="s">
        <v>0</v>
      </c>
      <c r="B56" s="737"/>
      <c r="C56" s="757" t="s">
        <v>163</v>
      </c>
      <c r="D56" s="758"/>
      <c r="E56" s="758"/>
      <c r="F56" s="758"/>
      <c r="G56" s="758"/>
      <c r="H56" s="758"/>
      <c r="I56" s="758"/>
      <c r="J56" s="758"/>
      <c r="K56" s="758"/>
      <c r="L56" s="758"/>
      <c r="M56" s="758"/>
      <c r="N56" s="758"/>
      <c r="O56" s="758"/>
      <c r="P56" s="758"/>
      <c r="Q56" s="758"/>
      <c r="R56" s="758"/>
      <c r="S56" s="758"/>
      <c r="T56" s="758"/>
      <c r="U56" s="758"/>
      <c r="V56" s="758"/>
      <c r="W56" s="758"/>
      <c r="X56" s="759"/>
      <c r="Y56" s="799">
        <v>0.2</v>
      </c>
      <c r="Z56" s="800"/>
      <c r="AA56" s="800"/>
      <c r="AB56" s="800"/>
      <c r="AC56" s="801"/>
      <c r="AD56" s="774">
        <f t="shared" ref="AD56:AD63" si="0">Y56*($AD$45+$AD$52)</f>
        <v>245.11111111111114</v>
      </c>
      <c r="AE56" s="775"/>
      <c r="AF56" s="775"/>
      <c r="AG56" s="775"/>
      <c r="AH56" s="775"/>
      <c r="AI56" s="775"/>
      <c r="AJ56" s="776"/>
    </row>
    <row r="57" spans="1:36" ht="14.45" customHeight="1">
      <c r="A57" s="736" t="s">
        <v>1</v>
      </c>
      <c r="B57" s="737"/>
      <c r="C57" s="757" t="s">
        <v>90</v>
      </c>
      <c r="D57" s="758"/>
      <c r="E57" s="758"/>
      <c r="F57" s="758"/>
      <c r="G57" s="758"/>
      <c r="H57" s="758"/>
      <c r="I57" s="758"/>
      <c r="J57" s="758"/>
      <c r="K57" s="758"/>
      <c r="L57" s="758"/>
      <c r="M57" s="758"/>
      <c r="N57" s="758"/>
      <c r="O57" s="758"/>
      <c r="P57" s="758"/>
      <c r="Q57" s="758"/>
      <c r="R57" s="758"/>
      <c r="S57" s="758"/>
      <c r="T57" s="758"/>
      <c r="U57" s="758"/>
      <c r="V57" s="758"/>
      <c r="W57" s="758"/>
      <c r="X57" s="759"/>
      <c r="Y57" s="799">
        <v>2.5000000000000001E-2</v>
      </c>
      <c r="Z57" s="800"/>
      <c r="AA57" s="800"/>
      <c r="AB57" s="800"/>
      <c r="AC57" s="801"/>
      <c r="AD57" s="774">
        <f t="shared" si="0"/>
        <v>30.638888888888893</v>
      </c>
      <c r="AE57" s="775"/>
      <c r="AF57" s="775"/>
      <c r="AG57" s="775"/>
      <c r="AH57" s="775"/>
      <c r="AI57" s="775"/>
      <c r="AJ57" s="776"/>
    </row>
    <row r="58" spans="1:36" ht="14.45" customHeight="1">
      <c r="A58" s="736" t="s">
        <v>2</v>
      </c>
      <c r="B58" s="737"/>
      <c r="C58" s="757" t="s">
        <v>164</v>
      </c>
      <c r="D58" s="758"/>
      <c r="E58" s="758"/>
      <c r="F58" s="758"/>
      <c r="G58" s="758"/>
      <c r="H58" s="758"/>
      <c r="I58" s="758"/>
      <c r="J58" s="758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9"/>
      <c r="Y58" s="799">
        <v>0.03</v>
      </c>
      <c r="Z58" s="800"/>
      <c r="AA58" s="800"/>
      <c r="AB58" s="800"/>
      <c r="AC58" s="801"/>
      <c r="AD58" s="774">
        <f t="shared" si="0"/>
        <v>36.766666666666666</v>
      </c>
      <c r="AE58" s="775"/>
      <c r="AF58" s="775"/>
      <c r="AG58" s="775"/>
      <c r="AH58" s="775"/>
      <c r="AI58" s="775"/>
      <c r="AJ58" s="776"/>
    </row>
    <row r="59" spans="1:36" ht="14.45" customHeight="1">
      <c r="A59" s="736" t="s">
        <v>3</v>
      </c>
      <c r="B59" s="737"/>
      <c r="C59" s="757" t="s">
        <v>91</v>
      </c>
      <c r="D59" s="758"/>
      <c r="E59" s="758"/>
      <c r="F59" s="758"/>
      <c r="G59" s="758"/>
      <c r="H59" s="758"/>
      <c r="I59" s="758"/>
      <c r="J59" s="758"/>
      <c r="K59" s="758"/>
      <c r="L59" s="758"/>
      <c r="M59" s="758"/>
      <c r="N59" s="758"/>
      <c r="O59" s="758"/>
      <c r="P59" s="758"/>
      <c r="Q59" s="758"/>
      <c r="R59" s="758"/>
      <c r="S59" s="758"/>
      <c r="T59" s="758"/>
      <c r="U59" s="758"/>
      <c r="V59" s="758"/>
      <c r="W59" s="758"/>
      <c r="X59" s="759"/>
      <c r="Y59" s="799">
        <v>1.4999999999999999E-2</v>
      </c>
      <c r="Z59" s="800"/>
      <c r="AA59" s="800"/>
      <c r="AB59" s="800"/>
      <c r="AC59" s="801"/>
      <c r="AD59" s="774">
        <f t="shared" si="0"/>
        <v>18.383333333333333</v>
      </c>
      <c r="AE59" s="775"/>
      <c r="AF59" s="775"/>
      <c r="AG59" s="775"/>
      <c r="AH59" s="775"/>
      <c r="AI59" s="775"/>
      <c r="AJ59" s="776"/>
    </row>
    <row r="60" spans="1:36" ht="14.45" customHeight="1">
      <c r="A60" s="736" t="s">
        <v>6</v>
      </c>
      <c r="B60" s="737"/>
      <c r="C60" s="757" t="s">
        <v>92</v>
      </c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758"/>
      <c r="P60" s="758"/>
      <c r="Q60" s="758"/>
      <c r="R60" s="758"/>
      <c r="S60" s="758"/>
      <c r="T60" s="758"/>
      <c r="U60" s="758"/>
      <c r="V60" s="758"/>
      <c r="W60" s="758"/>
      <c r="X60" s="759"/>
      <c r="Y60" s="799">
        <v>0.01</v>
      </c>
      <c r="Z60" s="800"/>
      <c r="AA60" s="800"/>
      <c r="AB60" s="800"/>
      <c r="AC60" s="801"/>
      <c r="AD60" s="774">
        <f t="shared" si="0"/>
        <v>12.255555555555556</v>
      </c>
      <c r="AE60" s="775"/>
      <c r="AF60" s="775"/>
      <c r="AG60" s="775"/>
      <c r="AH60" s="775"/>
      <c r="AI60" s="775"/>
      <c r="AJ60" s="776"/>
    </row>
    <row r="61" spans="1:36" ht="14.45" customHeight="1">
      <c r="A61" s="736" t="s">
        <v>7</v>
      </c>
      <c r="B61" s="737"/>
      <c r="C61" s="757" t="s">
        <v>18</v>
      </c>
      <c r="D61" s="758"/>
      <c r="E61" s="758"/>
      <c r="F61" s="758"/>
      <c r="G61" s="758"/>
      <c r="H61" s="758"/>
      <c r="I61" s="758"/>
      <c r="J61" s="758"/>
      <c r="K61" s="758"/>
      <c r="L61" s="758"/>
      <c r="M61" s="758"/>
      <c r="N61" s="758"/>
      <c r="O61" s="758"/>
      <c r="P61" s="758"/>
      <c r="Q61" s="758"/>
      <c r="R61" s="758"/>
      <c r="S61" s="758"/>
      <c r="T61" s="758"/>
      <c r="U61" s="758"/>
      <c r="V61" s="758"/>
      <c r="W61" s="758"/>
      <c r="X61" s="759"/>
      <c r="Y61" s="799">
        <v>6.0000000000000001E-3</v>
      </c>
      <c r="Z61" s="800"/>
      <c r="AA61" s="800"/>
      <c r="AB61" s="800"/>
      <c r="AC61" s="801"/>
      <c r="AD61" s="774">
        <f t="shared" si="0"/>
        <v>7.3533333333333344</v>
      </c>
      <c r="AE61" s="775"/>
      <c r="AF61" s="775"/>
      <c r="AG61" s="775"/>
      <c r="AH61" s="775"/>
      <c r="AI61" s="775"/>
      <c r="AJ61" s="776"/>
    </row>
    <row r="62" spans="1:36" ht="14.45" customHeight="1">
      <c r="A62" s="736" t="s">
        <v>8</v>
      </c>
      <c r="B62" s="737"/>
      <c r="C62" s="757" t="s">
        <v>16</v>
      </c>
      <c r="D62" s="758"/>
      <c r="E62" s="758"/>
      <c r="F62" s="758"/>
      <c r="G62" s="758"/>
      <c r="H62" s="758"/>
      <c r="I62" s="758"/>
      <c r="J62" s="758"/>
      <c r="K62" s="758"/>
      <c r="L62" s="758"/>
      <c r="M62" s="758"/>
      <c r="N62" s="758"/>
      <c r="O62" s="758"/>
      <c r="P62" s="758"/>
      <c r="Q62" s="758"/>
      <c r="R62" s="758"/>
      <c r="S62" s="758"/>
      <c r="T62" s="758"/>
      <c r="U62" s="758"/>
      <c r="V62" s="758"/>
      <c r="W62" s="758"/>
      <c r="X62" s="759"/>
      <c r="Y62" s="799">
        <v>2E-3</v>
      </c>
      <c r="Z62" s="800"/>
      <c r="AA62" s="800"/>
      <c r="AB62" s="800"/>
      <c r="AC62" s="801"/>
      <c r="AD62" s="774">
        <f t="shared" si="0"/>
        <v>2.4511111111111115</v>
      </c>
      <c r="AE62" s="775"/>
      <c r="AF62" s="775"/>
      <c r="AG62" s="775"/>
      <c r="AH62" s="775"/>
      <c r="AI62" s="775"/>
      <c r="AJ62" s="776"/>
    </row>
    <row r="63" spans="1:36" ht="14.45" customHeight="1">
      <c r="A63" s="736" t="s">
        <v>10</v>
      </c>
      <c r="B63" s="737"/>
      <c r="C63" s="757" t="s">
        <v>17</v>
      </c>
      <c r="D63" s="758"/>
      <c r="E63" s="758"/>
      <c r="F63" s="758"/>
      <c r="G63" s="758"/>
      <c r="H63" s="758"/>
      <c r="I63" s="758"/>
      <c r="J63" s="758"/>
      <c r="K63" s="758"/>
      <c r="L63" s="758"/>
      <c r="M63" s="758"/>
      <c r="N63" s="758"/>
      <c r="O63" s="758"/>
      <c r="P63" s="758"/>
      <c r="Q63" s="758"/>
      <c r="R63" s="758"/>
      <c r="S63" s="758"/>
      <c r="T63" s="758"/>
      <c r="U63" s="758"/>
      <c r="V63" s="758"/>
      <c r="W63" s="758"/>
      <c r="X63" s="759"/>
      <c r="Y63" s="799">
        <v>0.08</v>
      </c>
      <c r="Z63" s="800"/>
      <c r="AA63" s="800"/>
      <c r="AB63" s="800"/>
      <c r="AC63" s="801"/>
      <c r="AD63" s="774">
        <f t="shared" si="0"/>
        <v>98.044444444444451</v>
      </c>
      <c r="AE63" s="775"/>
      <c r="AF63" s="775"/>
      <c r="AG63" s="775"/>
      <c r="AH63" s="775"/>
      <c r="AI63" s="775"/>
      <c r="AJ63" s="776"/>
    </row>
    <row r="64" spans="1:36" ht="14.45" customHeight="1">
      <c r="A64" s="728" t="s">
        <v>87</v>
      </c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9"/>
      <c r="Y64" s="796">
        <f>SUM(Y56:AC63)</f>
        <v>0.36800000000000005</v>
      </c>
      <c r="Z64" s="797"/>
      <c r="AA64" s="797"/>
      <c r="AB64" s="797"/>
      <c r="AC64" s="798"/>
      <c r="AD64" s="691">
        <f>SUM(AD56:AJ63)</f>
        <v>451.00444444444452</v>
      </c>
      <c r="AE64" s="692"/>
      <c r="AF64" s="692"/>
      <c r="AG64" s="692"/>
      <c r="AH64" s="692"/>
      <c r="AI64" s="692"/>
      <c r="AJ64" s="693"/>
    </row>
    <row r="65" spans="1:36" ht="14.4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3"/>
      <c r="Z65" s="64"/>
      <c r="AA65" s="64"/>
      <c r="AB65" s="64"/>
      <c r="AC65" s="64"/>
      <c r="AD65" s="65"/>
      <c r="AE65" s="65"/>
      <c r="AF65" s="65"/>
      <c r="AG65" s="65"/>
      <c r="AH65" s="65"/>
      <c r="AI65" s="65"/>
      <c r="AJ65" s="65"/>
    </row>
    <row r="66" spans="1:36" ht="14.45" customHeight="1">
      <c r="A66" s="748" t="s">
        <v>150</v>
      </c>
      <c r="B66" s="749"/>
      <c r="C66" s="749"/>
      <c r="D66" s="749"/>
      <c r="E66" s="749"/>
      <c r="F66" s="749"/>
      <c r="G66" s="749"/>
      <c r="H66" s="749"/>
      <c r="I66" s="749"/>
      <c r="J66" s="749"/>
      <c r="K66" s="749"/>
      <c r="L66" s="749"/>
      <c r="M66" s="749"/>
      <c r="N66" s="749"/>
      <c r="O66" s="749"/>
      <c r="P66" s="749"/>
      <c r="Q66" s="749"/>
      <c r="R66" s="749"/>
      <c r="S66" s="749"/>
      <c r="T66" s="749"/>
      <c r="U66" s="749"/>
      <c r="V66" s="749"/>
      <c r="W66" s="749"/>
      <c r="X66" s="749"/>
      <c r="Y66" s="749"/>
      <c r="Z66" s="749"/>
      <c r="AA66" s="749"/>
      <c r="AB66" s="749"/>
      <c r="AC66" s="749"/>
      <c r="AD66" s="749"/>
      <c r="AE66" s="749"/>
      <c r="AF66" s="749"/>
      <c r="AG66" s="749"/>
      <c r="AH66" s="749"/>
      <c r="AI66" s="749"/>
      <c r="AJ66" s="750"/>
    </row>
    <row r="67" spans="1:36" ht="14.45" customHeight="1">
      <c r="A67" s="751" t="s">
        <v>93</v>
      </c>
      <c r="B67" s="753"/>
      <c r="C67" s="748" t="s">
        <v>94</v>
      </c>
      <c r="D67" s="749"/>
      <c r="E67" s="749"/>
      <c r="F67" s="749"/>
      <c r="G67" s="749"/>
      <c r="H67" s="749"/>
      <c r="I67" s="749"/>
      <c r="J67" s="749"/>
      <c r="K67" s="749"/>
      <c r="L67" s="749"/>
      <c r="M67" s="749"/>
      <c r="N67" s="749"/>
      <c r="O67" s="749"/>
      <c r="P67" s="749"/>
      <c r="Q67" s="749"/>
      <c r="R67" s="749"/>
      <c r="S67" s="749"/>
      <c r="T67" s="749"/>
      <c r="U67" s="749"/>
      <c r="V67" s="749"/>
      <c r="W67" s="749"/>
      <c r="X67" s="749"/>
      <c r="Y67" s="749"/>
      <c r="Z67" s="749"/>
      <c r="AA67" s="749"/>
      <c r="AB67" s="749"/>
      <c r="AC67" s="750"/>
      <c r="AD67" s="751" t="s">
        <v>83</v>
      </c>
      <c r="AE67" s="752"/>
      <c r="AF67" s="752"/>
      <c r="AG67" s="752"/>
      <c r="AH67" s="752"/>
      <c r="AI67" s="752"/>
      <c r="AJ67" s="753"/>
    </row>
    <row r="68" spans="1:36" ht="14.45" customHeight="1">
      <c r="A68" s="722" t="s">
        <v>0</v>
      </c>
      <c r="B68" s="723"/>
      <c r="C68" s="724" t="s">
        <v>151</v>
      </c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  <c r="T68" s="725"/>
      <c r="U68" s="725"/>
      <c r="V68" s="725"/>
      <c r="W68" s="725"/>
      <c r="X68" s="725"/>
      <c r="Y68" s="725"/>
      <c r="Z68" s="725"/>
      <c r="AA68" s="725"/>
      <c r="AB68" s="725"/>
      <c r="AC68" s="726"/>
      <c r="AD68" s="774">
        <f>(4*2*22)-(AD38*6%)</f>
        <v>109.82000000000001</v>
      </c>
      <c r="AE68" s="775"/>
      <c r="AF68" s="775"/>
      <c r="AG68" s="775"/>
      <c r="AH68" s="775"/>
      <c r="AI68" s="775"/>
      <c r="AJ68" s="776"/>
    </row>
    <row r="69" spans="1:36" ht="14.45" customHeight="1">
      <c r="A69" s="722" t="s">
        <v>1</v>
      </c>
      <c r="B69" s="723"/>
      <c r="C69" s="724" t="s">
        <v>152</v>
      </c>
      <c r="D69" s="725"/>
      <c r="E69" s="725"/>
      <c r="F69" s="725"/>
      <c r="G69" s="725"/>
      <c r="H69" s="725"/>
      <c r="I69" s="725"/>
      <c r="J69" s="725"/>
      <c r="K69" s="725"/>
      <c r="L69" s="725"/>
      <c r="M69" s="725"/>
      <c r="N69" s="725"/>
      <c r="O69" s="725"/>
      <c r="P69" s="725"/>
      <c r="Q69" s="725"/>
      <c r="R69" s="725"/>
      <c r="S69" s="725"/>
      <c r="T69" s="725"/>
      <c r="U69" s="725"/>
      <c r="V69" s="725"/>
      <c r="W69" s="725"/>
      <c r="X69" s="725"/>
      <c r="Y69" s="725"/>
      <c r="Z69" s="725"/>
      <c r="AA69" s="725"/>
      <c r="AB69" s="725"/>
      <c r="AC69" s="726"/>
      <c r="AD69" s="774">
        <f>(18*22)*80%</f>
        <v>316.8</v>
      </c>
      <c r="AE69" s="775"/>
      <c r="AF69" s="775"/>
      <c r="AG69" s="775"/>
      <c r="AH69" s="775"/>
      <c r="AI69" s="775"/>
      <c r="AJ69" s="776"/>
    </row>
    <row r="70" spans="1:36" ht="14.45" customHeight="1">
      <c r="A70" s="722" t="s">
        <v>2</v>
      </c>
      <c r="B70" s="723"/>
      <c r="C70" s="724" t="s">
        <v>215</v>
      </c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6"/>
      <c r="AD70" s="774">
        <v>0</v>
      </c>
      <c r="AE70" s="775"/>
      <c r="AF70" s="775"/>
      <c r="AG70" s="775"/>
      <c r="AH70" s="775"/>
      <c r="AI70" s="775"/>
      <c r="AJ70" s="776"/>
    </row>
    <row r="71" spans="1:36" ht="14.45" customHeight="1">
      <c r="A71" s="722" t="s">
        <v>3</v>
      </c>
      <c r="B71" s="723"/>
      <c r="C71" s="724" t="s">
        <v>216</v>
      </c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6"/>
      <c r="AD71" s="774">
        <v>15</v>
      </c>
      <c r="AE71" s="775"/>
      <c r="AF71" s="775"/>
      <c r="AG71" s="775"/>
      <c r="AH71" s="775"/>
      <c r="AI71" s="775"/>
      <c r="AJ71" s="776"/>
    </row>
    <row r="72" spans="1:36" ht="14.45" customHeight="1">
      <c r="A72" s="722" t="s">
        <v>6</v>
      </c>
      <c r="B72" s="723"/>
      <c r="C72" s="724" t="s">
        <v>153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5"/>
      <c r="Y72" s="725"/>
      <c r="Z72" s="725"/>
      <c r="AA72" s="725"/>
      <c r="AB72" s="725"/>
      <c r="AC72" s="726"/>
      <c r="AD72" s="888">
        <v>10</v>
      </c>
      <c r="AE72" s="889"/>
      <c r="AF72" s="889"/>
      <c r="AG72" s="889"/>
      <c r="AH72" s="889"/>
      <c r="AI72" s="889"/>
      <c r="AJ72" s="890"/>
    </row>
    <row r="73" spans="1:36" ht="14.45" customHeight="1">
      <c r="A73" s="722" t="s">
        <v>7</v>
      </c>
      <c r="B73" s="723"/>
      <c r="C73" s="790" t="s">
        <v>346</v>
      </c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  <c r="O73" s="791"/>
      <c r="P73" s="791"/>
      <c r="Q73" s="791"/>
      <c r="R73" s="791"/>
      <c r="S73" s="791"/>
      <c r="T73" s="791"/>
      <c r="U73" s="791"/>
      <c r="V73" s="791"/>
      <c r="W73" s="791"/>
      <c r="X73" s="791"/>
      <c r="Y73" s="791"/>
      <c r="Z73" s="791"/>
      <c r="AA73" s="791"/>
      <c r="AB73" s="791"/>
      <c r="AC73" s="792"/>
      <c r="AD73" s="793">
        <f>(80/30)*1.2</f>
        <v>3.1999999999999997</v>
      </c>
      <c r="AE73" s="794"/>
      <c r="AF73" s="794"/>
      <c r="AG73" s="794"/>
      <c r="AH73" s="794"/>
      <c r="AI73" s="794"/>
      <c r="AJ73" s="795"/>
    </row>
    <row r="74" spans="1:36" ht="14.45" customHeight="1">
      <c r="A74" s="728" t="s">
        <v>87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9"/>
      <c r="AD74" s="691">
        <f>SUM(AD68:AJ73)</f>
        <v>454.82</v>
      </c>
      <c r="AE74" s="692"/>
      <c r="AF74" s="692"/>
      <c r="AG74" s="692"/>
      <c r="AH74" s="692"/>
      <c r="AI74" s="692"/>
      <c r="AJ74" s="693"/>
    </row>
    <row r="75" spans="1:36" ht="14.45" customHeight="1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</row>
    <row r="76" spans="1:36" ht="14.45" customHeight="1">
      <c r="A76" s="765" t="s">
        <v>95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66"/>
      <c r="Q76" s="766"/>
      <c r="R76" s="766"/>
      <c r="S76" s="766"/>
      <c r="T76" s="766"/>
      <c r="U76" s="766"/>
      <c r="V76" s="766"/>
      <c r="W76" s="766"/>
      <c r="X76" s="766"/>
      <c r="Y76" s="766"/>
      <c r="Z76" s="766"/>
      <c r="AA76" s="766"/>
      <c r="AB76" s="766"/>
      <c r="AC76" s="766"/>
      <c r="AD76" s="766"/>
      <c r="AE76" s="766"/>
      <c r="AF76" s="766"/>
      <c r="AG76" s="766"/>
      <c r="AH76" s="766"/>
      <c r="AI76" s="766"/>
      <c r="AJ76" s="767"/>
    </row>
    <row r="77" spans="1:36" ht="14.45" customHeight="1">
      <c r="A77" s="751">
        <v>2</v>
      </c>
      <c r="B77" s="753"/>
      <c r="C77" s="751" t="s">
        <v>96</v>
      </c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3"/>
      <c r="AD77" s="751" t="s">
        <v>83</v>
      </c>
      <c r="AE77" s="752"/>
      <c r="AF77" s="752"/>
      <c r="AG77" s="752"/>
      <c r="AH77" s="752"/>
      <c r="AI77" s="752"/>
      <c r="AJ77" s="753"/>
    </row>
    <row r="78" spans="1:36" ht="14.45" customHeight="1">
      <c r="A78" s="722" t="s">
        <v>86</v>
      </c>
      <c r="B78" s="723"/>
      <c r="C78" s="724" t="s">
        <v>281</v>
      </c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5"/>
      <c r="AC78" s="726"/>
      <c r="AD78" s="774">
        <f>AD52</f>
        <v>122.55555555555554</v>
      </c>
      <c r="AE78" s="775"/>
      <c r="AF78" s="775"/>
      <c r="AG78" s="775"/>
      <c r="AH78" s="775"/>
      <c r="AI78" s="775"/>
      <c r="AJ78" s="776"/>
    </row>
    <row r="79" spans="1:36" ht="14.45" customHeight="1">
      <c r="A79" s="722" t="s">
        <v>88</v>
      </c>
      <c r="B79" s="723"/>
      <c r="C79" s="724" t="s">
        <v>89</v>
      </c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725"/>
      <c r="AC79" s="726"/>
      <c r="AD79" s="774">
        <f>AD64</f>
        <v>451.00444444444452</v>
      </c>
      <c r="AE79" s="775"/>
      <c r="AF79" s="775"/>
      <c r="AG79" s="775"/>
      <c r="AH79" s="775"/>
      <c r="AI79" s="775"/>
      <c r="AJ79" s="776"/>
    </row>
    <row r="80" spans="1:36" ht="14.45" customHeight="1">
      <c r="A80" s="722" t="s">
        <v>93</v>
      </c>
      <c r="B80" s="723"/>
      <c r="C80" s="724" t="s">
        <v>97</v>
      </c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6"/>
      <c r="AD80" s="774">
        <f>AD74</f>
        <v>454.82</v>
      </c>
      <c r="AE80" s="775"/>
      <c r="AF80" s="775"/>
      <c r="AG80" s="775"/>
      <c r="AH80" s="775"/>
      <c r="AI80" s="775"/>
      <c r="AJ80" s="776"/>
    </row>
    <row r="81" spans="1:43" ht="14.45" customHeight="1">
      <c r="A81" s="728" t="s">
        <v>87</v>
      </c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9"/>
      <c r="AD81" s="691">
        <f>SUM(AD78:AJ80)</f>
        <v>1028.3800000000001</v>
      </c>
      <c r="AE81" s="692"/>
      <c r="AF81" s="692"/>
      <c r="AG81" s="692"/>
      <c r="AH81" s="692"/>
      <c r="AI81" s="692"/>
      <c r="AJ81" s="693"/>
    </row>
    <row r="82" spans="1:43" ht="14.45" customHeight="1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77"/>
      <c r="AF82" s="777"/>
      <c r="AG82" s="777"/>
      <c r="AH82" s="777"/>
      <c r="AI82" s="777"/>
      <c r="AJ82" s="777"/>
    </row>
    <row r="83" spans="1:43" ht="14.45" customHeight="1">
      <c r="A83" s="765" t="s">
        <v>159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6"/>
      <c r="M83" s="766"/>
      <c r="N83" s="766"/>
      <c r="O83" s="766"/>
      <c r="P83" s="766"/>
      <c r="Q83" s="766"/>
      <c r="R83" s="766"/>
      <c r="S83" s="766"/>
      <c r="T83" s="766"/>
      <c r="U83" s="766"/>
      <c r="V83" s="766"/>
      <c r="W83" s="766"/>
      <c r="X83" s="766"/>
      <c r="Y83" s="766"/>
      <c r="Z83" s="766"/>
      <c r="AA83" s="766"/>
      <c r="AB83" s="766"/>
      <c r="AC83" s="766"/>
      <c r="AD83" s="766"/>
      <c r="AE83" s="766"/>
      <c r="AF83" s="766"/>
      <c r="AG83" s="766"/>
      <c r="AH83" s="766"/>
      <c r="AI83" s="766"/>
      <c r="AJ83" s="767"/>
    </row>
    <row r="84" spans="1:43" ht="14.45" customHeight="1">
      <c r="A84" s="751">
        <v>3</v>
      </c>
      <c r="B84" s="753"/>
      <c r="C84" s="748" t="s">
        <v>98</v>
      </c>
      <c r="D84" s="749"/>
      <c r="E84" s="749"/>
      <c r="F84" s="749"/>
      <c r="G84" s="749"/>
      <c r="H84" s="749"/>
      <c r="I84" s="749"/>
      <c r="J84" s="749"/>
      <c r="K84" s="749"/>
      <c r="L84" s="749"/>
      <c r="M84" s="749"/>
      <c r="N84" s="749"/>
      <c r="O84" s="749"/>
      <c r="P84" s="749"/>
      <c r="Q84" s="749"/>
      <c r="R84" s="749"/>
      <c r="S84" s="749"/>
      <c r="T84" s="749"/>
      <c r="U84" s="749"/>
      <c r="V84" s="749"/>
      <c r="W84" s="749"/>
      <c r="X84" s="750"/>
      <c r="Y84" s="751" t="s">
        <v>82</v>
      </c>
      <c r="Z84" s="752"/>
      <c r="AA84" s="752"/>
      <c r="AB84" s="752"/>
      <c r="AC84" s="753"/>
      <c r="AD84" s="751" t="s">
        <v>83</v>
      </c>
      <c r="AE84" s="752"/>
      <c r="AF84" s="752"/>
      <c r="AG84" s="752"/>
      <c r="AH84" s="752"/>
      <c r="AI84" s="752"/>
      <c r="AJ84" s="753"/>
    </row>
    <row r="85" spans="1:43" ht="14.45" customHeight="1">
      <c r="A85" s="805" t="s">
        <v>0</v>
      </c>
      <c r="B85" s="806"/>
      <c r="C85" s="863" t="s">
        <v>270</v>
      </c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64"/>
      <c r="P85" s="864"/>
      <c r="Q85" s="864"/>
      <c r="R85" s="864"/>
      <c r="S85" s="864"/>
      <c r="T85" s="864"/>
      <c r="U85" s="864"/>
      <c r="V85" s="864"/>
      <c r="W85" s="864"/>
      <c r="X85" s="865"/>
      <c r="Y85" s="807">
        <f>1/(12)*0.05</f>
        <v>4.1666666666666666E-3</v>
      </c>
      <c r="Z85" s="808"/>
      <c r="AA85" s="808"/>
      <c r="AB85" s="808"/>
      <c r="AC85" s="809"/>
      <c r="AD85" s="774">
        <f>Y85*$AD$45</f>
        <v>4.5958333333333332</v>
      </c>
      <c r="AE85" s="775"/>
      <c r="AF85" s="775"/>
      <c r="AG85" s="775"/>
      <c r="AH85" s="775"/>
      <c r="AI85" s="775"/>
      <c r="AJ85" s="776"/>
      <c r="AL85" s="149"/>
    </row>
    <row r="86" spans="1:43" ht="14.45" customHeight="1">
      <c r="A86" s="805" t="s">
        <v>1</v>
      </c>
      <c r="B86" s="806"/>
      <c r="C86" s="863" t="s">
        <v>265</v>
      </c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4"/>
      <c r="T86" s="864"/>
      <c r="U86" s="864"/>
      <c r="V86" s="864"/>
      <c r="W86" s="864"/>
      <c r="X86" s="865"/>
      <c r="Y86" s="807">
        <f>Y85*0.08</f>
        <v>3.3333333333333332E-4</v>
      </c>
      <c r="Z86" s="808"/>
      <c r="AA86" s="808"/>
      <c r="AB86" s="808"/>
      <c r="AC86" s="809"/>
      <c r="AD86" s="774">
        <f>Y86*$AD$45</f>
        <v>0.36766666666666664</v>
      </c>
      <c r="AE86" s="775"/>
      <c r="AF86" s="775"/>
      <c r="AG86" s="775"/>
      <c r="AH86" s="775"/>
      <c r="AI86" s="775"/>
      <c r="AJ86" s="776"/>
      <c r="AL86" s="149"/>
    </row>
    <row r="87" spans="1:43">
      <c r="A87" s="805" t="s">
        <v>2</v>
      </c>
      <c r="B87" s="806"/>
      <c r="C87" s="863" t="s">
        <v>276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4"/>
      <c r="T87" s="864"/>
      <c r="U87" s="864"/>
      <c r="V87" s="864"/>
      <c r="W87" s="864"/>
      <c r="X87" s="865"/>
      <c r="Y87" s="807">
        <f>(((1+(2/12)+((1/3)*(1/12)))))*0.08*0.4*0.95</f>
        <v>3.6311111111111113E-2</v>
      </c>
      <c r="Z87" s="808"/>
      <c r="AA87" s="808"/>
      <c r="AB87" s="808"/>
      <c r="AC87" s="809"/>
      <c r="AD87" s="774">
        <f>Y87*$AD$45</f>
        <v>40.05115555555556</v>
      </c>
      <c r="AE87" s="775"/>
      <c r="AF87" s="775"/>
      <c r="AG87" s="775"/>
      <c r="AH87" s="775"/>
      <c r="AI87" s="775"/>
      <c r="AJ87" s="776"/>
      <c r="AL87" s="149"/>
    </row>
    <row r="88" spans="1:43" ht="14.45" customHeight="1">
      <c r="A88" s="805" t="s">
        <v>3</v>
      </c>
      <c r="B88" s="806"/>
      <c r="C88" s="863" t="s">
        <v>266</v>
      </c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5"/>
      <c r="Y88" s="807">
        <f>(7/30)/12</f>
        <v>1.9444444444444445E-2</v>
      </c>
      <c r="Z88" s="808"/>
      <c r="AA88" s="808"/>
      <c r="AB88" s="808"/>
      <c r="AC88" s="809"/>
      <c r="AD88" s="774">
        <f>(AD45+AD81)*Y88</f>
        <v>41.4435</v>
      </c>
      <c r="AE88" s="775"/>
      <c r="AF88" s="775"/>
      <c r="AG88" s="775"/>
      <c r="AH88" s="775"/>
      <c r="AI88" s="775"/>
      <c r="AJ88" s="776"/>
    </row>
    <row r="89" spans="1:43" ht="25.9" customHeight="1">
      <c r="A89" s="805" t="s">
        <v>6</v>
      </c>
      <c r="B89" s="806"/>
      <c r="C89" s="869" t="s">
        <v>277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  <c r="P89" s="870"/>
      <c r="Q89" s="870"/>
      <c r="R89" s="870"/>
      <c r="S89" s="870"/>
      <c r="T89" s="870"/>
      <c r="U89" s="870"/>
      <c r="V89" s="870"/>
      <c r="W89" s="870"/>
      <c r="X89" s="871"/>
      <c r="Y89" s="807">
        <f>Y88*Y64</f>
        <v>7.1555555555555565E-3</v>
      </c>
      <c r="Z89" s="808"/>
      <c r="AA89" s="808"/>
      <c r="AB89" s="808"/>
      <c r="AC89" s="809"/>
      <c r="AD89" s="774">
        <f>Y89*$AD$45</f>
        <v>7.8925777777777792</v>
      </c>
      <c r="AE89" s="775"/>
      <c r="AF89" s="775"/>
      <c r="AG89" s="775"/>
      <c r="AH89" s="775"/>
      <c r="AI89" s="775"/>
      <c r="AJ89" s="776"/>
    </row>
    <row r="90" spans="1:43" ht="14.45" customHeight="1">
      <c r="A90" s="805" t="s">
        <v>7</v>
      </c>
      <c r="B90" s="806"/>
      <c r="C90" s="863" t="s">
        <v>290</v>
      </c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64"/>
      <c r="P90" s="864"/>
      <c r="Q90" s="864"/>
      <c r="R90" s="864"/>
      <c r="S90" s="864"/>
      <c r="T90" s="864"/>
      <c r="U90" s="864"/>
      <c r="V90" s="864"/>
      <c r="W90" s="864"/>
      <c r="X90" s="865"/>
      <c r="Y90" s="891">
        <f>Y88*0.08*0.4</f>
        <v>6.2222222222222236E-4</v>
      </c>
      <c r="Z90" s="892"/>
      <c r="AA90" s="892"/>
      <c r="AB90" s="892"/>
      <c r="AC90" s="893"/>
      <c r="AD90" s="774">
        <f>Y90*$AD$45</f>
        <v>0.68631111111111132</v>
      </c>
      <c r="AE90" s="775"/>
      <c r="AF90" s="775"/>
      <c r="AG90" s="775"/>
      <c r="AH90" s="775"/>
      <c r="AI90" s="775"/>
      <c r="AJ90" s="776"/>
    </row>
    <row r="91" spans="1:43" ht="14.45" customHeight="1">
      <c r="A91" s="728" t="s">
        <v>21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9"/>
      <c r="Y91" s="796">
        <f>SUM(Y85:AC90)</f>
        <v>6.8033333333333335E-2</v>
      </c>
      <c r="Z91" s="797"/>
      <c r="AA91" s="797"/>
      <c r="AB91" s="797"/>
      <c r="AC91" s="798"/>
      <c r="AD91" s="691">
        <f>SUM(AD85:AJ90)</f>
        <v>95.037044444444447</v>
      </c>
      <c r="AE91" s="692"/>
      <c r="AF91" s="692"/>
      <c r="AG91" s="692"/>
      <c r="AH91" s="692"/>
      <c r="AI91" s="692"/>
      <c r="AJ91" s="693"/>
    </row>
    <row r="92" spans="1:43" ht="14.45" customHeight="1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</row>
    <row r="93" spans="1:43" ht="14.45" customHeight="1">
      <c r="A93" s="765" t="s">
        <v>160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  <c r="T93" s="766"/>
      <c r="U93" s="766"/>
      <c r="V93" s="766"/>
      <c r="W93" s="766"/>
      <c r="X93" s="766"/>
      <c r="Y93" s="766"/>
      <c r="Z93" s="766"/>
      <c r="AA93" s="766"/>
      <c r="AB93" s="766"/>
      <c r="AC93" s="766"/>
      <c r="AD93" s="766"/>
      <c r="AE93" s="766"/>
      <c r="AF93" s="766"/>
      <c r="AG93" s="766"/>
      <c r="AH93" s="766"/>
      <c r="AI93" s="766"/>
      <c r="AJ93" s="767"/>
      <c r="AK93" s="130"/>
    </row>
    <row r="94" spans="1:43" ht="14.45" customHeight="1">
      <c r="A94" s="748" t="s">
        <v>154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49"/>
      <c r="W94" s="749"/>
      <c r="X94" s="749"/>
      <c r="Y94" s="749"/>
      <c r="Z94" s="749"/>
      <c r="AA94" s="749"/>
      <c r="AB94" s="749"/>
      <c r="AC94" s="749"/>
      <c r="AD94" s="749"/>
      <c r="AE94" s="749"/>
      <c r="AF94" s="749"/>
      <c r="AG94" s="749"/>
      <c r="AH94" s="749"/>
      <c r="AI94" s="749"/>
      <c r="AJ94" s="750"/>
      <c r="AK94" s="130"/>
    </row>
    <row r="95" spans="1:43" ht="14.45" customHeight="1">
      <c r="A95" s="751" t="s">
        <v>14</v>
      </c>
      <c r="B95" s="753"/>
      <c r="C95" s="748" t="s">
        <v>99</v>
      </c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749"/>
      <c r="Q95" s="749"/>
      <c r="R95" s="749"/>
      <c r="S95" s="749"/>
      <c r="T95" s="749"/>
      <c r="U95" s="749"/>
      <c r="V95" s="749"/>
      <c r="W95" s="749"/>
      <c r="X95" s="750"/>
      <c r="Y95" s="751" t="s">
        <v>82</v>
      </c>
      <c r="Z95" s="752"/>
      <c r="AA95" s="752"/>
      <c r="AB95" s="752"/>
      <c r="AC95" s="753"/>
      <c r="AD95" s="751" t="s">
        <v>83</v>
      </c>
      <c r="AE95" s="752"/>
      <c r="AF95" s="752"/>
      <c r="AG95" s="752"/>
      <c r="AH95" s="752"/>
      <c r="AI95" s="752"/>
      <c r="AJ95" s="753"/>
      <c r="AK95" s="130"/>
    </row>
    <row r="96" spans="1:43" ht="14.45" customHeight="1">
      <c r="A96" s="722" t="s">
        <v>0</v>
      </c>
      <c r="B96" s="723"/>
      <c r="C96" s="724" t="s">
        <v>217</v>
      </c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6"/>
      <c r="Y96" s="807">
        <f>1/12</f>
        <v>8.3333333333333329E-2</v>
      </c>
      <c r="Z96" s="808"/>
      <c r="AA96" s="808"/>
      <c r="AB96" s="808"/>
      <c r="AC96" s="809"/>
      <c r="AD96" s="774">
        <f t="shared" ref="AD96:AD101" si="1">Y96*(AD$45)</f>
        <v>91.916666666666657</v>
      </c>
      <c r="AE96" s="775"/>
      <c r="AF96" s="775"/>
      <c r="AG96" s="775"/>
      <c r="AH96" s="775"/>
      <c r="AI96" s="775"/>
      <c r="AJ96" s="776"/>
      <c r="AK96" s="130"/>
      <c r="AL96" s="133"/>
      <c r="AQ96" s="74"/>
    </row>
    <row r="97" spans="1:37" ht="14.45" customHeight="1">
      <c r="A97" s="722" t="s">
        <v>1</v>
      </c>
      <c r="B97" s="723"/>
      <c r="C97" s="724" t="s">
        <v>285</v>
      </c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6"/>
      <c r="Y97" s="807">
        <v>1.3899999999999999E-2</v>
      </c>
      <c r="Z97" s="808"/>
      <c r="AA97" s="808"/>
      <c r="AB97" s="808"/>
      <c r="AC97" s="809"/>
      <c r="AD97" s="774">
        <f t="shared" si="1"/>
        <v>15.3317</v>
      </c>
      <c r="AE97" s="775"/>
      <c r="AF97" s="775"/>
      <c r="AG97" s="775"/>
      <c r="AH97" s="775"/>
      <c r="AI97" s="775"/>
      <c r="AJ97" s="776"/>
      <c r="AK97" s="130"/>
    </row>
    <row r="98" spans="1:37" ht="14.45" customHeight="1">
      <c r="A98" s="722" t="s">
        <v>2</v>
      </c>
      <c r="B98" s="723"/>
      <c r="C98" s="724" t="s">
        <v>286</v>
      </c>
      <c r="D98" s="725"/>
      <c r="E98" s="725"/>
      <c r="F98" s="725"/>
      <c r="G98" s="725"/>
      <c r="H98" s="725"/>
      <c r="I98" s="725"/>
      <c r="J98" s="725"/>
      <c r="K98" s="725"/>
      <c r="L98" s="725"/>
      <c r="M98" s="725"/>
      <c r="N98" s="725"/>
      <c r="O98" s="725"/>
      <c r="P98" s="725"/>
      <c r="Q98" s="725"/>
      <c r="R98" s="725"/>
      <c r="S98" s="725"/>
      <c r="T98" s="725"/>
      <c r="U98" s="725"/>
      <c r="V98" s="725"/>
      <c r="W98" s="725"/>
      <c r="X98" s="726"/>
      <c r="Y98" s="807">
        <v>2.0000000000000001E-4</v>
      </c>
      <c r="Z98" s="808"/>
      <c r="AA98" s="808"/>
      <c r="AB98" s="808"/>
      <c r="AC98" s="809"/>
      <c r="AD98" s="774">
        <f t="shared" si="1"/>
        <v>0.22060000000000002</v>
      </c>
      <c r="AE98" s="775"/>
      <c r="AF98" s="775"/>
      <c r="AG98" s="775"/>
      <c r="AH98" s="775"/>
      <c r="AI98" s="775"/>
      <c r="AJ98" s="776"/>
      <c r="AK98" s="130"/>
    </row>
    <row r="99" spans="1:37" ht="14.45" customHeight="1">
      <c r="A99" s="722" t="s">
        <v>3</v>
      </c>
      <c r="B99" s="723"/>
      <c r="C99" s="724" t="s">
        <v>99</v>
      </c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5"/>
      <c r="P99" s="725"/>
      <c r="Q99" s="725"/>
      <c r="R99" s="725"/>
      <c r="S99" s="725"/>
      <c r="T99" s="725"/>
      <c r="U99" s="725"/>
      <c r="V99" s="725"/>
      <c r="W99" s="725"/>
      <c r="X99" s="726"/>
      <c r="Y99" s="807">
        <v>2.8E-3</v>
      </c>
      <c r="Z99" s="808"/>
      <c r="AA99" s="808"/>
      <c r="AB99" s="808"/>
      <c r="AC99" s="809"/>
      <c r="AD99" s="774">
        <f t="shared" si="1"/>
        <v>3.0884</v>
      </c>
      <c r="AE99" s="775"/>
      <c r="AF99" s="775"/>
      <c r="AG99" s="775"/>
      <c r="AH99" s="775"/>
      <c r="AI99" s="775"/>
      <c r="AJ99" s="776"/>
      <c r="AK99" s="130"/>
    </row>
    <row r="100" spans="1:37" ht="14.45" customHeight="1">
      <c r="A100" s="722" t="s">
        <v>6</v>
      </c>
      <c r="B100" s="723"/>
      <c r="C100" s="724" t="s">
        <v>287</v>
      </c>
      <c r="D100" s="725"/>
      <c r="E100" s="725"/>
      <c r="F100" s="725"/>
      <c r="G100" s="725"/>
      <c r="H100" s="725"/>
      <c r="I100" s="725"/>
      <c r="J100" s="725"/>
      <c r="K100" s="725"/>
      <c r="L100" s="725"/>
      <c r="M100" s="725"/>
      <c r="N100" s="725"/>
      <c r="O100" s="725"/>
      <c r="P100" s="725"/>
      <c r="Q100" s="725"/>
      <c r="R100" s="725"/>
      <c r="S100" s="725"/>
      <c r="T100" s="725"/>
      <c r="U100" s="725"/>
      <c r="V100" s="725"/>
      <c r="W100" s="725"/>
      <c r="X100" s="726"/>
      <c r="Y100" s="807">
        <v>1.2999999999999999E-3</v>
      </c>
      <c r="Z100" s="808"/>
      <c r="AA100" s="808"/>
      <c r="AB100" s="808"/>
      <c r="AC100" s="809"/>
      <c r="AD100" s="774">
        <f t="shared" si="1"/>
        <v>1.4339</v>
      </c>
      <c r="AE100" s="775"/>
      <c r="AF100" s="775"/>
      <c r="AG100" s="775"/>
      <c r="AH100" s="775"/>
      <c r="AI100" s="775"/>
      <c r="AJ100" s="776"/>
      <c r="AK100" s="130"/>
    </row>
    <row r="101" spans="1:37" ht="14.45" customHeight="1">
      <c r="A101" s="722" t="s">
        <v>7</v>
      </c>
      <c r="B101" s="723"/>
      <c r="C101" s="724" t="s">
        <v>288</v>
      </c>
      <c r="D101" s="725"/>
      <c r="E101" s="725"/>
      <c r="F101" s="725"/>
      <c r="G101" s="725"/>
      <c r="H101" s="725"/>
      <c r="I101" s="725"/>
      <c r="J101" s="725"/>
      <c r="K101" s="725"/>
      <c r="L101" s="725"/>
      <c r="M101" s="725"/>
      <c r="N101" s="725"/>
      <c r="O101" s="725"/>
      <c r="P101" s="725"/>
      <c r="Q101" s="725"/>
      <c r="R101" s="725"/>
      <c r="S101" s="725"/>
      <c r="T101" s="725"/>
      <c r="U101" s="725"/>
      <c r="V101" s="725"/>
      <c r="W101" s="725"/>
      <c r="X101" s="726"/>
      <c r="Y101" s="807">
        <v>6.9999999999999999E-4</v>
      </c>
      <c r="Z101" s="808"/>
      <c r="AA101" s="808"/>
      <c r="AB101" s="808"/>
      <c r="AC101" s="809"/>
      <c r="AD101" s="774">
        <f t="shared" si="1"/>
        <v>0.77210000000000001</v>
      </c>
      <c r="AE101" s="775"/>
      <c r="AF101" s="775"/>
      <c r="AG101" s="775"/>
      <c r="AH101" s="775"/>
      <c r="AI101" s="775"/>
      <c r="AJ101" s="776"/>
      <c r="AK101" s="130"/>
    </row>
    <row r="102" spans="1:37" ht="14.45" customHeight="1">
      <c r="A102" s="782" t="s">
        <v>273</v>
      </c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782"/>
      <c r="W102" s="782"/>
      <c r="X102" s="783"/>
      <c r="Y102" s="875">
        <f>SUM(Y96:AC101)</f>
        <v>0.10223333333333333</v>
      </c>
      <c r="Z102" s="876"/>
      <c r="AA102" s="876"/>
      <c r="AB102" s="876"/>
      <c r="AC102" s="877"/>
      <c r="AD102" s="784"/>
      <c r="AE102" s="785"/>
      <c r="AF102" s="785"/>
      <c r="AG102" s="785"/>
      <c r="AH102" s="785"/>
      <c r="AI102" s="785"/>
      <c r="AJ102" s="786"/>
      <c r="AK102" s="130"/>
    </row>
    <row r="103" spans="1:37" ht="14.45" customHeight="1">
      <c r="A103" s="680" t="s">
        <v>8</v>
      </c>
      <c r="B103" s="680"/>
      <c r="C103" s="878" t="s">
        <v>274</v>
      </c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07">
        <f>(Y102-Y100)*((1/12+1/12+(1/12*1/3)))</f>
        <v>1.9625925925925925E-2</v>
      </c>
      <c r="Z103" s="808"/>
      <c r="AA103" s="808"/>
      <c r="AB103" s="808"/>
      <c r="AC103" s="809"/>
      <c r="AD103" s="774">
        <f>AD45*Y103</f>
        <v>21.647396296296296</v>
      </c>
      <c r="AE103" s="775"/>
      <c r="AF103" s="775"/>
      <c r="AG103" s="775"/>
      <c r="AH103" s="775"/>
      <c r="AI103" s="775"/>
      <c r="AJ103" s="776"/>
      <c r="AK103" s="135"/>
    </row>
    <row r="104" spans="1:37" ht="14.45" customHeight="1">
      <c r="A104" s="782" t="s">
        <v>273</v>
      </c>
      <c r="B104" s="782"/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3"/>
      <c r="AD104" s="784"/>
      <c r="AE104" s="785"/>
      <c r="AF104" s="785"/>
      <c r="AG104" s="785"/>
      <c r="AH104" s="785"/>
      <c r="AI104" s="785"/>
      <c r="AJ104" s="786"/>
      <c r="AK104" s="130"/>
    </row>
    <row r="105" spans="1:37" ht="14.45" customHeight="1">
      <c r="A105" s="680" t="s">
        <v>10</v>
      </c>
      <c r="B105" s="680"/>
      <c r="C105" s="724" t="s">
        <v>275</v>
      </c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725"/>
      <c r="P105" s="725"/>
      <c r="Q105" s="725"/>
      <c r="R105" s="725"/>
      <c r="S105" s="725"/>
      <c r="T105" s="725"/>
      <c r="U105" s="725"/>
      <c r="V105" s="725"/>
      <c r="W105" s="725"/>
      <c r="X105" s="726"/>
      <c r="Y105" s="807">
        <f>Y64*Y102</f>
        <v>3.762186666666667E-2</v>
      </c>
      <c r="Z105" s="808"/>
      <c r="AA105" s="808"/>
      <c r="AB105" s="808"/>
      <c r="AC105" s="809"/>
      <c r="AD105" s="774">
        <f>Y105*AD45</f>
        <v>41.49691893333334</v>
      </c>
      <c r="AE105" s="775"/>
      <c r="AF105" s="775"/>
      <c r="AG105" s="775"/>
      <c r="AH105" s="775"/>
      <c r="AI105" s="775"/>
      <c r="AJ105" s="776"/>
      <c r="AK105" s="130"/>
    </row>
    <row r="106" spans="1:37" ht="14.45" customHeight="1">
      <c r="A106" s="728" t="s">
        <v>87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9"/>
      <c r="Y106" s="796">
        <f>SUM(Y96:AC101)+Y103+Y105</f>
        <v>0.15948112592592592</v>
      </c>
      <c r="Z106" s="797"/>
      <c r="AA106" s="797"/>
      <c r="AB106" s="797"/>
      <c r="AC106" s="798"/>
      <c r="AD106" s="691">
        <f>SUM(AD96:AJ105)</f>
        <v>175.90768189629631</v>
      </c>
      <c r="AE106" s="692"/>
      <c r="AF106" s="692"/>
      <c r="AG106" s="692"/>
      <c r="AH106" s="692"/>
      <c r="AI106" s="692"/>
      <c r="AJ106" s="693"/>
      <c r="AK106" s="130"/>
    </row>
    <row r="107" spans="1:37" ht="14.45" customHeight="1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77"/>
      <c r="AF107" s="777"/>
      <c r="AG107" s="777"/>
      <c r="AH107" s="777"/>
      <c r="AI107" s="777"/>
      <c r="AJ107" s="777"/>
    </row>
    <row r="108" spans="1:37" ht="14.45" customHeight="1">
      <c r="A108" s="748" t="s">
        <v>155</v>
      </c>
      <c r="B108" s="749"/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749"/>
      <c r="Q108" s="749"/>
      <c r="R108" s="749"/>
      <c r="S108" s="749"/>
      <c r="T108" s="749"/>
      <c r="U108" s="749"/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50"/>
    </row>
    <row r="109" spans="1:37" ht="14.45" customHeight="1">
      <c r="A109" s="751" t="s">
        <v>19</v>
      </c>
      <c r="B109" s="753"/>
      <c r="C109" s="748" t="s">
        <v>9</v>
      </c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749"/>
      <c r="Q109" s="749"/>
      <c r="R109" s="749"/>
      <c r="S109" s="749"/>
      <c r="T109" s="749"/>
      <c r="U109" s="749"/>
      <c r="V109" s="749"/>
      <c r="W109" s="749"/>
      <c r="X109" s="750"/>
      <c r="Y109" s="751" t="s">
        <v>82</v>
      </c>
      <c r="Z109" s="752"/>
      <c r="AA109" s="752"/>
      <c r="AB109" s="752"/>
      <c r="AC109" s="753"/>
      <c r="AD109" s="751" t="s">
        <v>83</v>
      </c>
      <c r="AE109" s="752"/>
      <c r="AF109" s="752"/>
      <c r="AG109" s="752"/>
      <c r="AH109" s="752"/>
      <c r="AI109" s="752"/>
      <c r="AJ109" s="753"/>
    </row>
    <row r="110" spans="1:37" ht="14.45" customHeight="1">
      <c r="A110" s="722" t="s">
        <v>0</v>
      </c>
      <c r="B110" s="723"/>
      <c r="C110" s="779" t="s">
        <v>100</v>
      </c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  <c r="AC110" s="781"/>
      <c r="AD110" s="774"/>
      <c r="AE110" s="775"/>
      <c r="AF110" s="775"/>
      <c r="AG110" s="775"/>
      <c r="AH110" s="775"/>
      <c r="AI110" s="775"/>
      <c r="AJ110" s="776"/>
    </row>
    <row r="111" spans="1:37" ht="14.45" customHeight="1">
      <c r="A111" s="728" t="s">
        <v>87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9"/>
      <c r="AD111" s="691">
        <f>SUM(AD110:AJ110)</f>
        <v>0</v>
      </c>
      <c r="AE111" s="692"/>
      <c r="AF111" s="692"/>
      <c r="AG111" s="692"/>
      <c r="AH111" s="692"/>
      <c r="AI111" s="692"/>
      <c r="AJ111" s="693"/>
    </row>
    <row r="112" spans="1:37" ht="14.45" customHeight="1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77"/>
      <c r="AF112" s="777"/>
      <c r="AG112" s="777"/>
      <c r="AH112" s="777"/>
      <c r="AI112" s="777"/>
      <c r="AJ112" s="777"/>
    </row>
    <row r="113" spans="1:37" ht="14.45" customHeight="1">
      <c r="A113" s="765" t="s">
        <v>101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7"/>
    </row>
    <row r="114" spans="1:37" ht="14.45" customHeight="1">
      <c r="A114" s="751">
        <v>4</v>
      </c>
      <c r="B114" s="753"/>
      <c r="C114" s="751" t="s">
        <v>102</v>
      </c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3"/>
      <c r="AD114" s="751" t="s">
        <v>83</v>
      </c>
      <c r="AE114" s="752"/>
      <c r="AF114" s="752"/>
      <c r="AG114" s="752"/>
      <c r="AH114" s="752"/>
      <c r="AI114" s="752"/>
      <c r="AJ114" s="753"/>
    </row>
    <row r="115" spans="1:37" ht="14.45" customHeight="1">
      <c r="A115" s="722" t="s">
        <v>14</v>
      </c>
      <c r="B115" s="723"/>
      <c r="C115" s="724" t="s">
        <v>99</v>
      </c>
      <c r="D115" s="725"/>
      <c r="E115" s="725"/>
      <c r="F115" s="725"/>
      <c r="G115" s="725"/>
      <c r="H115" s="725"/>
      <c r="I115" s="725"/>
      <c r="J115" s="725"/>
      <c r="K115" s="725"/>
      <c r="L115" s="725"/>
      <c r="M115" s="725"/>
      <c r="N115" s="725"/>
      <c r="O115" s="725"/>
      <c r="P115" s="725"/>
      <c r="Q115" s="725"/>
      <c r="R115" s="725"/>
      <c r="S115" s="725"/>
      <c r="T115" s="725"/>
      <c r="U115" s="725"/>
      <c r="V115" s="725"/>
      <c r="W115" s="725"/>
      <c r="X115" s="725"/>
      <c r="Y115" s="725"/>
      <c r="Z115" s="725"/>
      <c r="AA115" s="725"/>
      <c r="AB115" s="725"/>
      <c r="AC115" s="726"/>
      <c r="AD115" s="774">
        <f>AD106</f>
        <v>175.90768189629631</v>
      </c>
      <c r="AE115" s="775"/>
      <c r="AF115" s="775"/>
      <c r="AG115" s="775"/>
      <c r="AH115" s="775"/>
      <c r="AI115" s="775"/>
      <c r="AJ115" s="776"/>
    </row>
    <row r="116" spans="1:37" ht="14.45" customHeight="1">
      <c r="A116" s="722" t="s">
        <v>19</v>
      </c>
      <c r="B116" s="723"/>
      <c r="C116" s="724" t="s">
        <v>9</v>
      </c>
      <c r="D116" s="725"/>
      <c r="E116" s="725"/>
      <c r="F116" s="725"/>
      <c r="G116" s="725"/>
      <c r="H116" s="725"/>
      <c r="I116" s="725"/>
      <c r="J116" s="725"/>
      <c r="K116" s="725"/>
      <c r="L116" s="725"/>
      <c r="M116" s="725"/>
      <c r="N116" s="725"/>
      <c r="O116" s="725"/>
      <c r="P116" s="725"/>
      <c r="Q116" s="725"/>
      <c r="R116" s="725"/>
      <c r="S116" s="725"/>
      <c r="T116" s="725"/>
      <c r="U116" s="725"/>
      <c r="V116" s="725"/>
      <c r="W116" s="725"/>
      <c r="X116" s="725"/>
      <c r="Y116" s="725"/>
      <c r="Z116" s="725"/>
      <c r="AA116" s="725"/>
      <c r="AB116" s="725"/>
      <c r="AC116" s="726"/>
      <c r="AD116" s="774">
        <f>AD111</f>
        <v>0</v>
      </c>
      <c r="AE116" s="775"/>
      <c r="AF116" s="775"/>
      <c r="AG116" s="775"/>
      <c r="AH116" s="775"/>
      <c r="AI116" s="775"/>
      <c r="AJ116" s="776"/>
    </row>
    <row r="117" spans="1:37" ht="14.45" customHeight="1">
      <c r="A117" s="728" t="s">
        <v>87</v>
      </c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  <c r="AA117" s="728"/>
      <c r="AB117" s="728"/>
      <c r="AC117" s="729"/>
      <c r="AD117" s="691">
        <f>SUM(AD115:AJ116)</f>
        <v>175.90768189629631</v>
      </c>
      <c r="AE117" s="692"/>
      <c r="AF117" s="692"/>
      <c r="AG117" s="692"/>
      <c r="AH117" s="692"/>
      <c r="AI117" s="692"/>
      <c r="AJ117" s="693"/>
    </row>
    <row r="118" spans="1:37" ht="14.45" customHeight="1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77"/>
      <c r="AF118" s="777"/>
      <c r="AG118" s="777"/>
      <c r="AH118" s="777"/>
      <c r="AI118" s="777"/>
      <c r="AJ118" s="777"/>
    </row>
    <row r="119" spans="1:37" ht="14.45" customHeight="1">
      <c r="A119" s="765" t="s">
        <v>161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7"/>
    </row>
    <row r="120" spans="1:37" ht="14.45" customHeight="1">
      <c r="A120" s="751">
        <v>5</v>
      </c>
      <c r="B120" s="753"/>
      <c r="C120" s="67" t="s">
        <v>12</v>
      </c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9"/>
      <c r="AD120" s="751" t="s">
        <v>83</v>
      </c>
      <c r="AE120" s="752"/>
      <c r="AF120" s="752"/>
      <c r="AG120" s="752"/>
      <c r="AH120" s="752"/>
      <c r="AI120" s="752"/>
      <c r="AJ120" s="753"/>
    </row>
    <row r="121" spans="1:37" ht="14.45" customHeight="1">
      <c r="A121" s="722" t="s">
        <v>0</v>
      </c>
      <c r="B121" s="723"/>
      <c r="C121" s="724" t="s">
        <v>259</v>
      </c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6"/>
      <c r="AD121" s="771">
        <f>'Fardamentos e EPI´s - ASG'!H20</f>
        <v>135.04333333333332</v>
      </c>
      <c r="AE121" s="772"/>
      <c r="AF121" s="772"/>
      <c r="AG121" s="772"/>
      <c r="AH121" s="772"/>
      <c r="AI121" s="772"/>
      <c r="AJ121" s="773"/>
    </row>
    <row r="122" spans="1:37" ht="14.45" customHeight="1">
      <c r="A122" s="722" t="s">
        <v>1</v>
      </c>
      <c r="B122" s="723"/>
      <c r="C122" s="724" t="s">
        <v>13</v>
      </c>
      <c r="D122" s="725"/>
      <c r="E122" s="725"/>
      <c r="F122" s="725"/>
      <c r="G122" s="725"/>
      <c r="H122" s="725"/>
      <c r="I122" s="725"/>
      <c r="J122" s="725"/>
      <c r="K122" s="725"/>
      <c r="L122" s="725"/>
      <c r="M122" s="725"/>
      <c r="N122" s="725"/>
      <c r="O122" s="725"/>
      <c r="P122" s="725"/>
      <c r="Q122" s="725"/>
      <c r="R122" s="725"/>
      <c r="S122" s="725"/>
      <c r="T122" s="725"/>
      <c r="U122" s="725"/>
      <c r="V122" s="725"/>
      <c r="W122" s="725"/>
      <c r="X122" s="725"/>
      <c r="Y122" s="725"/>
      <c r="Z122" s="725"/>
      <c r="AA122" s="725"/>
      <c r="AB122" s="725"/>
      <c r="AC122" s="726"/>
      <c r="AD122" s="771"/>
      <c r="AE122" s="772"/>
      <c r="AF122" s="772"/>
      <c r="AG122" s="772"/>
      <c r="AH122" s="772"/>
      <c r="AI122" s="772"/>
      <c r="AJ122" s="773"/>
    </row>
    <row r="123" spans="1:37" ht="14.45" customHeight="1">
      <c r="A123" s="736" t="s">
        <v>2</v>
      </c>
      <c r="B123" s="737"/>
      <c r="C123" s="757" t="s">
        <v>260</v>
      </c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  <c r="V123" s="758"/>
      <c r="W123" s="758"/>
      <c r="X123" s="758"/>
      <c r="Y123" s="758"/>
      <c r="Z123" s="758"/>
      <c r="AA123" s="758"/>
      <c r="AB123" s="758"/>
      <c r="AC123" s="759"/>
      <c r="AD123" s="771">
        <f>'Equip. e Ferramentas - Preço'!O165</f>
        <v>155.14487882758621</v>
      </c>
      <c r="AE123" s="772"/>
      <c r="AF123" s="772"/>
      <c r="AG123" s="772"/>
      <c r="AH123" s="772"/>
      <c r="AI123" s="772"/>
      <c r="AJ123" s="773"/>
    </row>
    <row r="124" spans="1:37" ht="14.45" customHeight="1">
      <c r="A124" s="727" t="s">
        <v>21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  <c r="AA124" s="728"/>
      <c r="AB124" s="728"/>
      <c r="AC124" s="729"/>
      <c r="AD124" s="691">
        <f>SUM(AD121:AJ123)</f>
        <v>290.18821216091953</v>
      </c>
      <c r="AE124" s="692"/>
      <c r="AF124" s="692"/>
      <c r="AG124" s="692"/>
      <c r="AH124" s="692"/>
      <c r="AI124" s="692"/>
      <c r="AJ124" s="693"/>
    </row>
    <row r="125" spans="1:37" ht="14.45" customHeight="1"/>
    <row r="126" spans="1:37" ht="14.45" customHeight="1">
      <c r="A126" s="765" t="s">
        <v>103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6"/>
      <c r="M126" s="766"/>
      <c r="N126" s="766"/>
      <c r="O126" s="766"/>
      <c r="P126" s="766"/>
      <c r="Q126" s="766"/>
      <c r="R126" s="766"/>
      <c r="S126" s="766"/>
      <c r="T126" s="766"/>
      <c r="U126" s="766"/>
      <c r="V126" s="766"/>
      <c r="W126" s="766"/>
      <c r="X126" s="766"/>
      <c r="Y126" s="766"/>
      <c r="Z126" s="766"/>
      <c r="AA126" s="766"/>
      <c r="AB126" s="766"/>
      <c r="AC126" s="766"/>
      <c r="AD126" s="766"/>
      <c r="AE126" s="766"/>
      <c r="AF126" s="766"/>
      <c r="AG126" s="766"/>
      <c r="AH126" s="766"/>
      <c r="AI126" s="766"/>
      <c r="AJ126" s="767"/>
      <c r="AK126" s="130"/>
    </row>
    <row r="127" spans="1:37" ht="14.45" customHeight="1">
      <c r="A127" s="751">
        <v>6</v>
      </c>
      <c r="B127" s="753"/>
      <c r="C127" s="748" t="s">
        <v>104</v>
      </c>
      <c r="D127" s="749"/>
      <c r="E127" s="749"/>
      <c r="F127" s="749"/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50"/>
      <c r="Y127" s="751" t="s">
        <v>15</v>
      </c>
      <c r="Z127" s="752"/>
      <c r="AA127" s="752"/>
      <c r="AB127" s="752"/>
      <c r="AC127" s="753"/>
      <c r="AD127" s="751" t="s">
        <v>83</v>
      </c>
      <c r="AE127" s="752"/>
      <c r="AF127" s="752"/>
      <c r="AG127" s="752"/>
      <c r="AH127" s="752"/>
      <c r="AI127" s="752"/>
      <c r="AJ127" s="753"/>
      <c r="AK127" s="130"/>
    </row>
    <row r="128" spans="1:37" ht="14.45" customHeight="1">
      <c r="A128" s="736" t="s">
        <v>0</v>
      </c>
      <c r="B128" s="737"/>
      <c r="C128" s="757" t="s">
        <v>326</v>
      </c>
      <c r="D128" s="758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9"/>
      <c r="Y128" s="754">
        <v>0.03</v>
      </c>
      <c r="Z128" s="755"/>
      <c r="AA128" s="755"/>
      <c r="AB128" s="755"/>
      <c r="AC128" s="756"/>
      <c r="AD128" s="744">
        <f>($AD$124+$AD$81+$AD$91+$AD$117+$AD$45)*Y128</f>
        <v>80.775388155049825</v>
      </c>
      <c r="AE128" s="745"/>
      <c r="AF128" s="745"/>
      <c r="AG128" s="745"/>
      <c r="AH128" s="745"/>
      <c r="AI128" s="745"/>
      <c r="AJ128" s="746"/>
      <c r="AK128" s="130"/>
    </row>
    <row r="129" spans="1:37" ht="14.45" customHeight="1">
      <c r="A129" s="736" t="s">
        <v>1</v>
      </c>
      <c r="B129" s="737"/>
      <c r="C129" s="757" t="s">
        <v>325</v>
      </c>
      <c r="D129" s="758"/>
      <c r="E129" s="758"/>
      <c r="F129" s="758"/>
      <c r="G129" s="758"/>
      <c r="H129" s="758"/>
      <c r="I129" s="758"/>
      <c r="J129" s="758"/>
      <c r="K129" s="758"/>
      <c r="L129" s="758"/>
      <c r="M129" s="758"/>
      <c r="N129" s="758"/>
      <c r="O129" s="758"/>
      <c r="P129" s="758"/>
      <c r="Q129" s="758"/>
      <c r="R129" s="758"/>
      <c r="S129" s="758"/>
      <c r="T129" s="758"/>
      <c r="U129" s="758"/>
      <c r="V129" s="758"/>
      <c r="W129" s="758"/>
      <c r="X129" s="759"/>
      <c r="Y129" s="741">
        <v>6.7900000000000002E-2</v>
      </c>
      <c r="Z129" s="742"/>
      <c r="AA129" s="742"/>
      <c r="AB129" s="742"/>
      <c r="AC129" s="743"/>
      <c r="AD129" s="744">
        <f>($AD$124+$AD$81+$AD$91+$AD$117+$AD$45)*Y129</f>
        <v>182.82162852426276</v>
      </c>
      <c r="AE129" s="745"/>
      <c r="AF129" s="745"/>
      <c r="AG129" s="745"/>
      <c r="AH129" s="745"/>
      <c r="AI129" s="745"/>
      <c r="AJ129" s="746"/>
      <c r="AK129" s="130"/>
    </row>
    <row r="130" spans="1:37" ht="14.45" customHeight="1">
      <c r="A130" s="75"/>
      <c r="B130" s="76"/>
      <c r="C130" s="77" t="s">
        <v>105</v>
      </c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9"/>
      <c r="Y130" s="760">
        <f>Y132+Y133+Y134</f>
        <v>8.6499999999999994E-2</v>
      </c>
      <c r="Z130" s="761"/>
      <c r="AA130" s="761"/>
      <c r="AB130" s="761"/>
      <c r="AC130" s="762"/>
      <c r="AD130" s="80"/>
      <c r="AE130" s="81"/>
      <c r="AF130" s="81"/>
      <c r="AG130" s="81"/>
      <c r="AH130" s="81"/>
      <c r="AI130" s="81"/>
      <c r="AJ130" s="82"/>
      <c r="AK130" s="130"/>
    </row>
    <row r="131" spans="1:37" ht="14.45" customHeight="1">
      <c r="A131" s="763" t="s">
        <v>2</v>
      </c>
      <c r="B131" s="764"/>
      <c r="C131" s="768" t="s">
        <v>22</v>
      </c>
      <c r="D131" s="769"/>
      <c r="E131" s="769"/>
      <c r="F131" s="769"/>
      <c r="G131" s="769"/>
      <c r="H131" s="769"/>
      <c r="I131" s="769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69"/>
      <c r="V131" s="769"/>
      <c r="W131" s="769"/>
      <c r="X131" s="770"/>
      <c r="Y131" s="760" t="s">
        <v>15</v>
      </c>
      <c r="Z131" s="761"/>
      <c r="AA131" s="761"/>
      <c r="AB131" s="761"/>
      <c r="AC131" s="762"/>
      <c r="AD131" s="80"/>
      <c r="AE131" s="81"/>
      <c r="AF131" s="81"/>
      <c r="AG131" s="81"/>
      <c r="AH131" s="81"/>
      <c r="AI131" s="81"/>
      <c r="AJ131" s="82"/>
      <c r="AK131" s="130"/>
    </row>
    <row r="132" spans="1:37" ht="14.45" customHeight="1">
      <c r="A132" s="736" t="s">
        <v>23</v>
      </c>
      <c r="B132" s="737"/>
      <c r="C132" s="738" t="s">
        <v>267</v>
      </c>
      <c r="D132" s="739"/>
      <c r="E132" s="739"/>
      <c r="F132" s="739"/>
      <c r="G132" s="739"/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40"/>
      <c r="Y132" s="754">
        <v>0.03</v>
      </c>
      <c r="Z132" s="755"/>
      <c r="AA132" s="755"/>
      <c r="AB132" s="755"/>
      <c r="AC132" s="756"/>
      <c r="AD132" s="744">
        <f>AD147*Y132</f>
        <v>97.080786705450677</v>
      </c>
      <c r="AE132" s="745"/>
      <c r="AF132" s="745"/>
      <c r="AG132" s="745"/>
      <c r="AH132" s="745"/>
      <c r="AI132" s="745"/>
      <c r="AJ132" s="746"/>
      <c r="AK132" s="130"/>
    </row>
    <row r="133" spans="1:37" ht="14.45" customHeight="1">
      <c r="A133" s="736" t="s">
        <v>24</v>
      </c>
      <c r="B133" s="737"/>
      <c r="C133" s="738" t="s">
        <v>268</v>
      </c>
      <c r="D133" s="739"/>
      <c r="E133" s="739"/>
      <c r="F133" s="739"/>
      <c r="G133" s="739"/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40"/>
      <c r="Y133" s="754">
        <v>6.4999999999999997E-3</v>
      </c>
      <c r="Z133" s="755"/>
      <c r="AA133" s="755"/>
      <c r="AB133" s="755"/>
      <c r="AC133" s="756"/>
      <c r="AD133" s="744">
        <f>AD147*Y133</f>
        <v>21.034170452847647</v>
      </c>
      <c r="AE133" s="745"/>
      <c r="AF133" s="745"/>
      <c r="AG133" s="745"/>
      <c r="AH133" s="745"/>
      <c r="AI133" s="745"/>
      <c r="AJ133" s="746"/>
      <c r="AK133" s="134"/>
    </row>
    <row r="134" spans="1:37" ht="14.45" customHeight="1">
      <c r="A134" s="736" t="s">
        <v>25</v>
      </c>
      <c r="B134" s="737"/>
      <c r="C134" s="738" t="s">
        <v>269</v>
      </c>
      <c r="D134" s="739"/>
      <c r="E134" s="739"/>
      <c r="F134" s="739"/>
      <c r="G134" s="739"/>
      <c r="H134" s="739"/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40"/>
      <c r="Y134" s="741">
        <v>0.05</v>
      </c>
      <c r="Z134" s="742"/>
      <c r="AA134" s="742"/>
      <c r="AB134" s="742"/>
      <c r="AC134" s="743"/>
      <c r="AD134" s="744">
        <f>AD147*Y134</f>
        <v>161.80131117575115</v>
      </c>
      <c r="AE134" s="745"/>
      <c r="AF134" s="745"/>
      <c r="AG134" s="745"/>
      <c r="AH134" s="745"/>
      <c r="AI134" s="745"/>
      <c r="AJ134" s="746"/>
      <c r="AK134" s="130"/>
    </row>
    <row r="135" spans="1:37" ht="14.45" customHeight="1">
      <c r="A135" s="727" t="s">
        <v>21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9"/>
      <c r="AD135" s="747">
        <f>SUM(AD128:AJ134)</f>
        <v>543.51328501336207</v>
      </c>
      <c r="AE135" s="747"/>
      <c r="AF135" s="747"/>
      <c r="AG135" s="747"/>
      <c r="AH135" s="747"/>
      <c r="AI135" s="747"/>
      <c r="AJ135" s="747"/>
      <c r="AK135" s="130"/>
    </row>
    <row r="136" spans="1:37" ht="14.4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8"/>
      <c r="Z136" s="38"/>
      <c r="AA136" s="38"/>
      <c r="AB136" s="38"/>
      <c r="AC136" s="38"/>
      <c r="AD136" s="39"/>
      <c r="AE136" s="39"/>
      <c r="AF136" s="39"/>
      <c r="AG136" s="39"/>
      <c r="AH136" s="39"/>
      <c r="AI136" s="39"/>
      <c r="AJ136" s="39"/>
    </row>
    <row r="137" spans="1:37" ht="14.45" customHeight="1">
      <c r="A137" s="730" t="s">
        <v>106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2"/>
      <c r="AK137" s="130"/>
    </row>
    <row r="138" spans="1:37" ht="14.45" customHeight="1">
      <c r="A138" s="155"/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30"/>
    </row>
    <row r="139" spans="1:37" ht="14.45" customHeight="1">
      <c r="A139" s="748" t="s">
        <v>107</v>
      </c>
      <c r="B139" s="749"/>
      <c r="C139" s="749"/>
      <c r="D139" s="749"/>
      <c r="E139" s="749"/>
      <c r="F139" s="749"/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50"/>
      <c r="AD139" s="751" t="s">
        <v>83</v>
      </c>
      <c r="AE139" s="752"/>
      <c r="AF139" s="752"/>
      <c r="AG139" s="752"/>
      <c r="AH139" s="752"/>
      <c r="AI139" s="752"/>
      <c r="AJ139" s="753"/>
      <c r="AK139" s="130"/>
    </row>
    <row r="140" spans="1:37" ht="14.45" customHeight="1">
      <c r="A140" s="722" t="s">
        <v>0</v>
      </c>
      <c r="B140" s="723"/>
      <c r="C140" s="724" t="s">
        <v>108</v>
      </c>
      <c r="D140" s="725"/>
      <c r="E140" s="725"/>
      <c r="F140" s="725"/>
      <c r="G140" s="725"/>
      <c r="H140" s="725"/>
      <c r="I140" s="725"/>
      <c r="J140" s="725"/>
      <c r="K140" s="725"/>
      <c r="L140" s="725"/>
      <c r="M140" s="725"/>
      <c r="N140" s="725"/>
      <c r="O140" s="725"/>
      <c r="P140" s="725"/>
      <c r="Q140" s="725"/>
      <c r="R140" s="725"/>
      <c r="S140" s="725"/>
      <c r="T140" s="725"/>
      <c r="U140" s="725"/>
      <c r="V140" s="725"/>
      <c r="W140" s="725"/>
      <c r="X140" s="725"/>
      <c r="Y140" s="725"/>
      <c r="Z140" s="725"/>
      <c r="AA140" s="725"/>
      <c r="AB140" s="725"/>
      <c r="AC140" s="726"/>
      <c r="AD140" s="719">
        <f>AD$45</f>
        <v>1103</v>
      </c>
      <c r="AE140" s="720"/>
      <c r="AF140" s="720"/>
      <c r="AG140" s="720"/>
      <c r="AH140" s="720"/>
      <c r="AI140" s="720"/>
      <c r="AJ140" s="721"/>
      <c r="AK140" s="130"/>
    </row>
    <row r="141" spans="1:37" ht="14.45" customHeight="1">
      <c r="A141" s="722" t="s">
        <v>1</v>
      </c>
      <c r="B141" s="723"/>
      <c r="C141" s="724" t="s">
        <v>109</v>
      </c>
      <c r="D141" s="725"/>
      <c r="E141" s="725"/>
      <c r="F141" s="725"/>
      <c r="G141" s="725"/>
      <c r="H141" s="725"/>
      <c r="I141" s="725"/>
      <c r="J141" s="725"/>
      <c r="K141" s="725"/>
      <c r="L141" s="725"/>
      <c r="M141" s="725"/>
      <c r="N141" s="725"/>
      <c r="O141" s="725"/>
      <c r="P141" s="725"/>
      <c r="Q141" s="725"/>
      <c r="R141" s="725"/>
      <c r="S141" s="725"/>
      <c r="T141" s="725"/>
      <c r="U141" s="725"/>
      <c r="V141" s="725"/>
      <c r="W141" s="725"/>
      <c r="X141" s="725"/>
      <c r="Y141" s="725"/>
      <c r="Z141" s="725"/>
      <c r="AA141" s="725"/>
      <c r="AB141" s="725"/>
      <c r="AC141" s="726"/>
      <c r="AD141" s="719">
        <f>AD81</f>
        <v>1028.3800000000001</v>
      </c>
      <c r="AE141" s="720"/>
      <c r="AF141" s="720"/>
      <c r="AG141" s="720"/>
      <c r="AH141" s="720"/>
      <c r="AI141" s="720"/>
      <c r="AJ141" s="721"/>
      <c r="AK141" s="130"/>
    </row>
    <row r="142" spans="1:37" ht="14.45" customHeight="1">
      <c r="A142" s="722" t="s">
        <v>2</v>
      </c>
      <c r="B142" s="723"/>
      <c r="C142" s="724" t="s">
        <v>110</v>
      </c>
      <c r="D142" s="725"/>
      <c r="E142" s="725"/>
      <c r="F142" s="725"/>
      <c r="G142" s="725"/>
      <c r="H142" s="725"/>
      <c r="I142" s="725"/>
      <c r="J142" s="725"/>
      <c r="K142" s="725"/>
      <c r="L142" s="725"/>
      <c r="M142" s="725"/>
      <c r="N142" s="725"/>
      <c r="O142" s="725"/>
      <c r="P142" s="725"/>
      <c r="Q142" s="725"/>
      <c r="R142" s="725"/>
      <c r="S142" s="725"/>
      <c r="T142" s="725"/>
      <c r="U142" s="725"/>
      <c r="V142" s="725"/>
      <c r="W142" s="725"/>
      <c r="X142" s="725"/>
      <c r="Y142" s="725"/>
      <c r="Z142" s="725"/>
      <c r="AA142" s="725"/>
      <c r="AB142" s="725"/>
      <c r="AC142" s="726"/>
      <c r="AD142" s="719">
        <f>AD91</f>
        <v>95.037044444444447</v>
      </c>
      <c r="AE142" s="720"/>
      <c r="AF142" s="720"/>
      <c r="AG142" s="720"/>
      <c r="AH142" s="720"/>
      <c r="AI142" s="720"/>
      <c r="AJ142" s="721"/>
      <c r="AK142" s="130"/>
    </row>
    <row r="143" spans="1:37" ht="14.45" customHeight="1">
      <c r="A143" s="722" t="s">
        <v>3</v>
      </c>
      <c r="B143" s="723"/>
      <c r="C143" s="724" t="s">
        <v>111</v>
      </c>
      <c r="D143" s="725"/>
      <c r="E143" s="725"/>
      <c r="F143" s="725"/>
      <c r="G143" s="725"/>
      <c r="H143" s="725"/>
      <c r="I143" s="725"/>
      <c r="J143" s="725"/>
      <c r="K143" s="725"/>
      <c r="L143" s="725"/>
      <c r="M143" s="725"/>
      <c r="N143" s="725"/>
      <c r="O143" s="725"/>
      <c r="P143" s="725"/>
      <c r="Q143" s="725"/>
      <c r="R143" s="725"/>
      <c r="S143" s="725"/>
      <c r="T143" s="725"/>
      <c r="U143" s="725"/>
      <c r="V143" s="725"/>
      <c r="W143" s="725"/>
      <c r="X143" s="725"/>
      <c r="Y143" s="725"/>
      <c r="Z143" s="725"/>
      <c r="AA143" s="725"/>
      <c r="AB143" s="725"/>
      <c r="AC143" s="726"/>
      <c r="AD143" s="719">
        <f>AD117</f>
        <v>175.90768189629631</v>
      </c>
      <c r="AE143" s="720"/>
      <c r="AF143" s="720"/>
      <c r="AG143" s="720"/>
      <c r="AH143" s="720"/>
      <c r="AI143" s="720"/>
      <c r="AJ143" s="721"/>
      <c r="AK143" s="130"/>
    </row>
    <row r="144" spans="1:37" ht="14.45" customHeight="1">
      <c r="A144" s="722" t="s">
        <v>6</v>
      </c>
      <c r="B144" s="723"/>
      <c r="C144" s="724" t="s">
        <v>112</v>
      </c>
      <c r="D144" s="725"/>
      <c r="E144" s="725"/>
      <c r="F144" s="725"/>
      <c r="G144" s="725"/>
      <c r="H144" s="725"/>
      <c r="I144" s="725"/>
      <c r="J144" s="725"/>
      <c r="K144" s="725"/>
      <c r="L144" s="725"/>
      <c r="M144" s="725"/>
      <c r="N144" s="725"/>
      <c r="O144" s="725"/>
      <c r="P144" s="725"/>
      <c r="Q144" s="725"/>
      <c r="R144" s="725"/>
      <c r="S144" s="725"/>
      <c r="T144" s="725"/>
      <c r="U144" s="725"/>
      <c r="V144" s="725"/>
      <c r="W144" s="725"/>
      <c r="X144" s="725"/>
      <c r="Y144" s="725"/>
      <c r="Z144" s="725"/>
      <c r="AA144" s="725"/>
      <c r="AB144" s="725"/>
      <c r="AC144" s="726"/>
      <c r="AD144" s="719">
        <f>AD124</f>
        <v>290.18821216091953</v>
      </c>
      <c r="AE144" s="720"/>
      <c r="AF144" s="720"/>
      <c r="AG144" s="720"/>
      <c r="AH144" s="720"/>
      <c r="AI144" s="720"/>
      <c r="AJ144" s="721"/>
      <c r="AK144" s="130"/>
    </row>
    <row r="145" spans="1:37" ht="14.45" customHeight="1">
      <c r="A145" s="716" t="s">
        <v>21</v>
      </c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8"/>
      <c r="AD145" s="719">
        <f>SUM(AD140:AJ144)</f>
        <v>2692.5129385016603</v>
      </c>
      <c r="AE145" s="720"/>
      <c r="AF145" s="720"/>
      <c r="AG145" s="720"/>
      <c r="AH145" s="720"/>
      <c r="AI145" s="720"/>
      <c r="AJ145" s="721"/>
      <c r="AK145" s="130"/>
    </row>
    <row r="146" spans="1:37" ht="14.45" customHeight="1">
      <c r="A146" s="722" t="s">
        <v>7</v>
      </c>
      <c r="B146" s="723"/>
      <c r="C146" s="724" t="s">
        <v>113</v>
      </c>
      <c r="D146" s="725"/>
      <c r="E146" s="725"/>
      <c r="F146" s="725"/>
      <c r="G146" s="725"/>
      <c r="H146" s="725"/>
      <c r="I146" s="725"/>
      <c r="J146" s="725"/>
      <c r="K146" s="725"/>
      <c r="L146" s="725"/>
      <c r="M146" s="725"/>
      <c r="N146" s="725"/>
      <c r="O146" s="725"/>
      <c r="P146" s="725"/>
      <c r="Q146" s="725"/>
      <c r="R146" s="725"/>
      <c r="S146" s="725"/>
      <c r="T146" s="725"/>
      <c r="U146" s="725"/>
      <c r="V146" s="725"/>
      <c r="W146" s="725"/>
      <c r="X146" s="725"/>
      <c r="Y146" s="725"/>
      <c r="Z146" s="725"/>
      <c r="AA146" s="725"/>
      <c r="AB146" s="725"/>
      <c r="AC146" s="726"/>
      <c r="AD146" s="719">
        <f>AD135</f>
        <v>543.51328501336207</v>
      </c>
      <c r="AE146" s="720"/>
      <c r="AF146" s="720"/>
      <c r="AG146" s="720"/>
      <c r="AH146" s="720"/>
      <c r="AI146" s="720"/>
      <c r="AJ146" s="721"/>
      <c r="AK146" s="130"/>
    </row>
    <row r="147" spans="1:37" ht="14.45" customHeight="1">
      <c r="A147" s="727" t="s">
        <v>114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9"/>
      <c r="AD147" s="691">
        <f>(AD145+AD128+AD129)/(1-(SUM(Y132:AC134)))</f>
        <v>3236.0262235150226</v>
      </c>
      <c r="AE147" s="692"/>
      <c r="AF147" s="692"/>
      <c r="AG147" s="692"/>
      <c r="AH147" s="692"/>
      <c r="AI147" s="692"/>
      <c r="AJ147" s="693"/>
      <c r="AK147" s="130"/>
    </row>
    <row r="148" spans="1:37" ht="14.45" customHeight="1"/>
    <row r="149" spans="1:37" ht="14.45" customHeight="1">
      <c r="A149" s="730" t="s">
        <v>115</v>
      </c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2"/>
    </row>
    <row r="150" spans="1:37" ht="14.4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  <c r="AC150" s="682"/>
      <c r="AD150" s="682"/>
      <c r="AE150" s="682"/>
      <c r="AF150" s="682"/>
      <c r="AG150" s="682"/>
      <c r="AH150" s="682"/>
      <c r="AI150" s="682"/>
      <c r="AJ150" s="682"/>
    </row>
    <row r="151" spans="1:37" ht="34.15" customHeight="1">
      <c r="A151" s="688" t="s">
        <v>116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90"/>
      <c r="M151" s="733" t="s">
        <v>117</v>
      </c>
      <c r="N151" s="734"/>
      <c r="O151" s="734"/>
      <c r="P151" s="734"/>
      <c r="Q151" s="735"/>
      <c r="R151" s="733" t="s">
        <v>118</v>
      </c>
      <c r="S151" s="734"/>
      <c r="T151" s="734"/>
      <c r="U151" s="734"/>
      <c r="V151" s="735"/>
      <c r="W151" s="733" t="s">
        <v>119</v>
      </c>
      <c r="X151" s="734"/>
      <c r="Y151" s="734"/>
      <c r="Z151" s="734"/>
      <c r="AA151" s="735"/>
      <c r="AB151" s="733" t="s">
        <v>120</v>
      </c>
      <c r="AC151" s="734"/>
      <c r="AD151" s="735"/>
      <c r="AE151" s="733" t="s">
        <v>121</v>
      </c>
      <c r="AF151" s="734"/>
      <c r="AG151" s="734"/>
      <c r="AH151" s="734"/>
      <c r="AI151" s="734"/>
      <c r="AJ151" s="735"/>
    </row>
    <row r="152" spans="1:37" ht="14.45" customHeight="1">
      <c r="A152" s="694" t="s">
        <v>122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6"/>
      <c r="M152" s="697" t="s">
        <v>123</v>
      </c>
      <c r="N152" s="698"/>
      <c r="O152" s="698"/>
      <c r="P152" s="698"/>
      <c r="Q152" s="699"/>
      <c r="R152" s="697" t="s">
        <v>124</v>
      </c>
      <c r="S152" s="698"/>
      <c r="T152" s="698"/>
      <c r="U152" s="698"/>
      <c r="V152" s="699"/>
      <c r="W152" s="697" t="s">
        <v>125</v>
      </c>
      <c r="X152" s="698"/>
      <c r="Y152" s="698"/>
      <c r="Z152" s="698"/>
      <c r="AA152" s="699"/>
      <c r="AB152" s="697" t="s">
        <v>126</v>
      </c>
      <c r="AC152" s="698"/>
      <c r="AD152" s="699"/>
      <c r="AE152" s="694" t="s">
        <v>127</v>
      </c>
      <c r="AF152" s="695"/>
      <c r="AG152" s="695"/>
      <c r="AH152" s="695"/>
      <c r="AI152" s="695"/>
      <c r="AJ152" s="696"/>
    </row>
    <row r="153" spans="1:37" ht="34.15" customHeight="1">
      <c r="A153" s="701" t="str">
        <f>A24</f>
        <v>SERVIÇO DE LIMPEZA (JOÃO PESSOA)</v>
      </c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3"/>
      <c r="M153" s="704">
        <f>AD147</f>
        <v>3236.0262235150226</v>
      </c>
      <c r="N153" s="705"/>
      <c r="O153" s="705"/>
      <c r="P153" s="705"/>
      <c r="Q153" s="706"/>
      <c r="R153" s="707">
        <v>1</v>
      </c>
      <c r="S153" s="708"/>
      <c r="T153" s="708"/>
      <c r="U153" s="708"/>
      <c r="V153" s="709"/>
      <c r="W153" s="704">
        <f>M153*R153</f>
        <v>3236.0262235150226</v>
      </c>
      <c r="X153" s="705"/>
      <c r="Y153" s="705"/>
      <c r="Z153" s="705"/>
      <c r="AA153" s="706"/>
      <c r="AB153" s="710">
        <f>AD24</f>
        <v>1</v>
      </c>
      <c r="AC153" s="711"/>
      <c r="AD153" s="712"/>
      <c r="AE153" s="713">
        <f>W153*AB153</f>
        <v>3236.0262235150226</v>
      </c>
      <c r="AF153" s="714"/>
      <c r="AG153" s="714"/>
      <c r="AH153" s="714"/>
      <c r="AI153" s="714"/>
      <c r="AJ153" s="715"/>
    </row>
    <row r="154" spans="1:37" ht="14.45" customHeight="1">
      <c r="A154" s="685" t="s">
        <v>128</v>
      </c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6">
        <f>SUM(ROUND((AE153),2))</f>
        <v>3236.03</v>
      </c>
      <c r="AF154" s="686"/>
      <c r="AG154" s="686"/>
      <c r="AH154" s="686"/>
      <c r="AI154" s="686"/>
      <c r="AJ154" s="686"/>
    </row>
    <row r="155" spans="1:37" ht="14.45" customHeight="1"/>
    <row r="156" spans="1:37" ht="14.45" customHeight="1">
      <c r="A156" s="687" t="s">
        <v>129</v>
      </c>
      <c r="B156" s="687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687"/>
      <c r="Z156" s="687"/>
      <c r="AA156" s="687"/>
      <c r="AB156" s="687"/>
      <c r="AC156" s="687"/>
      <c r="AD156" s="687"/>
      <c r="AE156" s="687"/>
      <c r="AF156" s="687"/>
      <c r="AG156" s="687"/>
      <c r="AH156" s="687"/>
      <c r="AI156" s="687"/>
      <c r="AJ156" s="687"/>
    </row>
    <row r="157" spans="1:37" ht="14.4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</row>
    <row r="158" spans="1:37" ht="14.45" customHeight="1">
      <c r="A158" s="688" t="s">
        <v>130</v>
      </c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  <c r="L158" s="689"/>
      <c r="M158" s="689"/>
      <c r="N158" s="689"/>
      <c r="O158" s="689"/>
      <c r="P158" s="689"/>
      <c r="Q158" s="689"/>
      <c r="R158" s="689"/>
      <c r="S158" s="689"/>
      <c r="T158" s="689"/>
      <c r="U158" s="689"/>
      <c r="V158" s="689"/>
      <c r="W158" s="689"/>
      <c r="X158" s="689"/>
      <c r="Y158" s="689"/>
      <c r="Z158" s="689"/>
      <c r="AA158" s="689"/>
      <c r="AB158" s="689"/>
      <c r="AC158" s="690"/>
      <c r="AD158" s="691" t="s">
        <v>5</v>
      </c>
      <c r="AE158" s="692"/>
      <c r="AF158" s="692"/>
      <c r="AG158" s="692"/>
      <c r="AH158" s="692"/>
      <c r="AI158" s="692"/>
      <c r="AJ158" s="693"/>
    </row>
    <row r="159" spans="1:37" ht="14.45" customHeight="1">
      <c r="A159" s="680" t="s">
        <v>0</v>
      </c>
      <c r="B159" s="680"/>
      <c r="C159" s="681" t="s">
        <v>131</v>
      </c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  <c r="AC159" s="683"/>
      <c r="AD159" s="700">
        <f>AE154</f>
        <v>3236.03</v>
      </c>
      <c r="AE159" s="700"/>
      <c r="AF159" s="700"/>
      <c r="AG159" s="700"/>
      <c r="AH159" s="700"/>
      <c r="AI159" s="700"/>
      <c r="AJ159" s="700"/>
    </row>
    <row r="160" spans="1:37" ht="14.45" customHeight="1">
      <c r="A160" s="680" t="s">
        <v>2</v>
      </c>
      <c r="B160" s="680"/>
      <c r="C160" s="681" t="s">
        <v>156</v>
      </c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  <c r="AC160" s="683"/>
      <c r="AD160" s="684">
        <f>AD159*AD19</f>
        <v>116497.08</v>
      </c>
      <c r="AE160" s="684"/>
      <c r="AF160" s="684"/>
      <c r="AG160" s="684"/>
      <c r="AH160" s="684"/>
      <c r="AI160" s="684"/>
      <c r="AJ160" s="684"/>
    </row>
  </sheetData>
  <mergeCells count="392">
    <mergeCell ref="A160:B160"/>
    <mergeCell ref="C160:AC160"/>
    <mergeCell ref="AD160:AJ160"/>
    <mergeCell ref="A154:AD154"/>
    <mergeCell ref="AE154:AJ154"/>
    <mergeCell ref="A156:AJ156"/>
    <mergeCell ref="A158:AC158"/>
    <mergeCell ref="AD158:AJ158"/>
    <mergeCell ref="A159:B159"/>
    <mergeCell ref="C159:AC159"/>
    <mergeCell ref="AD159:AJ159"/>
    <mergeCell ref="A153:L153"/>
    <mergeCell ref="M153:Q153"/>
    <mergeCell ref="R153:V153"/>
    <mergeCell ref="W153:AA153"/>
    <mergeCell ref="AB153:AD153"/>
    <mergeCell ref="AE153:AJ153"/>
    <mergeCell ref="A152:L152"/>
    <mergeCell ref="M152:Q152"/>
    <mergeCell ref="R152:V152"/>
    <mergeCell ref="W152:AA152"/>
    <mergeCell ref="AB152:AD152"/>
    <mergeCell ref="AE152:AJ152"/>
    <mergeCell ref="A149:AJ149"/>
    <mergeCell ref="A150:AJ150"/>
    <mergeCell ref="A151:L151"/>
    <mergeCell ref="M151:Q151"/>
    <mergeCell ref="R151:V151"/>
    <mergeCell ref="W151:AA151"/>
    <mergeCell ref="AB151:AD151"/>
    <mergeCell ref="AE151:AJ151"/>
    <mergeCell ref="A145:AC145"/>
    <mergeCell ref="AD145:AJ145"/>
    <mergeCell ref="A146:B146"/>
    <mergeCell ref="C146:AC146"/>
    <mergeCell ref="AD146:AJ146"/>
    <mergeCell ref="A147:AC147"/>
    <mergeCell ref="AD147:AJ147"/>
    <mergeCell ref="A143:B143"/>
    <mergeCell ref="C143:AC143"/>
    <mergeCell ref="AD143:AJ143"/>
    <mergeCell ref="A144:B144"/>
    <mergeCell ref="C144:AC144"/>
    <mergeCell ref="AD144:AJ144"/>
    <mergeCell ref="A141:B141"/>
    <mergeCell ref="C141:AC141"/>
    <mergeCell ref="AD141:AJ141"/>
    <mergeCell ref="A142:B142"/>
    <mergeCell ref="C142:AC142"/>
    <mergeCell ref="AD142:AJ142"/>
    <mergeCell ref="A135:AC135"/>
    <mergeCell ref="AD135:AJ135"/>
    <mergeCell ref="A137:AJ137"/>
    <mergeCell ref="A139:AC139"/>
    <mergeCell ref="AD139:AJ139"/>
    <mergeCell ref="A140:B140"/>
    <mergeCell ref="C140:AC140"/>
    <mergeCell ref="AD140:AJ140"/>
    <mergeCell ref="AD132:AJ132"/>
    <mergeCell ref="A133:B133"/>
    <mergeCell ref="C133:X133"/>
    <mergeCell ref="Y133:AC133"/>
    <mergeCell ref="AD133:AJ133"/>
    <mergeCell ref="A134:B134"/>
    <mergeCell ref="C134:X134"/>
    <mergeCell ref="Y134:AC134"/>
    <mergeCell ref="AD134:AJ134"/>
    <mergeCell ref="Y130:AC130"/>
    <mergeCell ref="A131:B131"/>
    <mergeCell ref="C131:X131"/>
    <mergeCell ref="Y131:AC131"/>
    <mergeCell ref="A132:B132"/>
    <mergeCell ref="C132:X132"/>
    <mergeCell ref="Y132:AC132"/>
    <mergeCell ref="A128:B128"/>
    <mergeCell ref="C128:X128"/>
    <mergeCell ref="Y128:AC128"/>
    <mergeCell ref="AD128:AJ128"/>
    <mergeCell ref="A129:B129"/>
    <mergeCell ref="C129:X129"/>
    <mergeCell ref="Y129:AC129"/>
    <mergeCell ref="AD129:AJ129"/>
    <mergeCell ref="A124:AC124"/>
    <mergeCell ref="AD124:AJ124"/>
    <mergeCell ref="A126:AJ126"/>
    <mergeCell ref="A127:B127"/>
    <mergeCell ref="C127:X127"/>
    <mergeCell ref="Y127:AC127"/>
    <mergeCell ref="AD127:AJ127"/>
    <mergeCell ref="A122:B122"/>
    <mergeCell ref="C122:AC122"/>
    <mergeCell ref="AD122:AJ122"/>
    <mergeCell ref="A123:B123"/>
    <mergeCell ref="C123:AC123"/>
    <mergeCell ref="AD123:AJ123"/>
    <mergeCell ref="A119:AJ119"/>
    <mergeCell ref="A120:B120"/>
    <mergeCell ref="AD120:AJ120"/>
    <mergeCell ref="A121:B121"/>
    <mergeCell ref="C121:AC121"/>
    <mergeCell ref="AD121:AJ121"/>
    <mergeCell ref="A116:B116"/>
    <mergeCell ref="C116:AC116"/>
    <mergeCell ref="AD116:AJ116"/>
    <mergeCell ref="A117:AC117"/>
    <mergeCell ref="AD117:AJ117"/>
    <mergeCell ref="A118:AJ118"/>
    <mergeCell ref="A113:AJ113"/>
    <mergeCell ref="A114:B114"/>
    <mergeCell ref="C114:AC114"/>
    <mergeCell ref="AD114:AJ114"/>
    <mergeCell ref="A115:B115"/>
    <mergeCell ref="C115:AC115"/>
    <mergeCell ref="AD115:AJ115"/>
    <mergeCell ref="A110:B110"/>
    <mergeCell ref="C110:AC110"/>
    <mergeCell ref="AD110:AJ110"/>
    <mergeCell ref="A111:AC111"/>
    <mergeCell ref="AD111:AJ111"/>
    <mergeCell ref="A112:AJ112"/>
    <mergeCell ref="A106:X106"/>
    <mergeCell ref="Y106:AC106"/>
    <mergeCell ref="AD106:AJ106"/>
    <mergeCell ref="A107:AJ107"/>
    <mergeCell ref="A108:AJ108"/>
    <mergeCell ref="A109:B109"/>
    <mergeCell ref="C109:X109"/>
    <mergeCell ref="Y109:AC109"/>
    <mergeCell ref="AD109:AJ109"/>
    <mergeCell ref="A104:AC104"/>
    <mergeCell ref="AD104:AJ104"/>
    <mergeCell ref="A105:B105"/>
    <mergeCell ref="C105:X105"/>
    <mergeCell ref="Y105:AC105"/>
    <mergeCell ref="AD105:AJ105"/>
    <mergeCell ref="A102:X102"/>
    <mergeCell ref="Y102:AC102"/>
    <mergeCell ref="AD102:AJ102"/>
    <mergeCell ref="A103:B103"/>
    <mergeCell ref="C103:X103"/>
    <mergeCell ref="Y103:AC103"/>
    <mergeCell ref="AD103:AJ103"/>
    <mergeCell ref="A100:B100"/>
    <mergeCell ref="C100:X100"/>
    <mergeCell ref="Y100:AC100"/>
    <mergeCell ref="AD100:AJ100"/>
    <mergeCell ref="A101:B101"/>
    <mergeCell ref="C101:X101"/>
    <mergeCell ref="Y101:AC101"/>
    <mergeCell ref="AD101:AJ101"/>
    <mergeCell ref="A98:B98"/>
    <mergeCell ref="C98:X98"/>
    <mergeCell ref="Y98:AC98"/>
    <mergeCell ref="AD98:AJ98"/>
    <mergeCell ref="A99:B99"/>
    <mergeCell ref="C99:X99"/>
    <mergeCell ref="Y99:AC99"/>
    <mergeCell ref="AD99:AJ99"/>
    <mergeCell ref="A96:B96"/>
    <mergeCell ref="C96:X96"/>
    <mergeCell ref="Y96:AC96"/>
    <mergeCell ref="AD96:AJ96"/>
    <mergeCell ref="A97:B97"/>
    <mergeCell ref="C97:X97"/>
    <mergeCell ref="Y97:AC97"/>
    <mergeCell ref="AD97:AJ97"/>
    <mergeCell ref="A92:AJ92"/>
    <mergeCell ref="A93:AJ93"/>
    <mergeCell ref="A94:AJ94"/>
    <mergeCell ref="A95:B95"/>
    <mergeCell ref="C95:X95"/>
    <mergeCell ref="Y95:AC95"/>
    <mergeCell ref="AD95:AJ95"/>
    <mergeCell ref="A90:B90"/>
    <mergeCell ref="C90:X90"/>
    <mergeCell ref="Y90:AC90"/>
    <mergeCell ref="AD90:AJ90"/>
    <mergeCell ref="A91:X91"/>
    <mergeCell ref="Y91:AC91"/>
    <mergeCell ref="AD91:AJ91"/>
    <mergeCell ref="A88:B88"/>
    <mergeCell ref="C88:X88"/>
    <mergeCell ref="Y88:AC88"/>
    <mergeCell ref="AD88:AJ88"/>
    <mergeCell ref="A89:B89"/>
    <mergeCell ref="C89:X89"/>
    <mergeCell ref="Y89:AC89"/>
    <mergeCell ref="AD89:AJ89"/>
    <mergeCell ref="A86:B86"/>
    <mergeCell ref="C86:X86"/>
    <mergeCell ref="Y86:AC86"/>
    <mergeCell ref="AD86:AJ86"/>
    <mergeCell ref="A87:B87"/>
    <mergeCell ref="C87:X87"/>
    <mergeCell ref="Y87:AC87"/>
    <mergeCell ref="AD87:AJ87"/>
    <mergeCell ref="A83:AJ83"/>
    <mergeCell ref="A84:B84"/>
    <mergeCell ref="C84:X84"/>
    <mergeCell ref="Y84:AC84"/>
    <mergeCell ref="AD84:AJ84"/>
    <mergeCell ref="A85:B85"/>
    <mergeCell ref="C85:X85"/>
    <mergeCell ref="Y85:AC85"/>
    <mergeCell ref="AD85:AJ85"/>
    <mergeCell ref="A80:B80"/>
    <mergeCell ref="C80:AC80"/>
    <mergeCell ref="AD80:AJ80"/>
    <mergeCell ref="A81:AC81"/>
    <mergeCell ref="AD81:AJ81"/>
    <mergeCell ref="A82:AJ82"/>
    <mergeCell ref="A78:B78"/>
    <mergeCell ref="C78:AC78"/>
    <mergeCell ref="AD78:AJ78"/>
    <mergeCell ref="A79:B79"/>
    <mergeCell ref="C79:AC79"/>
    <mergeCell ref="AD79:AJ79"/>
    <mergeCell ref="A74:AC74"/>
    <mergeCell ref="AD74:AJ74"/>
    <mergeCell ref="A75:AJ75"/>
    <mergeCell ref="A76:AJ76"/>
    <mergeCell ref="A77:B77"/>
    <mergeCell ref="C77:AC77"/>
    <mergeCell ref="AD77:AJ77"/>
    <mergeCell ref="A72:B72"/>
    <mergeCell ref="C72:AC72"/>
    <mergeCell ref="AD72:AJ72"/>
    <mergeCell ref="A73:B73"/>
    <mergeCell ref="C73:AC73"/>
    <mergeCell ref="AD73:AJ73"/>
    <mergeCell ref="A70:B70"/>
    <mergeCell ref="C70:AC70"/>
    <mergeCell ref="AD70:AJ70"/>
    <mergeCell ref="A71:B71"/>
    <mergeCell ref="C71:AC71"/>
    <mergeCell ref="AD71:AJ71"/>
    <mergeCell ref="A68:B68"/>
    <mergeCell ref="C68:AC68"/>
    <mergeCell ref="AD68:AJ68"/>
    <mergeCell ref="A69:B69"/>
    <mergeCell ref="C69:AC69"/>
    <mergeCell ref="AD69:AJ69"/>
    <mergeCell ref="A64:X64"/>
    <mergeCell ref="Y64:AC64"/>
    <mergeCell ref="AD64:AJ64"/>
    <mergeCell ref="A66:AJ66"/>
    <mergeCell ref="A67:B67"/>
    <mergeCell ref="C67:AC67"/>
    <mergeCell ref="AD67:AJ67"/>
    <mergeCell ref="A62:B62"/>
    <mergeCell ref="C62:X62"/>
    <mergeCell ref="Y62:AC62"/>
    <mergeCell ref="AD62:AJ62"/>
    <mergeCell ref="A63:B63"/>
    <mergeCell ref="C63:X63"/>
    <mergeCell ref="Y63:AC63"/>
    <mergeCell ref="AD63:AJ63"/>
    <mergeCell ref="A60:B60"/>
    <mergeCell ref="C60:X60"/>
    <mergeCell ref="Y60:AC60"/>
    <mergeCell ref="AD60:AJ60"/>
    <mergeCell ref="A61:B61"/>
    <mergeCell ref="C61:X61"/>
    <mergeCell ref="Y61:AC61"/>
    <mergeCell ref="AD61:AJ61"/>
    <mergeCell ref="A58:B58"/>
    <mergeCell ref="C58:X58"/>
    <mergeCell ref="Y58:AC58"/>
    <mergeCell ref="AD58:AJ58"/>
    <mergeCell ref="A59:B59"/>
    <mergeCell ref="C59:X59"/>
    <mergeCell ref="Y59:AC59"/>
    <mergeCell ref="AD59:AJ59"/>
    <mergeCell ref="A56:B56"/>
    <mergeCell ref="C56:X56"/>
    <mergeCell ref="Y56:AC56"/>
    <mergeCell ref="AD56:AJ56"/>
    <mergeCell ref="A57:B57"/>
    <mergeCell ref="C57:X57"/>
    <mergeCell ref="Y57:AC57"/>
    <mergeCell ref="AD57:AJ57"/>
    <mergeCell ref="A52:X52"/>
    <mergeCell ref="Y52:AC52"/>
    <mergeCell ref="AD52:AJ52"/>
    <mergeCell ref="A54:AJ54"/>
    <mergeCell ref="A55:B55"/>
    <mergeCell ref="C55:X55"/>
    <mergeCell ref="Y55:AC55"/>
    <mergeCell ref="AD55:AJ55"/>
    <mergeCell ref="A50:B50"/>
    <mergeCell ref="C50:X50"/>
    <mergeCell ref="Y50:AC50"/>
    <mergeCell ref="AD50:AJ50"/>
    <mergeCell ref="A51:B51"/>
    <mergeCell ref="C51:X51"/>
    <mergeCell ref="Y51:AC51"/>
    <mergeCell ref="AD51:AJ51"/>
    <mergeCell ref="A47:AJ47"/>
    <mergeCell ref="A48:AJ48"/>
    <mergeCell ref="A49:B49"/>
    <mergeCell ref="C49:X49"/>
    <mergeCell ref="Y49:AC49"/>
    <mergeCell ref="AD49:AJ49"/>
    <mergeCell ref="A44:B44"/>
    <mergeCell ref="C44:X44"/>
    <mergeCell ref="Y44:AC44"/>
    <mergeCell ref="AD44:AJ44"/>
    <mergeCell ref="A45:AC45"/>
    <mergeCell ref="AD45:AJ45"/>
    <mergeCell ref="A42:B42"/>
    <mergeCell ref="C42:X42"/>
    <mergeCell ref="Y42:AC42"/>
    <mergeCell ref="AD42:AJ42"/>
    <mergeCell ref="A43:B43"/>
    <mergeCell ref="C43:X43"/>
    <mergeCell ref="Y43:AC43"/>
    <mergeCell ref="AD43:AJ43"/>
    <mergeCell ref="A40:B40"/>
    <mergeCell ref="C40:X40"/>
    <mergeCell ref="Y40:AC40"/>
    <mergeCell ref="AD40:AJ40"/>
    <mergeCell ref="A41:B41"/>
    <mergeCell ref="C41:X41"/>
    <mergeCell ref="Y41:AC41"/>
    <mergeCell ref="AD41:AJ41"/>
    <mergeCell ref="A38:B38"/>
    <mergeCell ref="C38:X38"/>
    <mergeCell ref="Y38:AC38"/>
    <mergeCell ref="AD38:AJ38"/>
    <mergeCell ref="A39:B39"/>
    <mergeCell ref="C39:X39"/>
    <mergeCell ref="Y39:AC39"/>
    <mergeCell ref="AD39:AJ39"/>
    <mergeCell ref="A34:B34"/>
    <mergeCell ref="C34:AC34"/>
    <mergeCell ref="AD34:AJ34"/>
    <mergeCell ref="A36:AJ36"/>
    <mergeCell ref="A37:B37"/>
    <mergeCell ref="C37:X37"/>
    <mergeCell ref="Y37:AC37"/>
    <mergeCell ref="AD37:AJ37"/>
    <mergeCell ref="A32:B32"/>
    <mergeCell ref="C32:AC32"/>
    <mergeCell ref="AD32:AJ32"/>
    <mergeCell ref="A33:B33"/>
    <mergeCell ref="C33:AC33"/>
    <mergeCell ref="AD33:AJ33"/>
    <mergeCell ref="A30:B30"/>
    <mergeCell ref="C30:AC30"/>
    <mergeCell ref="AD30:AJ30"/>
    <mergeCell ref="A31:B31"/>
    <mergeCell ref="C31:AC31"/>
    <mergeCell ref="AD31:AJ31"/>
    <mergeCell ref="A24:X24"/>
    <mergeCell ref="Y24:AC24"/>
    <mergeCell ref="AD24:AJ24"/>
    <mergeCell ref="A26:AJ26"/>
    <mergeCell ref="A28:AJ28"/>
    <mergeCell ref="A29:AJ29"/>
    <mergeCell ref="C20:Z20"/>
    <mergeCell ref="A21:AJ21"/>
    <mergeCell ref="A22:P22"/>
    <mergeCell ref="Q22:AJ22"/>
    <mergeCell ref="A23:X23"/>
    <mergeCell ref="Y23:AC23"/>
    <mergeCell ref="AD23:AJ23"/>
    <mergeCell ref="A18:B18"/>
    <mergeCell ref="C18:AC18"/>
    <mergeCell ref="AD18:AJ18"/>
    <mergeCell ref="A19:B19"/>
    <mergeCell ref="C19:AC19"/>
    <mergeCell ref="AD19:AJ19"/>
    <mergeCell ref="A13:AJ13"/>
    <mergeCell ref="A15:AJ15"/>
    <mergeCell ref="A16:B16"/>
    <mergeCell ref="C16:AC16"/>
    <mergeCell ref="AD16:AJ16"/>
    <mergeCell ref="A17:B17"/>
    <mergeCell ref="C17:AC17"/>
    <mergeCell ref="AD17:AJ17"/>
    <mergeCell ref="A7:AJ7"/>
    <mergeCell ref="A8:AJ8"/>
    <mergeCell ref="A9:AJ9"/>
    <mergeCell ref="A10:AJ10"/>
    <mergeCell ref="A11:AJ11"/>
    <mergeCell ref="A12:AJ12"/>
    <mergeCell ref="A1:AJ1"/>
    <mergeCell ref="A2:AJ2"/>
    <mergeCell ref="A3:AJ3"/>
    <mergeCell ref="A4:AJ4"/>
    <mergeCell ref="A5:AJ5"/>
    <mergeCell ref="A6:AJ6"/>
  </mergeCells>
  <printOptions horizontalCentered="1"/>
  <pageMargins left="0.51181102362204722" right="0.51181102362204722" top="0.39" bottom="0.78740157480314965" header="0.31496062992125984" footer="0.31496062992125984"/>
  <pageSetup paperSize="9" scale="65" orientation="portrait" r:id="rId1"/>
  <headerFooter>
    <oddFooter>&amp;L&amp;F&amp;C&amp;P/&amp;N&amp;R&amp;A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44</vt:i4>
      </vt:variant>
      <vt:variant>
        <vt:lpstr>Intervalos nomeados</vt:lpstr>
      </vt:variant>
      <vt:variant>
        <vt:i4>27</vt:i4>
      </vt:variant>
    </vt:vector>
  </HeadingPairs>
  <TitlesOfParts>
    <vt:vector size="71" baseType="lpstr">
      <vt:lpstr>Capa Planilha de Custos</vt:lpstr>
      <vt:lpstr>Valor Global (2)</vt:lpstr>
      <vt:lpstr>Consolidado Mão de Obra</vt:lpstr>
      <vt:lpstr>Capa Composição Mão de Obra</vt:lpstr>
      <vt:lpstr>Supervisor Adm JPA</vt:lpstr>
      <vt:lpstr>ASG Superv Aux JPA</vt:lpstr>
      <vt:lpstr>ALIS Insalub JPA</vt:lpstr>
      <vt:lpstr>ALIS Insalub CG</vt:lpstr>
      <vt:lpstr>ASG JPA</vt:lpstr>
      <vt:lpstr>ASG CG</vt:lpstr>
      <vt:lpstr>ASG MON</vt:lpstr>
      <vt:lpstr>ASG SSA</vt:lpstr>
      <vt:lpstr>ASG Ad Insalub JPA</vt:lpstr>
      <vt:lpstr>ASG Insalub GUA</vt:lpstr>
      <vt:lpstr>ASG Insal MON</vt:lpstr>
      <vt:lpstr>ASG Insalub PTS</vt:lpstr>
      <vt:lpstr>ASG Insalub SSA</vt:lpstr>
      <vt:lpstr>Jardineiro JPA</vt:lpstr>
      <vt:lpstr>Jardineiro CG</vt:lpstr>
      <vt:lpstr>Copeiragem JPA</vt:lpstr>
      <vt:lpstr>Copeiragem CG</vt:lpstr>
      <vt:lpstr>Recepcionista JPA</vt:lpstr>
      <vt:lpstr>Recepcionista CG</vt:lpstr>
      <vt:lpstr>Recepcionista Grtf CG</vt:lpstr>
      <vt:lpstr>Recepcionista Grtf GUA</vt:lpstr>
      <vt:lpstr>Recepcionista Grtf MON</vt:lpstr>
      <vt:lpstr>Recepcionista Grtf PTS</vt:lpstr>
      <vt:lpstr>Recepcionista Grtf SSA</vt:lpstr>
      <vt:lpstr>Capa Composição Farda e EPI</vt:lpstr>
      <vt:lpstr>Fardamentos EPI´s Supervisores</vt:lpstr>
      <vt:lpstr>Fardamentos e EPI´s - ALIS</vt:lpstr>
      <vt:lpstr>Fardamentos e EPI´s - ASG</vt:lpstr>
      <vt:lpstr>Fardamentos e EPI´s - Jardinei</vt:lpstr>
      <vt:lpstr>Fardamentos e EPI´s - Copeira</vt:lpstr>
      <vt:lpstr>Fardamentos e EPI´s - Recepcio</vt:lpstr>
      <vt:lpstr>Fardamentos e EPI´s - PESQUISA</vt:lpstr>
      <vt:lpstr>Capa Composição Equip. &amp; Ferr.</vt:lpstr>
      <vt:lpstr>Equip. e Ferramentas - Preço</vt:lpstr>
      <vt:lpstr>Equip Diversos Jardinagem</vt:lpstr>
      <vt:lpstr>Capa Custos Deslocamento</vt:lpstr>
      <vt:lpstr>Custos com Deslocamento</vt:lpstr>
      <vt:lpstr>Capa Distribuição Terceirizados</vt:lpstr>
      <vt:lpstr>Distribuição Terceirizados</vt:lpstr>
      <vt:lpstr>Valor Global</vt:lpstr>
      <vt:lpstr>'ALIS Insalub CG'!Area_de_impressao</vt:lpstr>
      <vt:lpstr>'ALIS Insalub JPA'!Area_de_impressao</vt:lpstr>
      <vt:lpstr>'ASG Ad Insalub JPA'!Area_de_impressao</vt:lpstr>
      <vt:lpstr>'ASG CG'!Area_de_impressao</vt:lpstr>
      <vt:lpstr>'ASG Insal MON'!Area_de_impressao</vt:lpstr>
      <vt:lpstr>'ASG Insalub GUA'!Area_de_impressao</vt:lpstr>
      <vt:lpstr>'ASG Insalub PTS'!Area_de_impressao</vt:lpstr>
      <vt:lpstr>'ASG Insalub SSA'!Area_de_impressao</vt:lpstr>
      <vt:lpstr>'ASG JPA'!Area_de_impressao</vt:lpstr>
      <vt:lpstr>'ASG MON'!Area_de_impressao</vt:lpstr>
      <vt:lpstr>'ASG SSA'!Area_de_impressao</vt:lpstr>
      <vt:lpstr>'ASG Superv Aux JPA'!Area_de_impressao</vt:lpstr>
      <vt:lpstr>'Copeiragem CG'!Area_de_impressao</vt:lpstr>
      <vt:lpstr>'Copeiragem JPA'!Area_de_impressao</vt:lpstr>
      <vt:lpstr>'Equip. e Ferramentas - Preço'!Area_de_impressao</vt:lpstr>
      <vt:lpstr>'Fardamentos e EPI´s - PESQUISA'!Area_de_impressao</vt:lpstr>
      <vt:lpstr>'Jardineiro CG'!Area_de_impressao</vt:lpstr>
      <vt:lpstr>'Jardineiro JPA'!Area_de_impressao</vt:lpstr>
      <vt:lpstr>'Recepcionista CG'!Area_de_impressao</vt:lpstr>
      <vt:lpstr>'Recepcionista Grtf CG'!Area_de_impressao</vt:lpstr>
      <vt:lpstr>'Recepcionista Grtf GUA'!Area_de_impressao</vt:lpstr>
      <vt:lpstr>'Recepcionista Grtf MON'!Area_de_impressao</vt:lpstr>
      <vt:lpstr>'Recepcionista Grtf PTS'!Area_de_impressao</vt:lpstr>
      <vt:lpstr>'Recepcionista Grtf SSA'!Area_de_impressao</vt:lpstr>
      <vt:lpstr>'Recepcionista JPA'!Area_de_impressao</vt:lpstr>
      <vt:lpstr>'Supervisor Adm JPA'!Area_de_impressao</vt:lpstr>
      <vt:lpstr>'Equip. e Ferramentas - Preço'!Titulos_de_impressao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MAIRABSR</dc:creator>
  <cp:lastModifiedBy>estagio.viniciusb</cp:lastModifiedBy>
  <cp:lastPrinted>2021-11-23T01:03:19Z</cp:lastPrinted>
  <dcterms:created xsi:type="dcterms:W3CDTF">2011-08-19T12:15:53Z</dcterms:created>
  <dcterms:modified xsi:type="dcterms:W3CDTF">2022-05-24T17:22:48Z</dcterms:modified>
</cp:coreProperties>
</file>