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ydemberg.santos\Downloads\"/>
    </mc:Choice>
  </mc:AlternateContent>
  <xr:revisionPtr revIDLastSave="0" documentId="13_ncr:1_{ABF837FD-6783-4816-9FE6-D72BCF4C4EE9}" xr6:coauthVersionLast="47" xr6:coauthVersionMax="47" xr10:uidLastSave="{00000000-0000-0000-0000-000000000000}"/>
  <bookViews>
    <workbookView xWindow="28680" yWindow="-120" windowWidth="29040" windowHeight="15720" tabRatio="985" xr2:uid="{00000000-000D-0000-FFFF-FFFF00000000}"/>
  </bookViews>
  <sheets>
    <sheet name="Proposta Comercial" sheetId="37" r:id="rId1"/>
    <sheet name="Consolidado" sheetId="31" r:id="rId2"/>
    <sheet name="Téc. Suporte N1-N2 (Supervisão)" sheetId="30" r:id="rId3"/>
    <sheet name="Técnico Suporte N1-N2" sheetId="8" r:id="rId4"/>
    <sheet name="Sobreaviso" sheetId="35" r:id="rId5"/>
    <sheet name="Horas Extras" sheetId="32" r:id="rId6"/>
    <sheet name="Fardamento" sheetId="33" r:id="rId7"/>
    <sheet name="Metodologia" sheetId="36" r:id="rId8"/>
  </sheets>
  <definedNames>
    <definedName name="_xlnm.Print_Area" localSheetId="2">'Téc. Suporte N1-N2 (Supervisão)'!$A$1:$I$135</definedName>
    <definedName name="_xlnm.Print_Area" localSheetId="3">'Técnico Suporte N1-N2'!$A$1:$I$135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5" i="35" l="1"/>
  <c r="E24" i="31"/>
  <c r="D24" i="31" s="1"/>
  <c r="G24" i="31"/>
  <c r="G25" i="31" s="1"/>
  <c r="G23" i="31"/>
  <c r="F23" i="31"/>
  <c r="F24" i="31"/>
  <c r="F25" i="31" s="1"/>
  <c r="E23" i="31"/>
  <c r="D23" i="31" s="1"/>
  <c r="G20" i="31"/>
  <c r="G19" i="31"/>
  <c r="G18" i="31"/>
  <c r="F20" i="31"/>
  <c r="F19" i="31"/>
  <c r="F18" i="31"/>
  <c r="E19" i="31"/>
  <c r="E18" i="31"/>
  <c r="H20" i="37"/>
  <c r="H19" i="37"/>
  <c r="G19" i="37"/>
  <c r="F20" i="37"/>
  <c r="G20" i="37" s="1"/>
  <c r="I135" i="8"/>
  <c r="I135" i="30"/>
  <c r="E25" i="31" l="1"/>
  <c r="B26" i="35" l="1"/>
  <c r="C26" i="35" s="1"/>
  <c r="B25" i="35"/>
  <c r="R18" i="32"/>
  <c r="R17" i="32"/>
  <c r="P17" i="32"/>
  <c r="P15" i="32"/>
  <c r="P18" i="32"/>
  <c r="P19" i="32"/>
  <c r="O19" i="32"/>
  <c r="O18" i="32"/>
  <c r="O17" i="32"/>
  <c r="O16" i="32"/>
  <c r="O15" i="32"/>
  <c r="P16" i="32"/>
  <c r="I26" i="8"/>
  <c r="I26" i="30"/>
  <c r="K26" i="33" l="1"/>
  <c r="K25" i="33"/>
  <c r="K24" i="33"/>
  <c r="K23" i="33"/>
  <c r="L23" i="33"/>
  <c r="O23" i="33" s="1"/>
  <c r="I26" i="33"/>
  <c r="I25" i="33"/>
  <c r="I24" i="33"/>
  <c r="N23" i="33"/>
  <c r="M23" i="33"/>
  <c r="J23" i="33"/>
  <c r="I23" i="33"/>
  <c r="I20" i="33"/>
  <c r="I12" i="33"/>
  <c r="I16" i="33"/>
  <c r="I28" i="33"/>
  <c r="I11" i="33"/>
  <c r="I13" i="33"/>
  <c r="I14" i="33"/>
  <c r="B30" i="32"/>
  <c r="B29" i="32"/>
  <c r="B28" i="32"/>
  <c r="B25" i="32"/>
  <c r="D16" i="35" l="1"/>
  <c r="H124" i="8"/>
  <c r="D15" i="35" l="1"/>
  <c r="D17" i="35" s="1"/>
  <c r="D19" i="35" s="1"/>
  <c r="N27" i="33" l="1"/>
  <c r="N19" i="33"/>
  <c r="N11" i="33"/>
  <c r="I30" i="33"/>
  <c r="I29" i="33"/>
  <c r="M27" i="33"/>
  <c r="J27" i="33"/>
  <c r="I27" i="33"/>
  <c r="I22" i="33"/>
  <c r="I21" i="33"/>
  <c r="M19" i="33"/>
  <c r="J19" i="33"/>
  <c r="I19" i="33"/>
  <c r="M15" i="33"/>
  <c r="I17" i="33"/>
  <c r="I15" i="33"/>
  <c r="M11" i="33"/>
  <c r="J11" i="33"/>
  <c r="K12" i="33" s="1"/>
  <c r="P23" i="33" l="1"/>
  <c r="Q23" i="33" s="1"/>
  <c r="R11" i="33" s="1"/>
  <c r="K22" i="33"/>
  <c r="K20" i="33"/>
  <c r="K30" i="33"/>
  <c r="K28" i="33"/>
  <c r="K14" i="33"/>
  <c r="N15" i="33"/>
  <c r="K21" i="33"/>
  <c r="K13" i="33"/>
  <c r="K27" i="33"/>
  <c r="K19" i="33"/>
  <c r="L19" i="33" s="1"/>
  <c r="O19" i="33" s="1"/>
  <c r="P19" i="33" s="1"/>
  <c r="Q19" i="33" s="1"/>
  <c r="I18" i="33"/>
  <c r="J15" i="33"/>
  <c r="K16" i="33" s="1"/>
  <c r="K29" i="33"/>
  <c r="L27" i="33" s="1"/>
  <c r="O27" i="33" s="1"/>
  <c r="P27" i="33" s="1"/>
  <c r="Q27" i="33" s="1"/>
  <c r="K11" i="33"/>
  <c r="L11" i="33" s="1"/>
  <c r="O11" i="33" l="1"/>
  <c r="P11" i="33" s="1"/>
  <c r="Q11" i="33" s="1"/>
  <c r="K17" i="33"/>
  <c r="K15" i="33"/>
  <c r="K18" i="33"/>
  <c r="L15" i="33" l="1"/>
  <c r="O15" i="33" s="1"/>
  <c r="P15" i="33" s="1"/>
  <c r="Q15" i="33" s="1"/>
  <c r="I110" i="8" l="1"/>
  <c r="I110" i="30"/>
  <c r="H92" i="8"/>
  <c r="H93" i="8" s="1"/>
  <c r="H78" i="8"/>
  <c r="H78" i="30"/>
  <c r="H94" i="8" l="1"/>
  <c r="B134" i="30"/>
  <c r="B132" i="30"/>
  <c r="B131" i="30"/>
  <c r="B130" i="30"/>
  <c r="B129" i="30"/>
  <c r="B128" i="30"/>
  <c r="H124" i="30"/>
  <c r="I113" i="30"/>
  <c r="I132" i="30" s="1"/>
  <c r="H100" i="30"/>
  <c r="H92" i="30"/>
  <c r="H81" i="30"/>
  <c r="H79" i="30"/>
  <c r="H76" i="30"/>
  <c r="I62" i="30"/>
  <c r="H58" i="30"/>
  <c r="H80" i="30" s="1"/>
  <c r="H47" i="30"/>
  <c r="I33" i="30"/>
  <c r="I61" i="30" l="1"/>
  <c r="H77" i="30"/>
  <c r="H82" i="30" s="1"/>
  <c r="I40" i="30"/>
  <c r="I39" i="30" s="1"/>
  <c r="H93" i="30"/>
  <c r="E15" i="32" l="1"/>
  <c r="G15" i="32" s="1"/>
  <c r="E16" i="32"/>
  <c r="H94" i="30"/>
  <c r="H95" i="30"/>
  <c r="I65" i="30"/>
  <c r="I71" i="30" s="1"/>
  <c r="J15" i="32" l="1"/>
  <c r="H15" i="32"/>
  <c r="I41" i="30"/>
  <c r="H96" i="30"/>
  <c r="I15" i="32" l="1"/>
  <c r="M15" i="32" s="1"/>
  <c r="K15" i="32"/>
  <c r="L15" i="32"/>
  <c r="I46" i="30"/>
  <c r="I45" i="30"/>
  <c r="G16" i="32"/>
  <c r="I81" i="30"/>
  <c r="I89" i="30"/>
  <c r="I90" i="30"/>
  <c r="I78" i="30"/>
  <c r="I77" i="30"/>
  <c r="I91" i="30"/>
  <c r="I76" i="30"/>
  <c r="I99" i="30"/>
  <c r="I100" i="30" s="1"/>
  <c r="I105" i="30" s="1"/>
  <c r="I79" i="30"/>
  <c r="I86" i="30"/>
  <c r="I128" i="30"/>
  <c r="I95" i="30"/>
  <c r="I80" i="30"/>
  <c r="I93" i="30"/>
  <c r="I88" i="30"/>
  <c r="I87" i="30"/>
  <c r="I47" i="30" l="1"/>
  <c r="I52" i="30" s="1"/>
  <c r="J16" i="32"/>
  <c r="H16" i="32"/>
  <c r="I16" i="32" s="1"/>
  <c r="K16" i="32" s="1"/>
  <c r="I92" i="30"/>
  <c r="I94" i="30" s="1"/>
  <c r="I96" i="30" s="1"/>
  <c r="I82" i="30"/>
  <c r="I130" i="30" s="1"/>
  <c r="I57" i="30"/>
  <c r="H100" i="8"/>
  <c r="H81" i="8"/>
  <c r="I62" i="8"/>
  <c r="I33" i="8"/>
  <c r="I40" i="8" l="1"/>
  <c r="I39" i="8"/>
  <c r="I69" i="30"/>
  <c r="I50" i="30"/>
  <c r="I56" i="30"/>
  <c r="I55" i="30"/>
  <c r="I51" i="30"/>
  <c r="I54" i="30"/>
  <c r="I53" i="30"/>
  <c r="L16" i="32"/>
  <c r="I104" i="30"/>
  <c r="I106" i="30" s="1"/>
  <c r="I131" i="30" s="1"/>
  <c r="E17" i="32"/>
  <c r="I61" i="8"/>
  <c r="E18" i="32" l="1"/>
  <c r="N15" i="32"/>
  <c r="Q15" i="32" s="1"/>
  <c r="R15" i="32" s="1"/>
  <c r="I58" i="30"/>
  <c r="I70" i="30" s="1"/>
  <c r="I72" i="30" s="1"/>
  <c r="I129" i="30" s="1"/>
  <c r="I133" i="30" s="1"/>
  <c r="I65" i="8"/>
  <c r="S15" i="32" l="1"/>
  <c r="I41" i="8"/>
  <c r="I117" i="30"/>
  <c r="I118" i="30" s="1"/>
  <c r="I76" i="8" l="1"/>
  <c r="G18" i="32"/>
  <c r="G17" i="32"/>
  <c r="I120" i="30"/>
  <c r="I81" i="8"/>
  <c r="I128" i="8"/>
  <c r="I46" i="8"/>
  <c r="I78" i="8"/>
  <c r="I93" i="8"/>
  <c r="I45" i="8"/>
  <c r="I86" i="8"/>
  <c r="I122" i="30"/>
  <c r="I121" i="30"/>
  <c r="I123" i="30"/>
  <c r="H47" i="8"/>
  <c r="H17" i="32" l="1"/>
  <c r="I17" i="32" s="1"/>
  <c r="J17" i="32"/>
  <c r="H18" i="32"/>
  <c r="J18" i="32"/>
  <c r="I124" i="30"/>
  <c r="I134" i="30" s="1"/>
  <c r="I47" i="8"/>
  <c r="H79" i="8"/>
  <c r="H76" i="8"/>
  <c r="I18" i="32" l="1"/>
  <c r="K18" i="32" s="1"/>
  <c r="L18" i="32" s="1"/>
  <c r="K17" i="32"/>
  <c r="I50" i="8"/>
  <c r="I57" i="8"/>
  <c r="D16" i="32"/>
  <c r="D15" i="32"/>
  <c r="I79" i="8"/>
  <c r="I51" i="8"/>
  <c r="I55" i="8"/>
  <c r="I52" i="8"/>
  <c r="I56" i="8"/>
  <c r="I53" i="8"/>
  <c r="I54" i="8"/>
  <c r="D18" i="31"/>
  <c r="B134" i="8"/>
  <c r="B132" i="8"/>
  <c r="B131" i="8"/>
  <c r="B130" i="8"/>
  <c r="B129" i="8"/>
  <c r="B128" i="8"/>
  <c r="I113" i="8"/>
  <c r="I132" i="8" s="1"/>
  <c r="H77" i="8"/>
  <c r="H58" i="8"/>
  <c r="B26" i="32" s="1"/>
  <c r="L17" i="32" l="1"/>
  <c r="I77" i="8"/>
  <c r="I58" i="8"/>
  <c r="H80" i="8"/>
  <c r="H82" i="8" s="1"/>
  <c r="B27" i="32" s="1"/>
  <c r="H95" i="8"/>
  <c r="H96" i="8" s="1"/>
  <c r="I91" i="8"/>
  <c r="I87" i="8"/>
  <c r="I71" i="8"/>
  <c r="I89" i="8"/>
  <c r="I99" i="8"/>
  <c r="I90" i="8"/>
  <c r="I88" i="8"/>
  <c r="F19" i="37" l="1"/>
  <c r="I80" i="8"/>
  <c r="I82" i="8" s="1"/>
  <c r="I130" i="8" s="1"/>
  <c r="I95" i="8"/>
  <c r="I92" i="8"/>
  <c r="I94" i="8" s="1"/>
  <c r="I100" i="8"/>
  <c r="I105" i="8" s="1"/>
  <c r="I69" i="8"/>
  <c r="M18" i="32" l="1"/>
  <c r="N18" i="32" s="1"/>
  <c r="Q18" i="32" s="1"/>
  <c r="S18" i="32" s="1"/>
  <c r="I96" i="8"/>
  <c r="I104" i="8" s="1"/>
  <c r="M16" i="32" l="1"/>
  <c r="I106" i="8"/>
  <c r="I131" i="8" s="1"/>
  <c r="I70" i="8"/>
  <c r="N16" i="32" l="1"/>
  <c r="Q16" i="32" s="1"/>
  <c r="M17" i="32"/>
  <c r="I72" i="8"/>
  <c r="I129" i="8" s="1"/>
  <c r="I133" i="8" s="1"/>
  <c r="R16" i="32" l="1"/>
  <c r="R19" i="32" s="1"/>
  <c r="N17" i="32"/>
  <c r="Q17" i="32" s="1"/>
  <c r="I117" i="8"/>
  <c r="I118" i="8" s="1"/>
  <c r="S16" i="32" l="1"/>
  <c r="S17" i="32"/>
  <c r="S19" i="32" s="1"/>
  <c r="Q19" i="32"/>
  <c r="I121" i="8"/>
  <c r="I120" i="8"/>
  <c r="F21" i="37" l="1"/>
  <c r="I122" i="8"/>
  <c r="I123" i="8"/>
  <c r="G21" i="37" l="1"/>
  <c r="F22" i="37"/>
  <c r="I124" i="8"/>
  <c r="I134" i="8" s="1"/>
  <c r="D19" i="31" s="1"/>
  <c r="H21" i="37" l="1"/>
  <c r="H22" i="37" s="1"/>
  <c r="G22" i="37"/>
  <c r="D18" i="32"/>
  <c r="D17" i="32"/>
  <c r="E20" i="31" l="1"/>
  <c r="E26" i="31" s="1"/>
  <c r="G26" i="31"/>
  <c r="F26" i="31"/>
</calcChain>
</file>

<file path=xl/sharedStrings.xml><?xml version="1.0" encoding="utf-8"?>
<sst xmlns="http://schemas.openxmlformats.org/spreadsheetml/2006/main" count="601" uniqueCount="294">
  <si>
    <t>A</t>
  </si>
  <si>
    <t>Data de apresentação da proposta</t>
  </si>
  <si>
    <t>B</t>
  </si>
  <si>
    <t>C</t>
  </si>
  <si>
    <t>Ano do Acordo, Convenção ou Dissídio Coletivo</t>
  </si>
  <si>
    <t>D</t>
  </si>
  <si>
    <t>Nº de meses de execução contratual</t>
  </si>
  <si>
    <t>Identificação do Serviço</t>
  </si>
  <si>
    <t>Tipo de Serviço</t>
  </si>
  <si>
    <t>Unidade de Medida</t>
  </si>
  <si>
    <t>Quantidade total a contratar (em função da unidade de medida)</t>
  </si>
  <si>
    <t>Dados para composição dos custos referentes à mão de obra</t>
  </si>
  <si>
    <t>Tipo de serviço (mesmo serviço com características distintas)</t>
  </si>
  <si>
    <t>Classificação Brasileira de Ocupações (CBO)</t>
  </si>
  <si>
    <t>Salário Nominativo da Categoria Profissional</t>
  </si>
  <si>
    <t>Categoria profissional (vinculada à execução contratual)</t>
  </si>
  <si>
    <t>Data base da categoria (dia/mês/ano)</t>
  </si>
  <si>
    <t>MÓDULO 1 - COMPOSIÇÃO DA REMUNERAÇÃO</t>
  </si>
  <si>
    <t>COMPOSIÇÃO DA REMUNERAÇÃO</t>
  </si>
  <si>
    <t>%</t>
  </si>
  <si>
    <t>VALOR (R$)</t>
  </si>
  <si>
    <t>Salário Base</t>
  </si>
  <si>
    <t xml:space="preserve">Adicional Periculosidade </t>
  </si>
  <si>
    <t>Adicional Insalubridade</t>
  </si>
  <si>
    <t>Adicional Noturno</t>
  </si>
  <si>
    <t>E</t>
  </si>
  <si>
    <t>Adicional de Hora Noturna Reduzida</t>
  </si>
  <si>
    <t>F</t>
  </si>
  <si>
    <t>Adicional de Hora Extra no Feriado Trabalhado</t>
  </si>
  <si>
    <t>G</t>
  </si>
  <si>
    <t>TOTAL DO MÓDULO 1</t>
  </si>
  <si>
    <t>MÓDULO 2 – ENCARGOS E BENEFÍCIOS ANUAIS, MENSAIS E DIÁRIOS</t>
  </si>
  <si>
    <t>Submódulo 2.1 - 13º Salário, Férias e Adicional de Férias</t>
  </si>
  <si>
    <r>
      <rPr>
        <sz val="10"/>
        <rFont val="Calibri"/>
        <family val="2"/>
        <charset val="1"/>
      </rPr>
      <t>13 (Décimo-terceiro) salário</t>
    </r>
    <r>
      <rPr>
        <sz val="10"/>
        <color rgb="FFFF0000"/>
        <rFont val="Calibri"/>
        <family val="2"/>
        <charset val="1"/>
      </rPr>
      <t xml:space="preserve"> </t>
    </r>
  </si>
  <si>
    <t>Adicional de Férias</t>
  </si>
  <si>
    <t>TOTAL SUBMÓDULO 2.1</t>
  </si>
  <si>
    <t>Submódulo 2.2 - GPS, FGTS e Outras Contribuições</t>
  </si>
  <si>
    <t xml:space="preserve">INSS </t>
  </si>
  <si>
    <t xml:space="preserve">Salário Educação </t>
  </si>
  <si>
    <t>SESC ou SESI</t>
  </si>
  <si>
    <t xml:space="preserve">SENAI - SENAC </t>
  </si>
  <si>
    <t xml:space="preserve">SEBRAE </t>
  </si>
  <si>
    <t xml:space="preserve">INCRA </t>
  </si>
  <si>
    <t>H</t>
  </si>
  <si>
    <t xml:space="preserve">FGTS </t>
  </si>
  <si>
    <t>TOTAL SUBMÓDULO 2.2</t>
  </si>
  <si>
    <t>Submódulo 2.3 - Benefícios Mensais e Diários</t>
  </si>
  <si>
    <t xml:space="preserve">Transporte </t>
  </si>
  <si>
    <t>TOTAL SUBMÓDULO 2.3</t>
  </si>
  <si>
    <t>QUADRO-RESUMO DO MÓDULO 2 - ENCARGOS, BENEFÍCIOS ANUAIS, MENSAIS E DIÁRIOS</t>
  </si>
  <si>
    <t>Módulo 2 - Encargos, Benefícios Anuais, Mensais e Diários</t>
  </si>
  <si>
    <t>2.1</t>
  </si>
  <si>
    <t>13º Salário, Férias e Adicional de Férias</t>
  </si>
  <si>
    <t>2.2</t>
  </si>
  <si>
    <t>GPS, FGTS e Outras Contribuições</t>
  </si>
  <si>
    <t>2.3</t>
  </si>
  <si>
    <t>Benefícios Mensais e Diários</t>
  </si>
  <si>
    <t>TOTAL DO MÓDULO 2</t>
  </si>
  <si>
    <t>MÓDULO 3 – PROVISÃO PARA RESCISÃO</t>
  </si>
  <si>
    <t>PROVISÃO PARA RESCISÃO</t>
  </si>
  <si>
    <t>Aviso Prévio Indenizado</t>
  </si>
  <si>
    <t>Incidência do FGTS sobre Aviso Prévio Indenizado</t>
  </si>
  <si>
    <t>Multa do FGTS e Contribuição Social sobre o Aviso Prévio Indenizado</t>
  </si>
  <si>
    <t xml:space="preserve">Aviso Prévio Trabalhado </t>
  </si>
  <si>
    <t>Incidência dos encargos do submódulo 2.2 sobre Aviso Prévio Trabalhado</t>
  </si>
  <si>
    <t xml:space="preserve">Multa do FGTS e Contribuição Social sobre o Aviso Prévio Trabalhado. </t>
  </si>
  <si>
    <t>TOTAL DO MÓDULO 3</t>
  </si>
  <si>
    <t>MÓDULO 4 – CUSTO DE REPOSIÇÃO DO PROFISSIONAL AUSENTE</t>
  </si>
  <si>
    <t>Submódulo 4.1 - Ausências Legais</t>
  </si>
  <si>
    <t xml:space="preserve">Férias </t>
  </si>
  <si>
    <t>Ausências Legais</t>
  </si>
  <si>
    <t>Licença Paternidade</t>
  </si>
  <si>
    <r>
      <rPr>
        <sz val="10"/>
        <rFont val="Calibri"/>
        <family val="2"/>
        <charset val="1"/>
      </rPr>
      <t>Ausência por Acidente de Trabalho</t>
    </r>
    <r>
      <rPr>
        <sz val="10"/>
        <color rgb="FFFF0000"/>
        <rFont val="Calibri"/>
        <family val="2"/>
        <charset val="1"/>
      </rPr>
      <t xml:space="preserve"> </t>
    </r>
  </si>
  <si>
    <t>Afastamento Maternidade</t>
  </si>
  <si>
    <t>TOTAL SUBMÓDULO 4.1</t>
  </si>
  <si>
    <t>Submódulo 4.2 - Intrajornada</t>
  </si>
  <si>
    <t>Intervalo para Repouso ou Alimentação</t>
  </si>
  <si>
    <t>TOTAL SUBMÓDULO 4.2</t>
  </si>
  <si>
    <t>QUADRO-RESUMO DO MÓDULO 4 - CUSTO DE REPOSIÇÃO DO PROFISSIONAL AUSENTE</t>
  </si>
  <si>
    <t>Módulo 4 - Custo de Reposição do Profissional Ausente</t>
  </si>
  <si>
    <t>4.1</t>
  </si>
  <si>
    <t>4.2</t>
  </si>
  <si>
    <t>Intrajornada</t>
  </si>
  <si>
    <t>TOTAL DO MÓDULO 4</t>
  </si>
  <si>
    <t>MÓDULO 5 – INSUMOS DIVERSOS</t>
  </si>
  <si>
    <t>INSUMOS DIVERSOS</t>
  </si>
  <si>
    <t xml:space="preserve">Uniformes </t>
  </si>
  <si>
    <t>TOTAL DO MÓDULO 5</t>
  </si>
  <si>
    <t>MÓDULO 6 – CUSTOS INDIRETOS, TRIBUTOS E LUCRO</t>
  </si>
  <si>
    <t>CUSTOS INDIRETOS, TRIBUTOS E LUCRO</t>
  </si>
  <si>
    <t>Custos Indiretos</t>
  </si>
  <si>
    <t>Lucro</t>
  </si>
  <si>
    <t>TRIBUTOS</t>
  </si>
  <si>
    <t>C.1</t>
  </si>
  <si>
    <t>PIS</t>
  </si>
  <si>
    <t>C.2</t>
  </si>
  <si>
    <t>COFINS</t>
  </si>
  <si>
    <t>C.3</t>
  </si>
  <si>
    <t>ISS</t>
  </si>
  <si>
    <t>TOTAL DO MÓDULO 6</t>
  </si>
  <si>
    <t>QUADRO RESUMO DO CUSTO POR EMPREGADO</t>
  </si>
  <si>
    <t>Mão de Obra vinculada à execução contratual (valor por empregado)</t>
  </si>
  <si>
    <t>Subtotal (A + B + C + D + E)</t>
  </si>
  <si>
    <t>PREÇO TOTAL POR EMPREGADO</t>
  </si>
  <si>
    <t>CUSTO MENSAL POR EMPREGADO</t>
  </si>
  <si>
    <t>CUSTO MENSAL DO CONTRATO</t>
  </si>
  <si>
    <t>Equipamentos</t>
  </si>
  <si>
    <t>POSTO</t>
  </si>
  <si>
    <t>Outros</t>
  </si>
  <si>
    <t>C.4</t>
  </si>
  <si>
    <t>CPRB</t>
  </si>
  <si>
    <t>Ausência por Doença</t>
  </si>
  <si>
    <t>Subtotal antes da incidência de proporcional de férias, 1/3 e 13º sobre custo de reposição</t>
  </si>
  <si>
    <r>
      <t>Proporcional de férias, 1/3 e 13º sobre custo de reposição (</t>
    </r>
    <r>
      <rPr>
        <b/>
        <sz val="10"/>
        <rFont val="Calibri"/>
        <family val="2"/>
      </rPr>
      <t>exceto licença maternidade</t>
    </r>
    <r>
      <rPr>
        <sz val="10"/>
        <rFont val="Calibri"/>
        <family val="2"/>
      </rPr>
      <t>)</t>
    </r>
  </si>
  <si>
    <t>Subtotal antes da incidência do submódulo 2.2 sobre o custo de reposição</t>
  </si>
  <si>
    <t>Incidência do submódulo 2.2 sobre o custo de reposição</t>
  </si>
  <si>
    <t>SINDPD-PB</t>
  </si>
  <si>
    <t>PLANILHA DE CUSTOS E FORMAÇÃO DE PREÇOS - IN MPDG/SEGES Nº 05/2017</t>
  </si>
  <si>
    <t>Município/UF</t>
  </si>
  <si>
    <t>João Pessoa/PB</t>
  </si>
  <si>
    <t>Discriminação dos Serviços (dados referentes à contratação)</t>
  </si>
  <si>
    <t>Licitação nº __/____ - Pregão Eletrônico nº __/____ - JFPB</t>
  </si>
  <si>
    <t>SECRETARIA ADMINISTRATIVA</t>
  </si>
  <si>
    <t>DIVISÃO DE TECNOLOGIA DA INFORMAÇÃO</t>
  </si>
  <si>
    <t>PB000491/2025</t>
  </si>
  <si>
    <t>ORÇAMENTO ESTIMATIVO</t>
  </si>
  <si>
    <t xml:space="preserve">Nº DO PROCESSO: </t>
  </si>
  <si>
    <t>OBJETO:</t>
  </si>
  <si>
    <t>GRUPO</t>
  </si>
  <si>
    <t>RESUMO DA PLANILHA DE CUSTOS E FORMAÇÃO DE PREÇOS</t>
  </si>
  <si>
    <t>QUANTIDADE</t>
  </si>
  <si>
    <t>DESCRIÇÃO</t>
  </si>
  <si>
    <t>CUSTO ANUAL</t>
  </si>
  <si>
    <t>CONTRATAÇÃO DE EMPRESA ESPECIALIZADA NA EXECUÇÃO DE SERVIÇOS DE TECNOLOGIA DA INFORMAÇÃO E COMUNICAÇÃO - TIC</t>
  </si>
  <si>
    <t>(DE ACORDO COM A LEI Nº 13.467/2017)</t>
  </si>
  <si>
    <t>Outros (Gratificação)</t>
  </si>
  <si>
    <t>CUSTOS FIXOS</t>
  </si>
  <si>
    <t>CUSTOS EVENTUAIS</t>
  </si>
  <si>
    <t>TOTAL DE CUSTOS FIXOS</t>
  </si>
  <si>
    <t>TOTAL DE CUSTOS EVENTUAIS</t>
  </si>
  <si>
    <t>TOTAL GERAL DE CUSTOS</t>
  </si>
  <si>
    <t>PRAZO DE DURAÇÃO DO CONTRATO (MESES)</t>
  </si>
  <si>
    <t>PRAZO DO CONTRATO (MESES):</t>
  </si>
  <si>
    <t>CUSTO MENSAL</t>
  </si>
  <si>
    <t>Nº DE EMPREGADOS</t>
  </si>
  <si>
    <t>Contratação de horas extras - domingos e feriados</t>
  </si>
  <si>
    <t>FUNÇÃO</t>
  </si>
  <si>
    <t>ITEM</t>
  </si>
  <si>
    <t>DESCRIÇÃO RESUMIDA</t>
  </si>
  <si>
    <t>UNID.</t>
  </si>
  <si>
    <t>QTDE. 
ANUAL</t>
  </si>
  <si>
    <t xml:space="preserve">PREÇOS PRATICADOS </t>
  </si>
  <si>
    <t>VALOR MÉDIO</t>
  </si>
  <si>
    <t>VARIAÇÃO PERCENTUAL EM RELAÇÃO A MÉDIA</t>
  </si>
  <si>
    <t>MÉDIA EXCLUINDO OS EXTREMOS</t>
  </si>
  <si>
    <t>MEDIANA</t>
  </si>
  <si>
    <t>DADOS ESTATÍSTICOS</t>
  </si>
  <si>
    <t>VALOR MÁXIMO</t>
  </si>
  <si>
    <t>VR UNIT (R$)</t>
  </si>
  <si>
    <t>DESVIO PADRÃO</t>
  </si>
  <si>
    <t>COEFICIENTE DE VARIAÇÃO</t>
  </si>
  <si>
    <t>VR UNIT MÁXIMO</t>
  </si>
  <si>
    <t>VR GLOBAL MÁXIMO</t>
  </si>
  <si>
    <t>VALOR MENSAL</t>
  </si>
  <si>
    <t>G1</t>
  </si>
  <si>
    <t>PAR</t>
  </si>
  <si>
    <t>VR TOTAL (ANO)</t>
  </si>
  <si>
    <t>Obs.: Conforme Cláusula 12ª da CCT 2025/2026, as horas extraordinárias serão remuneradas com o adicional de 75% em dias úteis e de 100% sobre o valor da hora normal em dias de descanso (domingos e feriados).</t>
  </si>
  <si>
    <t>ESTIMATIVA DE CUSTOS (SOBREAVISO)</t>
  </si>
  <si>
    <t>DIAS</t>
  </si>
  <si>
    <t>HORAS (A)</t>
  </si>
  <si>
    <t>QTE DE DIAS POR MÊS (B)</t>
  </si>
  <si>
    <t>TOTAL DE HORAS (C = A x B)</t>
  </si>
  <si>
    <t>Sábado</t>
  </si>
  <si>
    <t>TOTAL DE HORAS (D)</t>
  </si>
  <si>
    <t>Quantidade de funcionários (E)</t>
  </si>
  <si>
    <t>QTDE DE HORAS ESTIMADAS DE SOBREAVISO POR FUNCIONÁRIO (F = D / E)</t>
  </si>
  <si>
    <t>SALÁRIO HORA DE SOBREAVISO*</t>
  </si>
  <si>
    <t>SERVIÇO</t>
  </si>
  <si>
    <t>Domingos e Feriados</t>
  </si>
  <si>
    <t>TÉCNICO DE SUPORTE N1/N2</t>
  </si>
  <si>
    <t>Técnico de Suporte N1/N2 (com Supervisão)</t>
  </si>
  <si>
    <t>Técnico de Suporte N1/N2</t>
  </si>
  <si>
    <t>TÉCNICO DE SUPORTE N1/N2 (COM SUPERVISÃO)</t>
  </si>
  <si>
    <t>Sobreaviso (com DSR)</t>
  </si>
  <si>
    <t>Seguro de Vida</t>
  </si>
  <si>
    <t>Assistência Médica</t>
  </si>
  <si>
    <t xml:space="preserve">Auxílio-Alimentação </t>
  </si>
  <si>
    <t>Jornada de Trabalho</t>
  </si>
  <si>
    <t>44h</t>
  </si>
  <si>
    <t>1425-30</t>
  </si>
  <si>
    <t>3172-10</t>
  </si>
  <si>
    <t>TIPO DE SERVIÇO</t>
  </si>
  <si>
    <t>VALOR POR EMPREGADO</t>
  </si>
  <si>
    <t>SALÁRIO</t>
  </si>
  <si>
    <t>% DE HORA EXTRA</t>
  </si>
  <si>
    <t>SUBMÓDULO 2.1</t>
  </si>
  <si>
    <t>SUBMÓDULO 2.2</t>
  </si>
  <si>
    <t>MÓDULO 3</t>
  </si>
  <si>
    <t>CUSTOS INDIRETOS</t>
  </si>
  <si>
    <t>LUCRO</t>
  </si>
  <si>
    <t>VALOR DA HORA AJUSTADA</t>
  </si>
  <si>
    <t>QTE MENSAL DE HORAS</t>
  </si>
  <si>
    <t>VALOR DA HORA</t>
  </si>
  <si>
    <t>Contratação de horas extras - dias úteis (incluindo sábados)</t>
  </si>
  <si>
    <t>INCIDÊNCIAS</t>
  </si>
  <si>
    <t>BASE DE CÁLCULO</t>
  </si>
  <si>
    <t>Item 3</t>
  </si>
  <si>
    <t>Item 3 + Item 4</t>
  </si>
  <si>
    <t>INCIDÊNCIA SUBMÓDULO 2.1</t>
  </si>
  <si>
    <t>INCIDÊNCIA SUBMÓDULO 2.2</t>
  </si>
  <si>
    <t>INCIDÊNCIA MÓDULO 3</t>
  </si>
  <si>
    <t>* As alíquotas são as aplicadas às respectivas planilhas de mão de obra.</t>
  </si>
  <si>
    <t>Item 3 + Item 4 + Item 5 + Item 6</t>
  </si>
  <si>
    <t>Item 3 + Item 4 + Item 5 + Item 6 + Item 7</t>
  </si>
  <si>
    <t>Item 3 + Item 4 + Item 5 + Item 6 + Item 7 + Item 8</t>
  </si>
  <si>
    <t>Prefeitura Municipal de São Miguel do Guamá/PA (UASG 980551)</t>
  </si>
  <si>
    <t>Ministério da Educação (UASG 158143)</t>
  </si>
  <si>
    <t>UNESP - Instituto de Biociências - Campus Rio Claro (UASG 102322)</t>
  </si>
  <si>
    <t>Prefeitura Municipal de Itacoatiara/AM</t>
  </si>
  <si>
    <t>ÓRGÃOS / PESSOAS JURÍDICAS</t>
  </si>
  <si>
    <t>Prefeitura Municipal de Tuiuti/SP</t>
  </si>
  <si>
    <t>Policlínica Militar do Rio de Janeiro (UASG 160334)</t>
  </si>
  <si>
    <t>53º Batalhão de Infantaria de Selva (UASG 160167)</t>
  </si>
  <si>
    <t>Colégio Militar de Brasília (UASG 160064)</t>
  </si>
  <si>
    <t>Prefeitura Municipal de Paraipaba/CE</t>
  </si>
  <si>
    <t>Secretaria Municipal de Desenvolvimento Urbano de Feira de Santana/BA</t>
  </si>
  <si>
    <t>Comando do Exército - 4ª Região Militar (UASG 160118)</t>
  </si>
  <si>
    <t>CUSTO 36 MESES</t>
  </si>
  <si>
    <t>CUSTO CONTRATO
36 MESES</t>
  </si>
  <si>
    <t>QTDE ANUAL DE HORAS (60H)</t>
  </si>
  <si>
    <t>Amazon Serviços de Varejo do Brasil Ltda. (CNPJ 15.436.940/0001-03)</t>
  </si>
  <si>
    <t>SBF Comércio de Produtos Esportivos S.A. (CNPJ 06.347.409/0069-53)</t>
  </si>
  <si>
    <t>Magazine Luiza S/A (CNPJ 47.960.950/0001-21)</t>
  </si>
  <si>
    <t>Cia Hering (CNPJ 78.876.950/0001-71)</t>
  </si>
  <si>
    <t>CRACHÁ funcional de identificação, com foto, nome e função do empregado e identificação da empresa, confeccionado em PVC, acompanhado de cordão e porta-crachá.</t>
  </si>
  <si>
    <t>Kit 3 (três) pares de meias soquete em algodão, com cano médio, totalizando 6 (seis) pares.</t>
  </si>
  <si>
    <t>CALÇA profissional tipo brim, 100% algodão, padrão masculino, com 2 (dois) bolsos frontais e 2 (dois) bolsos traseiros.</t>
  </si>
  <si>
    <t>CAMISA POLO em algodão e poliéster, com cor padronizada, gola polo e mangas curtas, contendo, de forma visível, o nome e o logotipo da Contratada.</t>
  </si>
  <si>
    <t>Par de SAPATOS antiderrapantes, em couro, com sola de borracha, palmilha antimicrobiana, tipo Sticky Shoes ou semelhante.</t>
  </si>
  <si>
    <t>SHPS Tecnologia e Serviços Ltda. (CNPJ 35.635.824/0001-12)</t>
  </si>
  <si>
    <t>Mercado Livre Brasil Ltda. (CNPJ 03.007.331/0001-41)</t>
  </si>
  <si>
    <t>FARDAMENTO - AUXILIAR TÉCNICO DE SUPORTE N1/N2</t>
  </si>
  <si>
    <t>*Salário hora de sobreaviso = (Salário-base + Gratificação) ÷ Qtde de horas mensais ÷ 3</t>
  </si>
  <si>
    <t>TÉCNICO DE SUPORTE N1/N2 COM ATRIBUIÇÃO DE SUPERVISÃO</t>
  </si>
  <si>
    <t>ESTIMATIVA DE CUSTOS EVENTUAIS (HORAS EXTRAS)</t>
  </si>
  <si>
    <t>Alterar apenas as células destacadas em amarelo</t>
  </si>
  <si>
    <t>RAT/FAP Ajustado (Seguro Acidente de Trabalho)</t>
  </si>
  <si>
    <t>JUSTIÇA FEDERAL NA PARAÍBA</t>
  </si>
  <si>
    <t>IDENTIFICAÇÃO DA PROPONENTE</t>
  </si>
  <si>
    <t>Razão Social:</t>
  </si>
  <si>
    <t>CNPJ/MF:</t>
  </si>
  <si>
    <t>Endereço:</t>
  </si>
  <si>
    <t>Telefone:</t>
  </si>
  <si>
    <t>e-mail:</t>
  </si>
  <si>
    <t>DADOS DO REPRESENTANTE</t>
  </si>
  <si>
    <t>Responsável Legal:</t>
  </si>
  <si>
    <t>Reg. Geral nº.</t>
  </si>
  <si>
    <t>Grupo</t>
  </si>
  <si>
    <t>Item</t>
  </si>
  <si>
    <t>Descrição</t>
  </si>
  <si>
    <t>Unid.</t>
  </si>
  <si>
    <t>Quant.</t>
  </si>
  <si>
    <t>mês</t>
  </si>
  <si>
    <t>___________________________________________________________________</t>
  </si>
  <si>
    <t>EMPRESA LICITANTE</t>
  </si>
  <si>
    <t>NOME DO REPRESENTANTE LEGAL</t>
  </si>
  <si>
    <t xml:space="preserve">RG Nº </t>
  </si>
  <si>
    <t>CPF Nº</t>
  </si>
  <si>
    <t xml:space="preserve">CONTATO: </t>
  </si>
  <si>
    <t>EDITAL DE LICITAÇÃO Nº          /2026</t>
  </si>
  <si>
    <t>PREGÃO ELETRÔNICO Nº         /2026 - JFPB</t>
  </si>
  <si>
    <t>CONTRATO Nº            /2026</t>
  </si>
  <si>
    <r>
      <t xml:space="preserve">1 (um) </t>
    </r>
    <r>
      <rPr>
        <b/>
        <i/>
        <sz val="10"/>
        <rFont val="Calibri"/>
        <family val="2"/>
        <scheme val="minor"/>
      </rPr>
      <t>Técnico de Suporte N1/N2 (com Supervisão)</t>
    </r>
    <r>
      <rPr>
        <i/>
        <sz val="10"/>
        <rFont val="Calibri"/>
        <family val="2"/>
        <scheme val="minor"/>
      </rPr>
      <t>, com dedicação exclusiva de mão de obra residente, incluído o regime de sobreaviso em rodízio, com pagamento mensal vinculado ao IMR</t>
    </r>
  </si>
  <si>
    <t>Custo Mensal
R$</t>
  </si>
  <si>
    <t>Custo Anual
R$</t>
  </si>
  <si>
    <t>Custo 36 Meses
R$</t>
  </si>
  <si>
    <r>
      <t xml:space="preserve">3 (três) </t>
    </r>
    <r>
      <rPr>
        <b/>
        <i/>
        <sz val="10"/>
        <rFont val="Calibri"/>
        <family val="2"/>
        <scheme val="minor"/>
      </rPr>
      <t>Técnicos de Suporte N1/N2</t>
    </r>
    <r>
      <rPr>
        <i/>
        <sz val="10"/>
        <rFont val="Calibri"/>
        <family val="2"/>
        <scheme val="minor"/>
      </rPr>
      <t>, com dedicação exclusiva de mão de obra residente, incluído o regime de sobreaviso em rodízio, com pagamento mensal vinculado ao IMR</t>
    </r>
  </si>
  <si>
    <r>
      <rPr>
        <b/>
        <i/>
        <sz val="10"/>
        <rFont val="Calibri"/>
        <family val="2"/>
        <scheme val="minor"/>
      </rPr>
      <t>Horas extraordinárias de suporte técnico, sob demanda</t>
    </r>
    <r>
      <rPr>
        <i/>
        <sz val="10"/>
        <rFont val="Calibri"/>
        <family val="2"/>
        <scheme val="minor"/>
      </rPr>
      <t>, mediante autorização prévia da fiscalização, em dias úteis, bem como em acionamentos em regime de sobreaviso aos sábados, domingos e feriados, até o limite de 60 horas anuais</t>
    </r>
  </si>
  <si>
    <t>VALOR TOTAL DO GRUPO (R$):</t>
  </si>
  <si>
    <r>
      <rPr>
        <b/>
        <i/>
        <sz val="10"/>
        <rFont val="Calibri"/>
        <family val="2"/>
        <scheme val="minor"/>
      </rPr>
      <t>OBJETO</t>
    </r>
    <r>
      <rPr>
        <i/>
        <sz val="10"/>
        <rFont val="Calibri"/>
        <family val="2"/>
        <scheme val="minor"/>
      </rPr>
      <t>:  A presente licitação tem por objeto a contratação de Central de Serviços de TI (Service Desk), compreendendo o atendimento e suporte técnico de 1º e 2º níveis aos usuários de TIC da Justiça Federal na Paraíba, com dedição exclusiva de mão de obra residente na Sede, atendimento remoto às Subseções Judiciárias e regime de sobreaviso, cujas especificações, quantitativos e condições gerais se encontram detalhados no Termo de Referência.</t>
    </r>
  </si>
  <si>
    <t>1) Considerando que a nova CCT com vigência a partir de 01/09/2026 ainda não foi homologada, o salário normativo da categoria foi estimado a partir do piso de "Auxiliar Técnico em Suporte aos Usuários de Computadores", no valor de R$ 1.601,27, definido pela última CCT (PB000491/2025), mantido o índice de reajuste de 6% estabelecido na Cláusula Quarta da última Convenção.</t>
  </si>
  <si>
    <t>5) O vale-transporte (R$ 5,45) tomou por base o valor definido pelo Decreto PMJP nº 11.224/2026.</t>
  </si>
  <si>
    <t>6) O auxílio-alimentação baseou-se nos valores definidos na última CCT (PB000491/2025 - Cláusula Oitava), com a dedução da participação do empregado.</t>
  </si>
  <si>
    <t>7) O seguro de vida considerou o valor médio do custo definido na última CCT (PB000491/2025 - Cláusula Vigésima Terceira).</t>
  </si>
  <si>
    <t>A elaboração desta planilha de custos teve como base o Manual de Preenchimento do Modelo de Planilhas de Custos e de Formação de Preços do Superior Tribunal de Justiça - STJ (2020, 102 p., disponível em: &lt;https://transparencia.stj.jus.br/licitacoes_e_contratos/manuais-e-orientacoes/&gt;), exceto no que se refere aos seguintes pontos:</t>
  </si>
  <si>
    <t> PLANILHA DE INDICAÇÃO DO PREÇO DE REFERÊNCIA - FARDAMENTO</t>
  </si>
  <si>
    <t>9) A planilha de indicação do preço de referência para o fardamento considerou o procedimento definido pela Portaria da Direção do Foro nº 57/2022, Processo SEI nº 0001630-93.2021.4.05.7400.</t>
  </si>
  <si>
    <t>3) O percentual de férias e de 13º salário (9,09%), bem como do 1/3 de férias (3,03%), considera as disposições da IN CJF nº 01/2016.</t>
  </si>
  <si>
    <t>VALOR SOBREAVISO**</t>
  </si>
  <si>
    <t>**Valor Sobreaviso = Salário hora de sobreaviso x Qtde de horas estimadas de sobreaviso por funcionário</t>
  </si>
  <si>
    <t>2) A gratificação de função, de 70% (Técnico N1/N2 com Supervisão) e 50% (Técnico N1/N2) sobre o salário, baseou-se nos percentuais definidos pelo Termo de Referência da contratação.</t>
  </si>
  <si>
    <t>4) Considerando que as empresas prestadoras de serviços de suporte técnico em informática podem optar pela desoneração da folha de pagamento (art. 7º, I, da Lei nº 12.546/2011, incluído pela Lei nº 12.715/2012), os percentuais de 10% de INSS e de 2,7% de CPRB foram utilizados na planilha de custos com base no art. 9º-A, II, "a" e "b", da Lei nº 12.546/2011, incluído pela Lei nº 14.973/2024, para o exercício de 2026.</t>
  </si>
  <si>
    <t>8) A estimativa dos custos eventuais (horas extras) tomou como base contratação semelhante do TRF5 (Processo SEI nº 0006618-57.2025.4.05.7000, docs. SEI 5165804 e 5186826, Contrato nº 21/2025 - empresa Datagroup Tecnologia da Informação Ltda., CNPJ 33.416.994/0001-80).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</si>
</sst>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/m/yyyy"/>
    <numFmt numFmtId="165" formatCode="&quot;R$ &quot;#,##0.00_);[Red]&quot;(R$ &quot;#,##0.00\)"/>
    <numFmt numFmtId="166" formatCode="_-* #,##0.00_-;\-* #,##0.00_-;_-* \-??_-;_-@_-"/>
    <numFmt numFmtId="167" formatCode="_(&quot;R$ &quot;* #,##0.00_);_(&quot;R$ &quot;* \(#,##0.00\);_(&quot;R$ &quot;* \-??_);_(@_)"/>
    <numFmt numFmtId="168" formatCode="0.000%"/>
    <numFmt numFmtId="169" formatCode="_-[$R$-416]\ * #,##0.00_-;\-[$R$-416]\ * #,##0.00_-;_-[$R$-416]\ * &quot;-&quot;??_-;_-@_-"/>
    <numFmt numFmtId="170" formatCode="&quot;R$&quot;\ #,##0.00"/>
    <numFmt numFmtId="171" formatCode="_-&quot;R$ &quot;* #,##0.00_-;&quot;-R$ &quot;* #,##0.00_-;_-&quot;R$ &quot;* \-??_-;_-@_-"/>
  </numFmts>
  <fonts count="38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i/>
      <sz val="8"/>
      <name val="Calibri"/>
      <family val="2"/>
      <charset val="1"/>
    </font>
    <font>
      <i/>
      <sz val="7"/>
      <name val="Calibri"/>
      <family val="2"/>
      <charset val="1"/>
    </font>
    <font>
      <sz val="10"/>
      <color rgb="FFFF0000"/>
      <name val="Calibri"/>
      <family val="2"/>
      <charset val="1"/>
    </font>
    <font>
      <i/>
      <sz val="7"/>
      <color rgb="FFFF0000"/>
      <name val="Calibri"/>
      <family val="2"/>
      <charset val="1"/>
    </font>
    <font>
      <b/>
      <i/>
      <sz val="7"/>
      <name val="Calibri"/>
      <family val="2"/>
      <charset val="1"/>
    </font>
    <font>
      <sz val="10"/>
      <name val="Arial"/>
      <family val="2"/>
      <charset val="1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charset val="1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  <charset val="1"/>
    </font>
    <font>
      <i/>
      <sz val="11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C6D9F1"/>
        <bgColor rgb="FFB9CDE5"/>
      </patternFill>
    </fill>
    <fill>
      <patternFill patternType="solid">
        <fgColor rgb="FFFFFFFF"/>
        <bgColor rgb="FFDBEEF4"/>
      </patternFill>
    </fill>
    <fill>
      <patternFill patternType="solid">
        <fgColor rgb="FFB9CDE5"/>
        <bgColor rgb="FFC6D9F1"/>
      </patternFill>
    </fill>
    <fill>
      <patternFill patternType="solid">
        <fgColor rgb="FFDCE6F2"/>
        <bgColor rgb="FFDBEEF4"/>
      </patternFill>
    </fill>
    <fill>
      <patternFill patternType="solid">
        <fgColor rgb="FF8EB4E3"/>
        <bgColor rgb="FF9999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BEEF4"/>
      </patternFill>
    </fill>
    <fill>
      <patternFill patternType="solid">
        <fgColor theme="4" tint="0.79998168889431442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DFDFE0"/>
      </patternFill>
    </fill>
    <fill>
      <patternFill patternType="solid">
        <fgColor theme="0"/>
        <bgColor rgb="FFDCE6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DB4E3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66" fontId="9" fillId="0" borderId="0" applyBorder="0" applyProtection="0"/>
    <xf numFmtId="167" fontId="9" fillId="0" borderId="0" applyBorder="0" applyProtection="0"/>
    <xf numFmtId="9" fontId="9" fillId="0" borderId="0" applyBorder="0" applyProtection="0"/>
    <xf numFmtId="0" fontId="21" fillId="0" borderId="0"/>
    <xf numFmtId="0" fontId="29" fillId="0" borderId="0" applyNumberFormat="0" applyFill="0" applyBorder="0" applyAlignment="0" applyProtection="0"/>
    <xf numFmtId="0" fontId="1" fillId="0" borderId="0"/>
  </cellStyleXfs>
  <cellXfs count="296">
    <xf numFmtId="0" fontId="0" fillId="0" borderId="0" xfId="0"/>
    <xf numFmtId="166" fontId="5" fillId="3" borderId="0" xfId="1" applyFont="1" applyFill="1" applyBorder="1" applyProtection="1"/>
    <xf numFmtId="0" fontId="5" fillId="0" borderId="0" xfId="0" applyFont="1"/>
    <xf numFmtId="0" fontId="0" fillId="7" borderId="0" xfId="0" applyFill="1"/>
    <xf numFmtId="0" fontId="3" fillId="7" borderId="0" xfId="0" applyFont="1" applyFill="1"/>
    <xf numFmtId="0" fontId="3" fillId="8" borderId="0" xfId="0" applyFont="1" applyFill="1"/>
    <xf numFmtId="0" fontId="0" fillId="8" borderId="0" xfId="0" applyFill="1"/>
    <xf numFmtId="0" fontId="5" fillId="8" borderId="0" xfId="0" applyFont="1" applyFill="1"/>
    <xf numFmtId="166" fontId="5" fillId="8" borderId="0" xfId="1" applyFont="1" applyFill="1" applyBorder="1" applyProtection="1"/>
    <xf numFmtId="166" fontId="5" fillId="8" borderId="0" xfId="0" applyNumberFormat="1" applyFont="1" applyFill="1"/>
    <xf numFmtId="0" fontId="5" fillId="7" borderId="0" xfId="0" applyFont="1" applyFill="1"/>
    <xf numFmtId="0" fontId="7" fillId="7" borderId="0" xfId="0" applyFont="1" applyFill="1"/>
    <xf numFmtId="0" fontId="7" fillId="7" borderId="0" xfId="0" applyFont="1" applyFill="1" applyAlignment="1">
      <alignment horizontal="center"/>
    </xf>
    <xf numFmtId="166" fontId="5" fillId="7" borderId="0" xfId="0" applyNumberFormat="1" applyFont="1" applyFill="1"/>
    <xf numFmtId="2" fontId="3" fillId="7" borderId="0" xfId="0" applyNumberFormat="1" applyFont="1" applyFill="1"/>
    <xf numFmtId="167" fontId="2" fillId="7" borderId="0" xfId="2" applyFont="1" applyFill="1" applyBorder="1" applyProtection="1"/>
    <xf numFmtId="2" fontId="5" fillId="0" borderId="0" xfId="0" applyNumberFormat="1" applyFont="1" applyAlignment="1">
      <alignment vertical="center"/>
    </xf>
    <xf numFmtId="10" fontId="5" fillId="11" borderId="0" xfId="1" applyNumberFormat="1" applyFont="1" applyFill="1" applyBorder="1" applyAlignment="1" applyProtection="1">
      <alignment horizontal="center" vertical="center"/>
    </xf>
    <xf numFmtId="10" fontId="5" fillId="12" borderId="0" xfId="1" applyNumberFormat="1" applyFont="1" applyFill="1" applyBorder="1" applyAlignment="1" applyProtection="1">
      <alignment horizontal="center" vertical="center"/>
    </xf>
    <xf numFmtId="10" fontId="5" fillId="7" borderId="0" xfId="0" applyNumberFormat="1" applyFont="1" applyFill="1" applyAlignment="1">
      <alignment vertical="center"/>
    </xf>
    <xf numFmtId="0" fontId="5" fillId="11" borderId="0" xfId="0" applyFont="1" applyFill="1" applyAlignment="1">
      <alignment vertical="center" wrapText="1"/>
    </xf>
    <xf numFmtId="0" fontId="5" fillId="12" borderId="0" xfId="0" applyFont="1" applyFill="1" applyAlignment="1">
      <alignment vertical="center" wrapText="1"/>
    </xf>
    <xf numFmtId="0" fontId="5" fillId="7" borderId="0" xfId="0" applyFont="1" applyFill="1" applyAlignment="1">
      <alignment vertical="justify"/>
    </xf>
    <xf numFmtId="0" fontId="5" fillId="12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wrapText="1"/>
    </xf>
    <xf numFmtId="0" fontId="0" fillId="0" borderId="0" xfId="0" applyAlignment="1">
      <alignment vertical="center"/>
    </xf>
    <xf numFmtId="0" fontId="2" fillId="7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10" fontId="3" fillId="0" borderId="1" xfId="3" applyNumberFormat="1" applyFont="1" applyBorder="1" applyAlignment="1" applyProtection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vertical="center"/>
    </xf>
    <xf numFmtId="10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10" fontId="3" fillId="1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vertical="center"/>
    </xf>
    <xf numFmtId="10" fontId="3" fillId="0" borderId="1" xfId="0" applyNumberFormat="1" applyFont="1" applyBorder="1" applyAlignment="1">
      <alignment horizontal="center" vertical="center"/>
    </xf>
    <xf numFmtId="2" fontId="3" fillId="7" borderId="1" xfId="0" applyNumberFormat="1" applyFont="1" applyFill="1" applyBorder="1" applyAlignment="1">
      <alignment vertical="center"/>
    </xf>
    <xf numFmtId="10" fontId="2" fillId="5" borderId="1" xfId="0" applyNumberFormat="1" applyFont="1" applyFill="1" applyBorder="1" applyAlignment="1">
      <alignment horizontal="center" vertical="center"/>
    </xf>
    <xf numFmtId="2" fontId="2" fillId="7" borderId="1" xfId="0" applyNumberFormat="1" applyFont="1" applyFill="1" applyBorder="1" applyAlignment="1">
      <alignment vertical="center"/>
    </xf>
    <xf numFmtId="10" fontId="2" fillId="9" borderId="1" xfId="0" applyNumberFormat="1" applyFont="1" applyFill="1" applyBorder="1" applyAlignment="1">
      <alignment horizontal="center" vertical="center"/>
    </xf>
    <xf numFmtId="2" fontId="2" fillId="9" borderId="1" xfId="0" applyNumberFormat="1" applyFont="1" applyFill="1" applyBorder="1" applyAlignment="1">
      <alignment vertical="center"/>
    </xf>
    <xf numFmtId="2" fontId="2" fillId="0" borderId="3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4" fontId="3" fillId="7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10" fontId="3" fillId="3" borderId="1" xfId="0" applyNumberFormat="1" applyFont="1" applyFill="1" applyBorder="1" applyAlignment="1">
      <alignment horizontal="center" vertical="center"/>
    </xf>
    <xf numFmtId="2" fontId="3" fillId="10" borderId="1" xfId="0" applyNumberFormat="1" applyFont="1" applyFill="1" applyBorder="1" applyAlignment="1">
      <alignment horizontal="right" vertical="center"/>
    </xf>
    <xf numFmtId="168" fontId="3" fillId="10" borderId="1" xfId="0" applyNumberFormat="1" applyFont="1" applyFill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2" fontId="11" fillId="7" borderId="1" xfId="0" applyNumberFormat="1" applyFont="1" applyFill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vertical="center"/>
    </xf>
    <xf numFmtId="2" fontId="11" fillId="0" borderId="1" xfId="0" applyNumberFormat="1" applyFont="1" applyBorder="1" applyAlignment="1">
      <alignment vertical="center"/>
    </xf>
    <xf numFmtId="10" fontId="11" fillId="10" borderId="1" xfId="0" applyNumberFormat="1" applyFont="1" applyFill="1" applyBorder="1" applyAlignment="1">
      <alignment horizontal="center" vertical="center"/>
    </xf>
    <xf numFmtId="10" fontId="3" fillId="10" borderId="1" xfId="3" applyNumberFormat="1" applyFont="1" applyFill="1" applyBorder="1" applyAlignment="1" applyProtection="1">
      <alignment horizontal="center" vertical="center"/>
    </xf>
    <xf numFmtId="0" fontId="12" fillId="0" borderId="0" xfId="0" applyFont="1"/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7" fillId="7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5" fillId="8" borderId="0" xfId="0" applyFont="1" applyFill="1" applyAlignment="1">
      <alignment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1" fontId="17" fillId="0" borderId="1" xfId="2" applyNumberFormat="1" applyFont="1" applyBorder="1" applyAlignment="1" applyProtection="1">
      <alignment horizontal="center" vertical="center"/>
    </xf>
    <xf numFmtId="0" fontId="19" fillId="0" borderId="0" xfId="0" applyFont="1" applyAlignment="1">
      <alignment vertical="center"/>
    </xf>
    <xf numFmtId="1" fontId="17" fillId="0" borderId="0" xfId="2" applyNumberFormat="1" applyFont="1" applyBorder="1" applyAlignment="1" applyProtection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2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/>
    </xf>
    <xf numFmtId="10" fontId="17" fillId="18" borderId="1" xfId="0" applyNumberFormat="1" applyFont="1" applyFill="1" applyBorder="1" applyAlignment="1">
      <alignment horizontal="center" vertical="center"/>
    </xf>
    <xf numFmtId="169" fontId="17" fillId="18" borderId="1" xfId="0" applyNumberFormat="1" applyFont="1" applyFill="1" applyBorder="1" applyAlignment="1">
      <alignment vertical="center"/>
    </xf>
    <xf numFmtId="14" fontId="0" fillId="0" borderId="0" xfId="0" applyNumberFormat="1" applyAlignment="1">
      <alignment horizontal="left"/>
    </xf>
    <xf numFmtId="0" fontId="25" fillId="0" borderId="0" xfId="0" applyFont="1" applyAlignment="1">
      <alignment horizontal="center" vertical="center" wrapText="1"/>
    </xf>
    <xf numFmtId="44" fontId="17" fillId="0" borderId="0" xfId="0" applyNumberFormat="1" applyFont="1" applyAlignment="1">
      <alignment horizontal="center" vertical="center" wrapText="1"/>
    </xf>
    <xf numFmtId="44" fontId="17" fillId="0" borderId="0" xfId="0" applyNumberFormat="1" applyFont="1" applyAlignment="1">
      <alignment horizontal="center" vertical="center"/>
    </xf>
    <xf numFmtId="44" fontId="25" fillId="0" borderId="0" xfId="0" applyNumberFormat="1" applyFont="1" applyAlignment="1">
      <alignment vertical="center"/>
    </xf>
    <xf numFmtId="167" fontId="25" fillId="0" borderId="0" xfId="2" applyFont="1" applyBorder="1" applyAlignment="1" applyProtection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1" fontId="17" fillId="0" borderId="9" xfId="2" applyNumberFormat="1" applyFont="1" applyBorder="1" applyAlignment="1" applyProtection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/>
    <xf numFmtId="1" fontId="17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170" fontId="17" fillId="0" borderId="1" xfId="2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170" fontId="17" fillId="0" borderId="9" xfId="2" applyNumberFormat="1" applyFont="1" applyBorder="1" applyAlignment="1" applyProtection="1">
      <alignment horizontal="center" vertical="center"/>
    </xf>
    <xf numFmtId="4" fontId="26" fillId="0" borderId="1" xfId="0" applyNumberFormat="1" applyFont="1" applyBorder="1" applyAlignment="1">
      <alignment vertical="center"/>
    </xf>
    <xf numFmtId="2" fontId="0" fillId="0" borderId="0" xfId="0" applyNumberFormat="1"/>
    <xf numFmtId="0" fontId="4" fillId="8" borderId="9" xfId="0" applyFont="1" applyFill="1" applyBorder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4" fillId="7" borderId="0" xfId="0" applyFont="1" applyFill="1" applyAlignment="1">
      <alignment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67" fontId="17" fillId="0" borderId="1" xfId="2" applyFont="1" applyBorder="1" applyAlignment="1" applyProtection="1">
      <alignment vertical="center"/>
    </xf>
    <xf numFmtId="9" fontId="17" fillId="0" borderId="1" xfId="3" applyFont="1" applyBorder="1" applyAlignment="1" applyProtection="1">
      <alignment horizontal="center" vertical="center"/>
    </xf>
    <xf numFmtId="167" fontId="17" fillId="0" borderId="1" xfId="2" applyFont="1" applyBorder="1" applyAlignment="1" applyProtection="1">
      <alignment horizontal="center" vertical="center"/>
    </xf>
    <xf numFmtId="0" fontId="22" fillId="0" borderId="0" xfId="0" applyFont="1" applyAlignment="1">
      <alignment vertical="center"/>
    </xf>
    <xf numFmtId="10" fontId="17" fillId="0" borderId="1" xfId="0" applyNumberFormat="1" applyFont="1" applyBorder="1" applyAlignment="1">
      <alignment horizontal="center" vertical="center"/>
    </xf>
    <xf numFmtId="4" fontId="17" fillId="0" borderId="1" xfId="2" applyNumberFormat="1" applyFont="1" applyBorder="1" applyAlignment="1" applyProtection="1">
      <alignment horizontal="center" vertical="center"/>
    </xf>
    <xf numFmtId="44" fontId="25" fillId="0" borderId="1" xfId="0" applyNumberFormat="1" applyFont="1" applyBorder="1" applyAlignment="1">
      <alignment horizontal="center" vertical="center" wrapText="1"/>
    </xf>
    <xf numFmtId="44" fontId="25" fillId="0" borderId="1" xfId="0" applyNumberFormat="1" applyFont="1" applyBorder="1" applyAlignment="1">
      <alignment horizontal="center" vertical="center"/>
    </xf>
    <xf numFmtId="43" fontId="17" fillId="0" borderId="0" xfId="0" applyNumberFormat="1" applyFont="1" applyAlignment="1">
      <alignment vertical="center"/>
    </xf>
    <xf numFmtId="167" fontId="25" fillId="20" borderId="1" xfId="2" applyFont="1" applyFill="1" applyBorder="1" applyAlignment="1" applyProtection="1">
      <alignment vertical="center"/>
    </xf>
    <xf numFmtId="165" fontId="10" fillId="10" borderId="1" xfId="0" applyNumberFormat="1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167" fontId="17" fillId="0" borderId="1" xfId="2" applyFont="1" applyBorder="1" applyAlignment="1">
      <alignment vertical="center"/>
    </xf>
    <xf numFmtId="0" fontId="24" fillId="10" borderId="1" xfId="0" applyFont="1" applyFill="1" applyBorder="1" applyAlignment="1" applyProtection="1">
      <alignment wrapText="1"/>
      <protection locked="0"/>
    </xf>
    <xf numFmtId="169" fontId="24" fillId="10" borderId="1" xfId="0" applyNumberFormat="1" applyFont="1" applyFill="1" applyBorder="1" applyAlignment="1" applyProtection="1">
      <alignment vertical="center"/>
      <protection locked="0"/>
    </xf>
    <xf numFmtId="0" fontId="24" fillId="10" borderId="1" xfId="0" applyFont="1" applyFill="1" applyBorder="1" applyAlignment="1" applyProtection="1">
      <alignment vertical="center" wrapText="1"/>
      <protection locked="0"/>
    </xf>
    <xf numFmtId="0" fontId="29" fillId="0" borderId="0" xfId="5"/>
    <xf numFmtId="0" fontId="0" fillId="0" borderId="2" xfId="0" applyBorder="1"/>
    <xf numFmtId="0" fontId="0" fillId="0" borderId="19" xfId="0" applyBorder="1"/>
    <xf numFmtId="0" fontId="0" fillId="0" borderId="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13" xfId="0" applyFont="1" applyBorder="1" applyAlignment="1">
      <alignment vertical="center"/>
    </xf>
    <xf numFmtId="0" fontId="0" fillId="0" borderId="2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33" fillId="0" borderId="1" xfId="6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 wrapText="1"/>
    </xf>
    <xf numFmtId="0" fontId="30" fillId="0" borderId="0" xfId="0" applyFont="1"/>
    <xf numFmtId="0" fontId="34" fillId="21" borderId="0" xfId="6" applyFont="1" applyFill="1" applyAlignment="1">
      <alignment horizontal="left" vertical="center" wrapText="1"/>
    </xf>
    <xf numFmtId="0" fontId="31" fillId="21" borderId="0" xfId="6" applyFont="1" applyFill="1" applyAlignment="1">
      <alignment horizontal="center" vertical="center" wrapText="1"/>
    </xf>
    <xf numFmtId="0" fontId="13" fillId="0" borderId="1" xfId="6" applyFont="1" applyBorder="1" applyAlignment="1">
      <alignment vertical="center" wrapText="1"/>
    </xf>
    <xf numFmtId="0" fontId="16" fillId="14" borderId="1" xfId="0" applyFont="1" applyFill="1" applyBorder="1" applyAlignment="1">
      <alignment horizontal="center" vertical="center" wrapText="1"/>
    </xf>
    <xf numFmtId="1" fontId="16" fillId="14" borderId="1" xfId="0" applyNumberFormat="1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/>
    </xf>
    <xf numFmtId="2" fontId="19" fillId="14" borderId="1" xfId="0" applyNumberFormat="1" applyFont="1" applyFill="1" applyBorder="1" applyAlignment="1">
      <alignment horizontal="center" vertical="center"/>
    </xf>
    <xf numFmtId="1" fontId="19" fillId="14" borderId="1" xfId="0" applyNumberFormat="1" applyFont="1" applyFill="1" applyBorder="1" applyAlignment="1">
      <alignment horizontal="center" vertical="center"/>
    </xf>
    <xf numFmtId="167" fontId="19" fillId="14" borderId="1" xfId="2" applyFont="1" applyFill="1" applyBorder="1" applyAlignment="1" applyProtection="1">
      <alignment horizontal="center" vertical="center" wrapText="1"/>
    </xf>
    <xf numFmtId="44" fontId="19" fillId="14" borderId="1" xfId="0" applyNumberFormat="1" applyFont="1" applyFill="1" applyBorder="1" applyAlignment="1">
      <alignment horizontal="center" vertical="center"/>
    </xf>
    <xf numFmtId="167" fontId="19" fillId="14" borderId="1" xfId="2" applyFont="1" applyFill="1" applyBorder="1" applyAlignment="1">
      <alignment horizontal="center" vertical="center"/>
    </xf>
    <xf numFmtId="0" fontId="32" fillId="14" borderId="1" xfId="6" applyFont="1" applyFill="1" applyBorder="1" applyAlignment="1">
      <alignment horizontal="center" vertical="center"/>
    </xf>
    <xf numFmtId="0" fontId="32" fillId="14" borderId="1" xfId="6" applyFont="1" applyFill="1" applyBorder="1" applyAlignment="1">
      <alignment vertical="center" wrapText="1"/>
    </xf>
    <xf numFmtId="0" fontId="32" fillId="14" borderId="1" xfId="6" applyFont="1" applyFill="1" applyBorder="1" applyAlignment="1">
      <alignment horizontal="center" vertical="center" wrapText="1"/>
    </xf>
    <xf numFmtId="171" fontId="32" fillId="14" borderId="1" xfId="6" applyNumberFormat="1" applyFont="1" applyFill="1" applyBorder="1" applyAlignment="1">
      <alignment horizontal="center" vertical="center" wrapText="1"/>
    </xf>
    <xf numFmtId="4" fontId="35" fillId="14" borderId="1" xfId="6" applyNumberFormat="1" applyFont="1" applyFill="1" applyBorder="1" applyAlignment="1">
      <alignment horizontal="center" vertical="center"/>
    </xf>
    <xf numFmtId="4" fontId="36" fillId="0" borderId="1" xfId="6" applyNumberFormat="1" applyFont="1" applyBorder="1" applyAlignment="1">
      <alignment horizontal="center" vertical="center" wrapText="1"/>
    </xf>
    <xf numFmtId="4" fontId="36" fillId="0" borderId="1" xfId="2" applyNumberFormat="1" applyFont="1" applyBorder="1" applyAlignment="1">
      <alignment horizontal="center" vertical="center"/>
    </xf>
    <xf numFmtId="4" fontId="36" fillId="0" borderId="1" xfId="6" applyNumberFormat="1" applyFont="1" applyBorder="1" applyAlignment="1">
      <alignment horizontal="center" vertical="center"/>
    </xf>
    <xf numFmtId="170" fontId="16" fillId="20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17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37" fillId="0" borderId="16" xfId="0" applyFont="1" applyBorder="1" applyAlignment="1">
      <alignment horizontal="left" vertical="center" wrapText="1"/>
    </xf>
    <xf numFmtId="0" fontId="37" fillId="0" borderId="17" xfId="0" applyFont="1" applyBorder="1" applyAlignment="1">
      <alignment horizontal="left" vertical="center" wrapText="1"/>
    </xf>
    <xf numFmtId="0" fontId="37" fillId="0" borderId="18" xfId="0" applyFont="1" applyBorder="1" applyAlignment="1">
      <alignment horizontal="left" vertical="center" wrapText="1"/>
    </xf>
    <xf numFmtId="0" fontId="37" fillId="0" borderId="2" xfId="0" applyFont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7" fillId="0" borderId="19" xfId="0" applyFont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31" fillId="21" borderId="0" xfId="6" applyFont="1" applyFill="1" applyAlignment="1">
      <alignment horizontal="left" vertical="center" wrapText="1"/>
    </xf>
    <xf numFmtId="0" fontId="34" fillId="21" borderId="0" xfId="6" applyFont="1" applyFill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31" fillId="21" borderId="0" xfId="6" applyFont="1" applyFill="1" applyAlignment="1">
      <alignment horizontal="left" vertical="center"/>
    </xf>
    <xf numFmtId="0" fontId="31" fillId="0" borderId="0" xfId="6" applyFont="1" applyAlignment="1">
      <alignment horizontal="center" vertical="center" wrapText="1"/>
    </xf>
    <xf numFmtId="0" fontId="31" fillId="0" borderId="0" xfId="6" applyFont="1" applyAlignment="1">
      <alignment horizontal="center" vertical="center"/>
    </xf>
    <xf numFmtId="0" fontId="19" fillId="0" borderId="0" xfId="6" applyFont="1" applyAlignment="1">
      <alignment horizontal="center" vertical="center"/>
    </xf>
    <xf numFmtId="0" fontId="31" fillId="14" borderId="9" xfId="6" applyFont="1" applyFill="1" applyBorder="1" applyAlignment="1">
      <alignment horizontal="left" vertical="center" wrapText="1"/>
    </xf>
    <xf numFmtId="0" fontId="31" fillId="14" borderId="0" xfId="6" applyFont="1" applyFill="1" applyAlignment="1">
      <alignment horizontal="left" vertical="center" wrapText="1"/>
    </xf>
    <xf numFmtId="0" fontId="31" fillId="21" borderId="0" xfId="6" applyFont="1" applyFill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33" fillId="0" borderId="25" xfId="6" applyFont="1" applyBorder="1" applyAlignment="1">
      <alignment horizontal="center" vertical="center"/>
    </xf>
    <xf numFmtId="0" fontId="33" fillId="0" borderId="26" xfId="6" applyFont="1" applyBorder="1" applyAlignment="1">
      <alignment horizontal="center" vertical="center"/>
    </xf>
    <xf numFmtId="0" fontId="34" fillId="21" borderId="0" xfId="6" applyFont="1" applyFill="1" applyAlignment="1">
      <alignment horizontal="left" vertical="center"/>
    </xf>
    <xf numFmtId="0" fontId="13" fillId="0" borderId="0" xfId="6" applyFont="1" applyAlignment="1">
      <alignment horizontal="justify" vertical="center" wrapText="1"/>
    </xf>
    <xf numFmtId="0" fontId="17" fillId="0" borderId="13" xfId="6" applyFont="1" applyBorder="1" applyAlignment="1">
      <alignment horizontal="center" vertical="center"/>
    </xf>
    <xf numFmtId="0" fontId="35" fillId="14" borderId="23" xfId="6" applyFont="1" applyFill="1" applyBorder="1" applyAlignment="1">
      <alignment horizontal="center" vertical="center"/>
    </xf>
    <xf numFmtId="0" fontId="35" fillId="14" borderId="24" xfId="6" applyFont="1" applyFill="1" applyBorder="1" applyAlignment="1">
      <alignment horizontal="center" vertical="center"/>
    </xf>
    <xf numFmtId="0" fontId="31" fillId="21" borderId="0" xfId="6" applyFont="1" applyFill="1" applyAlignment="1">
      <alignment horizontal="left" vertical="justify" wrapText="1"/>
    </xf>
    <xf numFmtId="0" fontId="35" fillId="14" borderId="1" xfId="6" applyFont="1" applyFill="1" applyBorder="1" applyAlignment="1">
      <alignment horizontal="right" vertical="center"/>
    </xf>
    <xf numFmtId="0" fontId="19" fillId="14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14" borderId="3" xfId="0" applyFont="1" applyFill="1" applyBorder="1" applyAlignment="1">
      <alignment horizontal="center" vertical="center"/>
    </xf>
    <xf numFmtId="0" fontId="19" fillId="14" borderId="8" xfId="0" applyFont="1" applyFill="1" applyBorder="1" applyAlignment="1">
      <alignment horizontal="center" vertical="center"/>
    </xf>
    <xf numFmtId="0" fontId="19" fillId="14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12" borderId="0" xfId="0" applyFont="1" applyFill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7" borderId="0" xfId="0" applyFont="1" applyFill="1" applyAlignment="1">
      <alignment horizontal="center"/>
    </xf>
    <xf numFmtId="0" fontId="5" fillId="13" borderId="0" xfId="0" applyFont="1" applyFill="1" applyAlignment="1">
      <alignment horizont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wrapText="1"/>
    </xf>
    <xf numFmtId="0" fontId="2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16" fillId="14" borderId="1" xfId="0" applyNumberFormat="1" applyFont="1" applyFill="1" applyBorder="1" applyAlignment="1">
      <alignment horizontal="center" vertical="center"/>
    </xf>
    <xf numFmtId="0" fontId="16" fillId="14" borderId="3" xfId="0" applyFont="1" applyFill="1" applyBorder="1" applyAlignment="1">
      <alignment horizontal="left" vertical="center"/>
    </xf>
    <xf numFmtId="0" fontId="16" fillId="14" borderId="8" xfId="0" applyFont="1" applyFill="1" applyBorder="1" applyAlignment="1">
      <alignment horizontal="left" vertical="center"/>
    </xf>
    <xf numFmtId="0" fontId="16" fillId="14" borderId="7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16" fillId="14" borderId="1" xfId="0" applyFont="1" applyFill="1" applyBorder="1" applyAlignment="1">
      <alignment horizontal="left" vertical="center"/>
    </xf>
    <xf numFmtId="0" fontId="16" fillId="14" borderId="1" xfId="0" applyFont="1" applyFill="1" applyBorder="1" applyAlignment="1">
      <alignment horizontal="center"/>
    </xf>
    <xf numFmtId="44" fontId="19" fillId="14" borderId="12" xfId="0" applyNumberFormat="1" applyFont="1" applyFill="1" applyBorder="1" applyAlignment="1">
      <alignment horizontal="center" vertical="center"/>
    </xf>
    <xf numFmtId="44" fontId="19" fillId="14" borderId="13" xfId="0" applyNumberFormat="1" applyFont="1" applyFill="1" applyBorder="1" applyAlignment="1">
      <alignment horizontal="center" vertical="center"/>
    </xf>
    <xf numFmtId="44" fontId="19" fillId="14" borderId="14" xfId="0" applyNumberFormat="1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 vertical="center"/>
    </xf>
    <xf numFmtId="0" fontId="22" fillId="18" borderId="1" xfId="0" applyFont="1" applyFill="1" applyBorder="1" applyAlignment="1">
      <alignment horizontal="center" vertical="center"/>
    </xf>
    <xf numFmtId="0" fontId="16" fillId="18" borderId="1" xfId="0" applyFont="1" applyFill="1" applyBorder="1" applyAlignment="1">
      <alignment horizontal="center" vertical="center" textRotation="90" wrapText="1"/>
    </xf>
    <xf numFmtId="0" fontId="23" fillId="18" borderId="1" xfId="4" applyFont="1" applyFill="1" applyBorder="1" applyAlignment="1">
      <alignment horizontal="left" vertical="center" wrapText="1" shrinkToFit="1"/>
    </xf>
    <xf numFmtId="0" fontId="17" fillId="18" borderId="1" xfId="4" applyFont="1" applyFill="1" applyBorder="1" applyAlignment="1">
      <alignment horizontal="left" vertical="center" wrapText="1" shrinkToFit="1"/>
    </xf>
    <xf numFmtId="0" fontId="17" fillId="18" borderId="1" xfId="0" applyFont="1" applyFill="1" applyBorder="1" applyAlignment="1">
      <alignment horizontal="center" vertical="center"/>
    </xf>
    <xf numFmtId="169" fontId="22" fillId="18" borderId="1" xfId="0" applyNumberFormat="1" applyFont="1" applyFill="1" applyBorder="1" applyAlignment="1">
      <alignment horizontal="center" vertical="center"/>
    </xf>
    <xf numFmtId="0" fontId="16" fillId="18" borderId="1" xfId="0" applyFont="1" applyFill="1" applyBorder="1" applyAlignment="1">
      <alignment horizontal="center" vertical="center"/>
    </xf>
    <xf numFmtId="169" fontId="17" fillId="18" borderId="1" xfId="0" applyNumberFormat="1" applyFont="1" applyFill="1" applyBorder="1" applyAlignment="1">
      <alignment horizontal="center" vertical="center"/>
    </xf>
    <xf numFmtId="2" fontId="17" fillId="18" borderId="1" xfId="0" applyNumberFormat="1" applyFont="1" applyFill="1" applyBorder="1" applyAlignment="1">
      <alignment horizontal="center" vertical="center"/>
    </xf>
    <xf numFmtId="169" fontId="16" fillId="19" borderId="1" xfId="0" applyNumberFormat="1" applyFont="1" applyFill="1" applyBorder="1" applyAlignment="1">
      <alignment horizontal="center" vertical="center"/>
    </xf>
  </cellXfs>
  <cellStyles count="7">
    <cellStyle name="Hiperlink" xfId="5" builtinId="8"/>
    <cellStyle name="Moeda" xfId="2" builtinId="4"/>
    <cellStyle name="Normal" xfId="0" builtinId="0"/>
    <cellStyle name="Normal 10" xfId="4" xr:uid="{B709CEEC-5992-485B-A611-94FC65B16E89}"/>
    <cellStyle name="Normal 3 2" xfId="6" xr:uid="{C275F72D-1B02-4F9A-8492-90B32DA8CF44}"/>
    <cellStyle name="Porcentagem" xfId="3" builtinId="5"/>
    <cellStyle name="Vírgula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7F7F80"/>
      <rgbColor rgb="FF9999FF"/>
      <rgbColor rgb="FF993366"/>
      <rgbColor rgb="FFE6E0EC"/>
      <rgbColor rgb="FFDBEEF4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D7E4BD"/>
      <rgbColor rgb="FFDFDFE0"/>
      <rgbColor rgb="FF8EB4E3"/>
      <rgbColor rgb="FFFF99CC"/>
      <rgbColor rgb="FFD9D9D9"/>
      <rgbColor rgb="FFDDD9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990600</xdr:colOff>
      <xdr:row>0</xdr:row>
      <xdr:rowOff>47625</xdr:rowOff>
    </xdr:from>
    <xdr:to>
      <xdr:col>1</xdr:col>
      <xdr:colOff>2270125</xdr:colOff>
      <xdr:row>5</xdr:row>
      <xdr:rowOff>66675</xdr:rowOff>
    </xdr:to>
    <xdr:pic>
      <xdr:nvPicPr>
        <xdr:cNvPr id="6" name="Picture 174">
          <a:extLst>
            <a:ext uri="{FF2B5EF4-FFF2-40B4-BE49-F238E27FC236}">
              <a16:creationId xmlns:a16="http://schemas.microsoft.com/office/drawing/2014/main" id="{0F1FDB12-26C4-436A-98B8-36C41F09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47625"/>
          <a:ext cx="12795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85725</xdr:rowOff>
    </xdr:from>
    <xdr:to>
      <xdr:col>4</xdr:col>
      <xdr:colOff>66675</xdr:colOff>
      <xdr:row>5</xdr:row>
      <xdr:rowOff>104775</xdr:rowOff>
    </xdr:to>
    <xdr:pic>
      <xdr:nvPicPr>
        <xdr:cNvPr id="2" name="Picture 174">
          <a:extLst>
            <a:ext uri="{FF2B5EF4-FFF2-40B4-BE49-F238E27FC236}">
              <a16:creationId xmlns:a16="http://schemas.microsoft.com/office/drawing/2014/main" id="{7E244FE4-938A-4125-8FA6-40281921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725"/>
          <a:ext cx="12858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85725</xdr:rowOff>
    </xdr:from>
    <xdr:to>
      <xdr:col>3</xdr:col>
      <xdr:colOff>638175</xdr:colOff>
      <xdr:row>5</xdr:row>
      <xdr:rowOff>104775</xdr:rowOff>
    </xdr:to>
    <xdr:pic>
      <xdr:nvPicPr>
        <xdr:cNvPr id="2" name="Picture 174">
          <a:extLst>
            <a:ext uri="{FF2B5EF4-FFF2-40B4-BE49-F238E27FC236}">
              <a16:creationId xmlns:a16="http://schemas.microsoft.com/office/drawing/2014/main" id="{B9A842BE-E63E-45A4-9A52-2B29D146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725"/>
          <a:ext cx="12858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828675</xdr:colOff>
      <xdr:row>0</xdr:row>
      <xdr:rowOff>123825</xdr:rowOff>
    </xdr:from>
    <xdr:to>
      <xdr:col>1</xdr:col>
      <xdr:colOff>142875</xdr:colOff>
      <xdr:row>5</xdr:row>
      <xdr:rowOff>142875</xdr:rowOff>
    </xdr:to>
    <xdr:pic>
      <xdr:nvPicPr>
        <xdr:cNvPr id="2" name="Picture 174">
          <a:extLst>
            <a:ext uri="{FF2B5EF4-FFF2-40B4-BE49-F238E27FC236}">
              <a16:creationId xmlns:a16="http://schemas.microsoft.com/office/drawing/2014/main" id="{BFD0B760-2A20-469A-A4A4-8482CED4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23825"/>
          <a:ext cx="12858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95250</xdr:rowOff>
    </xdr:from>
    <xdr:to>
      <xdr:col>1</xdr:col>
      <xdr:colOff>1323975</xdr:colOff>
      <xdr:row>5</xdr:row>
      <xdr:rowOff>114300</xdr:rowOff>
    </xdr:to>
    <xdr:pic>
      <xdr:nvPicPr>
        <xdr:cNvPr id="2" name="Picture 174">
          <a:extLst>
            <a:ext uri="{FF2B5EF4-FFF2-40B4-BE49-F238E27FC236}">
              <a16:creationId xmlns:a16="http://schemas.microsoft.com/office/drawing/2014/main" id="{333B77D6-2055-4D25-95EF-1ACABB83E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95250"/>
          <a:ext cx="12858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0</xdr:row>
      <xdr:rowOff>133350</xdr:rowOff>
    </xdr:from>
    <xdr:to>
      <xdr:col>6</xdr:col>
      <xdr:colOff>828675</xdr:colOff>
      <xdr:row>5</xdr:row>
      <xdr:rowOff>152400</xdr:rowOff>
    </xdr:to>
    <xdr:pic>
      <xdr:nvPicPr>
        <xdr:cNvPr id="2" name="Picture 174">
          <a:extLst>
            <a:ext uri="{FF2B5EF4-FFF2-40B4-BE49-F238E27FC236}">
              <a16:creationId xmlns:a16="http://schemas.microsoft.com/office/drawing/2014/main" id="{43A281D7-9EAD-4C4A-82C1-FDAF7D275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133350"/>
          <a:ext cx="12858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C697-4A5E-4FD8-9C63-EA1DEA3C2C0C}">
  <dimension ref="A1:H31"/>
  <sheetViews>
    <sheetView tabSelected="1" workbookViewId="0">
      <selection activeCell="F20" sqref="F20"/>
    </sheetView>
  </sheetViews>
  <sheetFormatPr defaultRowHeight="12.75" x14ac:dyDescent="0.2"/>
  <cols>
    <col min="1" max="1" width="8.140625" customWidth="1"/>
    <col min="2" max="2" width="7.28515625" customWidth="1"/>
    <col min="3" max="3" width="39.85546875" customWidth="1"/>
    <col min="5" max="5" width="9.28515625" bestFit="1" customWidth="1"/>
    <col min="6" max="7" width="16.7109375" customWidth="1"/>
    <col min="8" max="8" width="20" customWidth="1"/>
  </cols>
  <sheetData>
    <row r="1" spans="1:8" ht="15" x14ac:dyDescent="0.25">
      <c r="A1" s="192"/>
      <c r="B1" s="192"/>
      <c r="C1" s="192"/>
      <c r="D1" s="192"/>
      <c r="E1" s="192"/>
      <c r="F1" s="192"/>
      <c r="G1" s="192"/>
      <c r="H1" s="192"/>
    </row>
    <row r="2" spans="1:8" ht="15.75" x14ac:dyDescent="0.2">
      <c r="A2" s="193" t="s">
        <v>248</v>
      </c>
      <c r="B2" s="193"/>
      <c r="C2" s="193"/>
      <c r="D2" s="193"/>
      <c r="E2" s="193"/>
      <c r="F2" s="193"/>
      <c r="G2" s="193"/>
      <c r="H2" s="193"/>
    </row>
    <row r="3" spans="1:8" ht="15.75" x14ac:dyDescent="0.2">
      <c r="A3" s="193" t="s">
        <v>270</v>
      </c>
      <c r="B3" s="193"/>
      <c r="C3" s="193"/>
      <c r="D3" s="193"/>
      <c r="E3" s="193"/>
      <c r="F3" s="193"/>
      <c r="G3" s="193"/>
      <c r="H3" s="193"/>
    </row>
    <row r="4" spans="1:8" ht="15.75" x14ac:dyDescent="0.2">
      <c r="A4" s="194"/>
      <c r="B4" s="195"/>
      <c r="C4" s="195"/>
      <c r="D4" s="195"/>
      <c r="E4" s="195"/>
      <c r="F4" s="195"/>
      <c r="G4" s="195"/>
      <c r="H4" s="195"/>
    </row>
    <row r="5" spans="1:8" ht="15.75" x14ac:dyDescent="0.2">
      <c r="A5" s="193" t="s">
        <v>271</v>
      </c>
      <c r="B5" s="193"/>
      <c r="C5" s="193"/>
      <c r="D5" s="193"/>
      <c r="E5" s="193"/>
      <c r="F5" s="193"/>
      <c r="G5" s="193"/>
      <c r="H5" s="193"/>
    </row>
    <row r="6" spans="1:8" ht="15.75" x14ac:dyDescent="0.2">
      <c r="A6" s="196"/>
      <c r="B6" s="196"/>
      <c r="C6" s="196"/>
      <c r="D6" s="196"/>
      <c r="E6" s="196"/>
      <c r="F6" s="196"/>
      <c r="G6" s="196"/>
      <c r="H6" s="196"/>
    </row>
    <row r="7" spans="1:8" ht="15.75" x14ac:dyDescent="0.2">
      <c r="A7" s="197" t="s">
        <v>249</v>
      </c>
      <c r="B7" s="198"/>
      <c r="C7" s="198"/>
      <c r="D7" s="198"/>
      <c r="E7" s="198"/>
      <c r="F7" s="198"/>
      <c r="G7" s="198"/>
      <c r="H7" s="198"/>
    </row>
    <row r="8" spans="1:8" ht="15.75" x14ac:dyDescent="0.2">
      <c r="A8" s="190" t="s">
        <v>250</v>
      </c>
      <c r="B8" s="190"/>
      <c r="C8" s="191"/>
      <c r="D8" s="191"/>
      <c r="E8" s="191"/>
      <c r="F8" s="191"/>
      <c r="G8" s="191"/>
      <c r="H8" s="191"/>
    </row>
    <row r="9" spans="1:8" ht="15.75" x14ac:dyDescent="0.2">
      <c r="A9" s="190" t="s">
        <v>251</v>
      </c>
      <c r="B9" s="190"/>
      <c r="C9" s="191"/>
      <c r="D9" s="191"/>
      <c r="E9" s="191"/>
      <c r="F9" s="191"/>
      <c r="G9" s="191"/>
      <c r="H9" s="191"/>
    </row>
    <row r="10" spans="1:8" ht="15.75" x14ac:dyDescent="0.2">
      <c r="A10" s="190" t="s">
        <v>252</v>
      </c>
      <c r="B10" s="190"/>
      <c r="C10" s="191"/>
      <c r="D10" s="191"/>
      <c r="E10" s="191"/>
      <c r="F10" s="191"/>
      <c r="G10" s="191"/>
      <c r="H10" s="191"/>
    </row>
    <row r="11" spans="1:8" ht="15.75" x14ac:dyDescent="0.2">
      <c r="A11" s="190" t="s">
        <v>253</v>
      </c>
      <c r="B11" s="190"/>
      <c r="C11" s="143"/>
      <c r="D11" s="144" t="s">
        <v>254</v>
      </c>
      <c r="E11" s="199"/>
      <c r="F11" s="199"/>
      <c r="G11" s="199"/>
      <c r="H11" s="199"/>
    </row>
    <row r="12" spans="1:8" ht="15.75" x14ac:dyDescent="0.2">
      <c r="A12" s="198" t="s">
        <v>255</v>
      </c>
      <c r="B12" s="198"/>
      <c r="C12" s="198"/>
      <c r="D12" s="198"/>
      <c r="E12" s="198"/>
      <c r="F12" s="198"/>
      <c r="G12" s="198"/>
      <c r="H12" s="198"/>
    </row>
    <row r="13" spans="1:8" ht="15.75" x14ac:dyDescent="0.2">
      <c r="A13" s="208" t="s">
        <v>256</v>
      </c>
      <c r="B13" s="208"/>
      <c r="C13" s="191"/>
      <c r="D13" s="191"/>
      <c r="E13" s="191"/>
      <c r="F13" s="191"/>
      <c r="G13" s="191"/>
      <c r="H13" s="191"/>
    </row>
    <row r="14" spans="1:8" ht="15.75" x14ac:dyDescent="0.2">
      <c r="A14" s="193" t="s">
        <v>257</v>
      </c>
      <c r="B14" s="193"/>
      <c r="C14" s="203"/>
      <c r="D14" s="203"/>
      <c r="E14" s="203"/>
      <c r="F14" s="203"/>
      <c r="G14" s="203"/>
      <c r="H14" s="203"/>
    </row>
    <row r="15" spans="1:8" ht="50.25" customHeight="1" x14ac:dyDescent="0.2">
      <c r="A15" s="204" t="s">
        <v>280</v>
      </c>
      <c r="B15" s="204"/>
      <c r="C15" s="204"/>
      <c r="D15" s="204"/>
      <c r="E15" s="204"/>
      <c r="F15" s="204"/>
      <c r="G15" s="204"/>
      <c r="H15" s="204"/>
    </row>
    <row r="16" spans="1:8" x14ac:dyDescent="0.2">
      <c r="A16" s="205"/>
      <c r="B16" s="205"/>
      <c r="C16" s="205"/>
      <c r="D16" s="205"/>
      <c r="E16" s="205"/>
      <c r="F16" s="205"/>
      <c r="G16" s="205"/>
      <c r="H16" s="205"/>
    </row>
    <row r="17" spans="1:8" ht="23.25" customHeight="1" x14ac:dyDescent="0.2">
      <c r="A17" s="206" t="s">
        <v>272</v>
      </c>
      <c r="B17" s="206"/>
      <c r="C17" s="206"/>
      <c r="D17" s="206"/>
      <c r="E17" s="206"/>
      <c r="F17" s="206"/>
      <c r="G17" s="206"/>
      <c r="H17" s="207"/>
    </row>
    <row r="18" spans="1:8" ht="60" customHeight="1" x14ac:dyDescent="0.2">
      <c r="A18" s="154" t="s">
        <v>258</v>
      </c>
      <c r="B18" s="154" t="s">
        <v>259</v>
      </c>
      <c r="C18" s="155" t="s">
        <v>260</v>
      </c>
      <c r="D18" s="156" t="s">
        <v>261</v>
      </c>
      <c r="E18" s="156" t="s">
        <v>262</v>
      </c>
      <c r="F18" s="156" t="s">
        <v>274</v>
      </c>
      <c r="G18" s="156" t="s">
        <v>275</v>
      </c>
      <c r="H18" s="157" t="s">
        <v>276</v>
      </c>
    </row>
    <row r="19" spans="1:8" ht="60" customHeight="1" x14ac:dyDescent="0.2">
      <c r="A19" s="201">
        <v>1</v>
      </c>
      <c r="B19" s="140">
        <v>1</v>
      </c>
      <c r="C19" s="145" t="s">
        <v>273</v>
      </c>
      <c r="D19" s="141" t="s">
        <v>263</v>
      </c>
      <c r="E19" s="141">
        <v>36</v>
      </c>
      <c r="F19" s="159">
        <f>Consolidado!E18</f>
        <v>7324.45</v>
      </c>
      <c r="G19" s="160">
        <f>ROUND(F19*12,2)</f>
        <v>87893.4</v>
      </c>
      <c r="H19" s="161">
        <f>ROUND(G19*3,2)</f>
        <v>263680.2</v>
      </c>
    </row>
    <row r="20" spans="1:8" ht="60" customHeight="1" x14ac:dyDescent="0.2">
      <c r="A20" s="202"/>
      <c r="B20" s="140">
        <v>2</v>
      </c>
      <c r="C20" s="145" t="s">
        <v>277</v>
      </c>
      <c r="D20" s="141" t="s">
        <v>263</v>
      </c>
      <c r="E20" s="141">
        <v>36</v>
      </c>
      <c r="F20" s="159">
        <f>Consolidado!E19</f>
        <v>19707.12</v>
      </c>
      <c r="G20" s="160">
        <f>ROUND(F20*12,2)</f>
        <v>236485.44</v>
      </c>
      <c r="H20" s="161">
        <f>ROUND(G20*3,2)</f>
        <v>709456.32</v>
      </c>
    </row>
    <row r="21" spans="1:8" ht="78" customHeight="1" x14ac:dyDescent="0.2">
      <c r="A21" s="202"/>
      <c r="B21" s="140">
        <v>3</v>
      </c>
      <c r="C21" s="145" t="s">
        <v>278</v>
      </c>
      <c r="D21" s="141" t="s">
        <v>263</v>
      </c>
      <c r="E21" s="141">
        <v>36</v>
      </c>
      <c r="F21" s="159">
        <f>Consolidado!E25</f>
        <v>219.95</v>
      </c>
      <c r="G21" s="160">
        <f>ROUND(F21*12,2)</f>
        <v>2639.4</v>
      </c>
      <c r="H21" s="161">
        <f>ROUND(G21*3,2)</f>
        <v>7918.2</v>
      </c>
    </row>
    <row r="22" spans="1:8" ht="23.25" customHeight="1" x14ac:dyDescent="0.2">
      <c r="A22" s="209" t="s">
        <v>279</v>
      </c>
      <c r="B22" s="209"/>
      <c r="C22" s="209"/>
      <c r="D22" s="209"/>
      <c r="E22" s="209"/>
      <c r="F22" s="158">
        <f>SUM(F19:F21)</f>
        <v>27251.52</v>
      </c>
      <c r="G22" s="158">
        <f>SUM(G19:G21)</f>
        <v>327018.23999999999</v>
      </c>
      <c r="H22" s="158">
        <f>SUM(H19:H21)</f>
        <v>981054.72</v>
      </c>
    </row>
    <row r="23" spans="1:8" ht="15" x14ac:dyDescent="0.25">
      <c r="A23" s="142"/>
      <c r="B23" s="142"/>
      <c r="C23" s="142"/>
      <c r="D23" s="142"/>
      <c r="E23" s="142"/>
      <c r="F23" s="142"/>
      <c r="G23" s="142"/>
      <c r="H23" s="142"/>
    </row>
    <row r="24" spans="1:8" ht="15" x14ac:dyDescent="0.25">
      <c r="A24" s="142"/>
      <c r="B24" s="142"/>
      <c r="C24" s="142"/>
      <c r="D24" s="142"/>
      <c r="E24" s="142"/>
      <c r="F24" s="142"/>
      <c r="G24" s="142"/>
      <c r="H24" s="142"/>
    </row>
    <row r="25" spans="1:8" ht="15" x14ac:dyDescent="0.25">
      <c r="A25" s="142"/>
      <c r="B25" s="142"/>
      <c r="C25" s="142"/>
      <c r="D25" s="142"/>
      <c r="E25" s="142"/>
      <c r="F25" s="142"/>
      <c r="G25" s="142"/>
      <c r="H25" s="142"/>
    </row>
    <row r="26" spans="1:8" x14ac:dyDescent="0.2">
      <c r="A26" s="200" t="s">
        <v>264</v>
      </c>
      <c r="B26" s="200"/>
      <c r="C26" s="200"/>
      <c r="D26" s="200"/>
      <c r="E26" s="200"/>
      <c r="F26" s="200"/>
      <c r="G26" s="200"/>
      <c r="H26" s="200"/>
    </row>
    <row r="27" spans="1:8" x14ac:dyDescent="0.2">
      <c r="A27" s="200" t="s">
        <v>265</v>
      </c>
      <c r="B27" s="200"/>
      <c r="C27" s="200"/>
      <c r="D27" s="200"/>
      <c r="E27" s="200"/>
      <c r="F27" s="200"/>
      <c r="G27" s="200"/>
      <c r="H27" s="200"/>
    </row>
    <row r="28" spans="1:8" x14ac:dyDescent="0.2">
      <c r="A28" s="200" t="s">
        <v>266</v>
      </c>
      <c r="B28" s="200"/>
      <c r="C28" s="200"/>
      <c r="D28" s="200"/>
      <c r="E28" s="200"/>
      <c r="F28" s="200"/>
      <c r="G28" s="200"/>
      <c r="H28" s="200"/>
    </row>
    <row r="29" spans="1:8" x14ac:dyDescent="0.2">
      <c r="A29" s="200" t="s">
        <v>267</v>
      </c>
      <c r="B29" s="200"/>
      <c r="C29" s="200"/>
      <c r="D29" s="200"/>
      <c r="E29" s="200"/>
      <c r="F29" s="200"/>
      <c r="G29" s="200"/>
      <c r="H29" s="200"/>
    </row>
    <row r="30" spans="1:8" x14ac:dyDescent="0.2">
      <c r="A30" s="200" t="s">
        <v>268</v>
      </c>
      <c r="B30" s="200"/>
      <c r="C30" s="200"/>
      <c r="D30" s="200"/>
      <c r="E30" s="200"/>
      <c r="F30" s="200"/>
      <c r="G30" s="200"/>
      <c r="H30" s="200"/>
    </row>
    <row r="31" spans="1:8" x14ac:dyDescent="0.2">
      <c r="A31" s="200" t="s">
        <v>269</v>
      </c>
      <c r="B31" s="200"/>
      <c r="C31" s="200"/>
      <c r="D31" s="200"/>
      <c r="E31" s="200"/>
      <c r="F31" s="200"/>
      <c r="G31" s="200"/>
      <c r="H31" s="200"/>
    </row>
  </sheetData>
  <mergeCells count="31">
    <mergeCell ref="A28:H28"/>
    <mergeCell ref="A29:H29"/>
    <mergeCell ref="A30:H30"/>
    <mergeCell ref="A31:H31"/>
    <mergeCell ref="A22:E22"/>
    <mergeCell ref="E11:H11"/>
    <mergeCell ref="A26:H26"/>
    <mergeCell ref="A27:H27"/>
    <mergeCell ref="A19:A21"/>
    <mergeCell ref="A14:B14"/>
    <mergeCell ref="C14:H14"/>
    <mergeCell ref="A15:H15"/>
    <mergeCell ref="A16:H16"/>
    <mergeCell ref="A17:H17"/>
    <mergeCell ref="A11:B11"/>
    <mergeCell ref="A12:H12"/>
    <mergeCell ref="A13:B13"/>
    <mergeCell ref="C13:H13"/>
    <mergeCell ref="A10:B10"/>
    <mergeCell ref="C10:H10"/>
    <mergeCell ref="A1:H1"/>
    <mergeCell ref="A2:H2"/>
    <mergeCell ref="A3:H3"/>
    <mergeCell ref="A4:H4"/>
    <mergeCell ref="A5:H5"/>
    <mergeCell ref="A6:H6"/>
    <mergeCell ref="A7:H7"/>
    <mergeCell ref="A8:B8"/>
    <mergeCell ref="C8:H8"/>
    <mergeCell ref="A9:B9"/>
    <mergeCell ref="C9:H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F68D5-AC51-4AB5-9346-D42BCB74BE0C}">
  <sheetPr>
    <tabColor theme="6" tint="0.79998168889431442"/>
  </sheetPr>
  <dimension ref="A1:G26"/>
  <sheetViews>
    <sheetView showGridLines="0" zoomScaleNormal="100" workbookViewId="0">
      <selection activeCell="B15" sqref="B15:G15"/>
    </sheetView>
  </sheetViews>
  <sheetFormatPr defaultRowHeight="12.75" x14ac:dyDescent="0.2"/>
  <cols>
    <col min="1" max="1" width="7.28515625" customWidth="1"/>
    <col min="2" max="2" width="45.5703125" bestFit="1" customWidth="1"/>
    <col min="3" max="3" width="14.28515625" customWidth="1"/>
    <col min="4" max="4" width="22.140625" customWidth="1"/>
    <col min="5" max="5" width="23.140625" customWidth="1"/>
    <col min="6" max="6" width="21.85546875" customWidth="1"/>
    <col min="7" max="7" width="25" customWidth="1"/>
  </cols>
  <sheetData>
    <row r="1" spans="1:7" x14ac:dyDescent="0.2">
      <c r="A1" s="68"/>
      <c r="B1" s="221"/>
      <c r="C1" s="221"/>
      <c r="D1" s="221"/>
      <c r="E1" s="221"/>
      <c r="F1" s="221"/>
      <c r="G1" s="221"/>
    </row>
    <row r="2" spans="1:7" x14ac:dyDescent="0.2">
      <c r="A2" s="222"/>
      <c r="B2" s="222"/>
      <c r="C2" s="222"/>
      <c r="D2" s="222"/>
      <c r="E2" s="222"/>
      <c r="F2" s="222"/>
      <c r="G2" s="222"/>
    </row>
    <row r="3" spans="1:7" x14ac:dyDescent="0.2">
      <c r="A3" s="223" t="s">
        <v>122</v>
      </c>
      <c r="B3" s="223"/>
      <c r="C3" s="223"/>
      <c r="D3" s="223"/>
      <c r="E3" s="223"/>
      <c r="F3" s="223"/>
      <c r="G3" s="223"/>
    </row>
    <row r="4" spans="1:7" x14ac:dyDescent="0.2">
      <c r="A4" s="223" t="s">
        <v>123</v>
      </c>
      <c r="B4" s="223"/>
      <c r="C4" s="223"/>
      <c r="D4" s="223"/>
      <c r="E4" s="223"/>
      <c r="F4" s="223"/>
      <c r="G4" s="223"/>
    </row>
    <row r="5" spans="1:7" x14ac:dyDescent="0.2">
      <c r="A5" s="222"/>
      <c r="B5" s="222"/>
      <c r="C5" s="222"/>
      <c r="D5" s="222"/>
      <c r="E5" s="222"/>
      <c r="F5" s="222"/>
      <c r="G5" s="222"/>
    </row>
    <row r="6" spans="1:7" x14ac:dyDescent="0.2">
      <c r="A6" s="68"/>
      <c r="B6" s="69"/>
      <c r="C6" s="69"/>
      <c r="D6" s="69"/>
      <c r="E6" s="69"/>
      <c r="F6" s="69"/>
      <c r="G6" s="69"/>
    </row>
    <row r="7" spans="1:7" ht="15.75" x14ac:dyDescent="0.2">
      <c r="A7" s="210" t="s">
        <v>125</v>
      </c>
      <c r="B7" s="210"/>
      <c r="C7" s="210"/>
      <c r="D7" s="210"/>
      <c r="E7" s="210"/>
      <c r="F7" s="210"/>
      <c r="G7" s="210"/>
    </row>
    <row r="8" spans="1:7" x14ac:dyDescent="0.2">
      <c r="A8" s="122"/>
      <c r="B8" s="71"/>
      <c r="C8" s="71"/>
      <c r="D8" s="71"/>
      <c r="E8" s="71"/>
      <c r="F8" s="71"/>
      <c r="G8" s="73"/>
    </row>
    <row r="9" spans="1:7" ht="15.75" x14ac:dyDescent="0.2">
      <c r="A9" s="214" t="s">
        <v>126</v>
      </c>
      <c r="B9" s="214"/>
      <c r="C9" s="213"/>
      <c r="D9" s="213"/>
      <c r="E9" s="213"/>
      <c r="F9" s="213"/>
      <c r="G9" s="213"/>
    </row>
    <row r="10" spans="1:7" x14ac:dyDescent="0.2">
      <c r="A10" s="216"/>
      <c r="B10" s="217"/>
      <c r="C10" s="109"/>
      <c r="D10" s="109"/>
      <c r="E10" s="70"/>
      <c r="F10" s="71"/>
      <c r="G10" s="73"/>
    </row>
    <row r="11" spans="1:7" ht="15.75" customHeight="1" x14ac:dyDescent="0.2">
      <c r="A11" s="214" t="s">
        <v>127</v>
      </c>
      <c r="B11" s="214"/>
      <c r="C11" s="212" t="s">
        <v>133</v>
      </c>
      <c r="D11" s="212"/>
      <c r="E11" s="212"/>
      <c r="F11" s="212"/>
      <c r="G11" s="212"/>
    </row>
    <row r="12" spans="1:7" x14ac:dyDescent="0.2">
      <c r="A12" s="216"/>
      <c r="B12" s="217"/>
      <c r="C12" s="109"/>
      <c r="D12" s="109"/>
      <c r="E12" s="70"/>
      <c r="F12" s="71"/>
      <c r="G12" s="73"/>
    </row>
    <row r="13" spans="1:7" ht="15.75" x14ac:dyDescent="0.2">
      <c r="A13" s="214" t="s">
        <v>142</v>
      </c>
      <c r="B13" s="214"/>
      <c r="C13" s="211">
        <v>36</v>
      </c>
      <c r="D13" s="211"/>
      <c r="E13" s="211"/>
      <c r="F13" s="211"/>
      <c r="G13" s="211"/>
    </row>
    <row r="14" spans="1:7" x14ac:dyDescent="0.2">
      <c r="A14" s="122"/>
      <c r="B14" s="70"/>
      <c r="C14" s="70"/>
      <c r="D14" s="70"/>
      <c r="E14" s="70"/>
      <c r="F14" s="71"/>
      <c r="G14" s="73"/>
    </row>
    <row r="15" spans="1:7" ht="15.75" x14ac:dyDescent="0.2">
      <c r="A15" s="215" t="s">
        <v>128</v>
      </c>
      <c r="B15" s="210" t="s">
        <v>129</v>
      </c>
      <c r="C15" s="210"/>
      <c r="D15" s="210"/>
      <c r="E15" s="210"/>
      <c r="F15" s="210"/>
      <c r="G15" s="210"/>
    </row>
    <row r="16" spans="1:7" ht="15.75" x14ac:dyDescent="0.2">
      <c r="A16" s="215"/>
      <c r="B16" s="210" t="s">
        <v>136</v>
      </c>
      <c r="C16" s="210"/>
      <c r="D16" s="210"/>
      <c r="E16" s="210"/>
      <c r="F16" s="210"/>
      <c r="G16" s="210"/>
    </row>
    <row r="17" spans="1:7" ht="25.5" customHeight="1" x14ac:dyDescent="0.2">
      <c r="A17" s="215"/>
      <c r="B17" s="148" t="s">
        <v>131</v>
      </c>
      <c r="C17" s="148" t="s">
        <v>130</v>
      </c>
      <c r="D17" s="146" t="s">
        <v>104</v>
      </c>
      <c r="E17" s="146" t="s">
        <v>105</v>
      </c>
      <c r="F17" s="148" t="s">
        <v>132</v>
      </c>
      <c r="G17" s="148" t="s">
        <v>228</v>
      </c>
    </row>
    <row r="18" spans="1:7" ht="15" x14ac:dyDescent="0.2">
      <c r="A18" s="211">
        <v>1</v>
      </c>
      <c r="B18" s="121" t="s">
        <v>183</v>
      </c>
      <c r="C18" s="72">
        <v>1</v>
      </c>
      <c r="D18" s="123">
        <f>'Téc. Suporte N1-N2 (Supervisão)'!I135</f>
        <v>7324.45</v>
      </c>
      <c r="E18" s="123">
        <f>D18*C18</f>
        <v>7324.45</v>
      </c>
      <c r="F18" s="123">
        <f>ROUND(E18*12,2)</f>
        <v>87893.4</v>
      </c>
      <c r="G18" s="123">
        <f>ROUND(F18*3,2)</f>
        <v>263680.2</v>
      </c>
    </row>
    <row r="19" spans="1:7" ht="15" x14ac:dyDescent="0.2">
      <c r="A19" s="211"/>
      <c r="B19" s="121" t="s">
        <v>180</v>
      </c>
      <c r="C19" s="72">
        <v>3</v>
      </c>
      <c r="D19" s="123">
        <f>'Técnico Suporte N1-N2'!I135</f>
        <v>6569.04</v>
      </c>
      <c r="E19" s="123">
        <f>D19*C19</f>
        <v>19707.12</v>
      </c>
      <c r="F19" s="123">
        <f>ROUND(E19*12,2)</f>
        <v>236485.44</v>
      </c>
      <c r="G19" s="123">
        <f>ROUND(F19*3,2)</f>
        <v>709456.32</v>
      </c>
    </row>
    <row r="20" spans="1:7" ht="24" customHeight="1" x14ac:dyDescent="0.2">
      <c r="A20" s="211"/>
      <c r="B20" s="218" t="s">
        <v>138</v>
      </c>
      <c r="C20" s="219"/>
      <c r="D20" s="220"/>
      <c r="E20" s="152">
        <f>SUM(E18:E19)</f>
        <v>27031.57</v>
      </c>
      <c r="F20" s="153">
        <f>SUM(F18:F19)</f>
        <v>324378.83999999997</v>
      </c>
      <c r="G20" s="153">
        <f>SUM(G18:G19)</f>
        <v>973136.52</v>
      </c>
    </row>
    <row r="21" spans="1:7" ht="15.75" x14ac:dyDescent="0.2">
      <c r="A21" s="211"/>
      <c r="B21" s="210" t="s">
        <v>137</v>
      </c>
      <c r="C21" s="210"/>
      <c r="D21" s="210"/>
      <c r="E21" s="210"/>
      <c r="F21" s="210"/>
      <c r="G21" s="210"/>
    </row>
    <row r="22" spans="1:7" ht="24" customHeight="1" x14ac:dyDescent="0.2">
      <c r="A22" s="211"/>
      <c r="B22" s="148" t="s">
        <v>131</v>
      </c>
      <c r="C22" s="148" t="s">
        <v>130</v>
      </c>
      <c r="D22" s="146" t="s">
        <v>104</v>
      </c>
      <c r="E22" s="146" t="s">
        <v>105</v>
      </c>
      <c r="F22" s="148" t="s">
        <v>132</v>
      </c>
      <c r="G22" s="148" t="s">
        <v>228</v>
      </c>
    </row>
    <row r="23" spans="1:7" ht="15" x14ac:dyDescent="0.2">
      <c r="A23" s="211"/>
      <c r="B23" s="121" t="s">
        <v>183</v>
      </c>
      <c r="C23" s="72">
        <v>1</v>
      </c>
      <c r="D23" s="123">
        <f>ROUND(E23/C23,2)</f>
        <v>60.31</v>
      </c>
      <c r="E23" s="123">
        <f>SUM('Horas Extras'!Q15,'Horas Extras'!Q16)</f>
        <v>60.31</v>
      </c>
      <c r="F23" s="123">
        <f>ROUND(E23*12,2)</f>
        <v>723.72</v>
      </c>
      <c r="G23" s="123">
        <f>ROUND(F23*3,2)</f>
        <v>2171.16</v>
      </c>
    </row>
    <row r="24" spans="1:7" ht="15" x14ac:dyDescent="0.2">
      <c r="A24" s="211"/>
      <c r="B24" s="121" t="s">
        <v>180</v>
      </c>
      <c r="C24" s="72">
        <v>3</v>
      </c>
      <c r="D24" s="123">
        <f>ROUND(E24/C24,2)</f>
        <v>53.21</v>
      </c>
      <c r="E24" s="123">
        <f>SUM('Horas Extras'!Q17,'Horas Extras'!Q18)</f>
        <v>159.63999999999999</v>
      </c>
      <c r="F24" s="123">
        <f>ROUND(E24*12,2)</f>
        <v>1915.68</v>
      </c>
      <c r="G24" s="123">
        <f>ROUND(F24*3,2)</f>
        <v>5747.04</v>
      </c>
    </row>
    <row r="25" spans="1:7" ht="24" customHeight="1" x14ac:dyDescent="0.2">
      <c r="A25" s="211"/>
      <c r="B25" s="218" t="s">
        <v>139</v>
      </c>
      <c r="C25" s="219"/>
      <c r="D25" s="220"/>
      <c r="E25" s="152">
        <f>SUM(E23:E24)</f>
        <v>219.95</v>
      </c>
      <c r="F25" s="153">
        <f>SUM(F23:F24)</f>
        <v>2639.4</v>
      </c>
      <c r="G25" s="153">
        <f>SUM(G23:G24)</f>
        <v>7918.2</v>
      </c>
    </row>
    <row r="26" spans="1:7" ht="24" customHeight="1" x14ac:dyDescent="0.2">
      <c r="A26" s="211"/>
      <c r="B26" s="218" t="s">
        <v>140</v>
      </c>
      <c r="C26" s="219"/>
      <c r="D26" s="220"/>
      <c r="E26" s="152">
        <f>E20+E25</f>
        <v>27251.52</v>
      </c>
      <c r="F26" s="152">
        <f>F20+F25</f>
        <v>327018.23999999999</v>
      </c>
      <c r="G26" s="152">
        <f>G20+G25</f>
        <v>981054.72</v>
      </c>
    </row>
  </sheetData>
  <mergeCells count="22">
    <mergeCell ref="A7:G7"/>
    <mergeCell ref="B1:G1"/>
    <mergeCell ref="A2:G2"/>
    <mergeCell ref="A3:G3"/>
    <mergeCell ref="A4:G4"/>
    <mergeCell ref="A5:G5"/>
    <mergeCell ref="B21:G21"/>
    <mergeCell ref="A18:A26"/>
    <mergeCell ref="C11:G11"/>
    <mergeCell ref="C13:G13"/>
    <mergeCell ref="C9:G9"/>
    <mergeCell ref="A13:B13"/>
    <mergeCell ref="B15:G15"/>
    <mergeCell ref="A15:A17"/>
    <mergeCell ref="A9:B9"/>
    <mergeCell ref="A10:B10"/>
    <mergeCell ref="A11:B11"/>
    <mergeCell ref="A12:B12"/>
    <mergeCell ref="B16:G16"/>
    <mergeCell ref="B25:D25"/>
    <mergeCell ref="B26:D26"/>
    <mergeCell ref="B20:D20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98BBA-72EA-4CA6-9E9D-35807DE1AF9F}">
  <sheetPr>
    <tabColor theme="9" tint="0.59999389629810485"/>
    <pageSetUpPr fitToPage="1"/>
  </sheetPr>
  <dimension ref="A1:U135"/>
  <sheetViews>
    <sheetView showGridLines="0" view="pageBreakPreview" topLeftCell="A16" zoomScaleNormal="115" zoomScaleSheetLayoutView="100" workbookViewId="0">
      <selection activeCell="I26" sqref="I26"/>
    </sheetView>
  </sheetViews>
  <sheetFormatPr defaultRowHeight="12.75" x14ac:dyDescent="0.2"/>
  <cols>
    <col min="1" max="1" width="11.5703125" customWidth="1"/>
    <col min="2" max="2" width="10.5703125" customWidth="1"/>
    <col min="5" max="5" width="5" customWidth="1"/>
    <col min="6" max="6" width="2.5703125" customWidth="1"/>
    <col min="7" max="7" width="34.5703125" customWidth="1"/>
    <col min="8" max="8" width="16.5703125" customWidth="1"/>
    <col min="9" max="9" width="25.28515625" customWidth="1"/>
    <col min="10" max="10" width="19.85546875" customWidth="1"/>
    <col min="11" max="11" width="12.7109375" customWidth="1"/>
    <col min="12" max="12" width="12.5703125" customWidth="1"/>
    <col min="13" max="13" width="11" customWidth="1"/>
    <col min="15" max="15" width="11.28515625" customWidth="1"/>
  </cols>
  <sheetData>
    <row r="1" spans="1:15" x14ac:dyDescent="0.2">
      <c r="A1" s="227"/>
      <c r="B1" s="227"/>
      <c r="C1" s="227"/>
      <c r="D1" s="227"/>
      <c r="E1" s="227"/>
      <c r="F1" s="227"/>
      <c r="G1" s="227"/>
      <c r="H1" s="227"/>
      <c r="I1" s="227"/>
      <c r="J1" s="3"/>
      <c r="K1" s="3"/>
    </row>
    <row r="2" spans="1:15" x14ac:dyDescent="0.2">
      <c r="A2" s="26"/>
      <c r="B2" s="26"/>
      <c r="C2" s="26"/>
      <c r="D2" s="26"/>
      <c r="E2" s="26"/>
      <c r="F2" s="26"/>
      <c r="G2" s="26"/>
      <c r="H2" s="26"/>
      <c r="I2" s="26"/>
      <c r="J2" s="3"/>
      <c r="K2" s="3"/>
    </row>
    <row r="3" spans="1:15" x14ac:dyDescent="0.2">
      <c r="A3" s="227" t="s">
        <v>122</v>
      </c>
      <c r="B3" s="227"/>
      <c r="C3" s="227"/>
      <c r="D3" s="227"/>
      <c r="E3" s="227"/>
      <c r="F3" s="227"/>
      <c r="G3" s="227"/>
      <c r="H3" s="227"/>
      <c r="I3" s="227"/>
      <c r="J3" s="3"/>
      <c r="K3" s="3"/>
    </row>
    <row r="4" spans="1:15" x14ac:dyDescent="0.2">
      <c r="A4" s="227" t="s">
        <v>123</v>
      </c>
      <c r="B4" s="227"/>
      <c r="C4" s="227"/>
      <c r="D4" s="227"/>
      <c r="E4" s="227"/>
      <c r="F4" s="227"/>
      <c r="G4" s="227"/>
      <c r="H4" s="227"/>
      <c r="I4" s="227"/>
      <c r="J4" s="3"/>
      <c r="K4" s="3"/>
    </row>
    <row r="5" spans="1:15" x14ac:dyDescent="0.2">
      <c r="A5" s="27"/>
      <c r="B5" s="27"/>
      <c r="C5" s="27"/>
      <c r="D5" s="27"/>
      <c r="E5" s="27"/>
      <c r="F5" s="27"/>
      <c r="G5" s="27"/>
      <c r="H5" s="27"/>
      <c r="I5" s="27"/>
      <c r="J5" s="3"/>
      <c r="K5" s="3"/>
    </row>
    <row r="6" spans="1:15" x14ac:dyDescent="0.2">
      <c r="A6" s="27"/>
      <c r="B6" s="27"/>
      <c r="C6" s="27"/>
      <c r="D6" s="27"/>
      <c r="E6" s="27"/>
      <c r="F6" s="27"/>
      <c r="G6" s="136"/>
      <c r="H6" s="136"/>
      <c r="I6" s="27"/>
      <c r="J6" s="3"/>
      <c r="K6" s="3"/>
    </row>
    <row r="7" spans="1:15" x14ac:dyDescent="0.2">
      <c r="A7" s="137"/>
      <c r="B7" s="137"/>
      <c r="C7" s="137"/>
      <c r="D7" s="137"/>
      <c r="E7" s="27"/>
      <c r="F7" s="27"/>
      <c r="H7" s="230" t="s">
        <v>246</v>
      </c>
      <c r="I7" s="230"/>
      <c r="J7" s="3"/>
      <c r="K7" s="3"/>
    </row>
    <row r="8" spans="1:15" x14ac:dyDescent="0.2">
      <c r="A8" s="228" t="s">
        <v>117</v>
      </c>
      <c r="B8" s="228"/>
      <c r="C8" s="228"/>
      <c r="D8" s="228"/>
      <c r="E8" s="228"/>
      <c r="F8" s="228"/>
      <c r="G8" s="228"/>
      <c r="H8" s="228"/>
      <c r="I8" s="228"/>
      <c r="J8" s="4"/>
      <c r="K8" s="3"/>
    </row>
    <row r="9" spans="1:15" x14ac:dyDescent="0.2">
      <c r="A9" s="228" t="s">
        <v>134</v>
      </c>
      <c r="B9" s="228"/>
      <c r="C9" s="228"/>
      <c r="D9" s="228"/>
      <c r="E9" s="228"/>
      <c r="F9" s="228"/>
      <c r="G9" s="228"/>
      <c r="H9" s="228"/>
      <c r="I9" s="228"/>
      <c r="J9" s="4"/>
      <c r="K9" s="3"/>
    </row>
    <row r="10" spans="1:15" x14ac:dyDescent="0.2">
      <c r="A10" s="229"/>
      <c r="B10" s="229"/>
      <c r="C10" s="229"/>
      <c r="D10" s="229"/>
      <c r="E10" s="229"/>
      <c r="F10" s="229"/>
      <c r="G10" s="229"/>
      <c r="H10" s="229"/>
      <c r="I10" s="229"/>
      <c r="J10" s="4"/>
      <c r="K10" s="3"/>
    </row>
    <row r="11" spans="1:15" x14ac:dyDescent="0.2">
      <c r="A11" s="224" t="s">
        <v>121</v>
      </c>
      <c r="B11" s="224"/>
      <c r="C11" s="224"/>
      <c r="D11" s="224"/>
      <c r="E11" s="224"/>
      <c r="F11" s="224"/>
      <c r="G11" s="224"/>
      <c r="H11" s="224"/>
      <c r="I11" s="224"/>
      <c r="J11" s="4"/>
      <c r="K11" s="3"/>
    </row>
    <row r="12" spans="1:15" x14ac:dyDescent="0.2">
      <c r="A12" s="28"/>
      <c r="B12" s="28"/>
      <c r="C12" s="28"/>
      <c r="D12" s="28"/>
      <c r="E12" s="28"/>
      <c r="F12" s="28"/>
      <c r="G12" s="28"/>
      <c r="H12" s="28"/>
      <c r="I12" s="28"/>
      <c r="J12" s="4"/>
      <c r="K12" s="3"/>
    </row>
    <row r="13" spans="1:15" x14ac:dyDescent="0.2">
      <c r="A13" s="225" t="s">
        <v>120</v>
      </c>
      <c r="B13" s="225"/>
      <c r="C13" s="225"/>
      <c r="D13" s="225"/>
      <c r="E13" s="225"/>
      <c r="F13" s="225"/>
      <c r="G13" s="225"/>
      <c r="H13" s="225"/>
      <c r="I13" s="225"/>
      <c r="J13" s="4"/>
      <c r="K13" s="3"/>
      <c r="L13" s="3"/>
      <c r="M13" s="3"/>
      <c r="N13" s="3"/>
      <c r="O13" s="3"/>
    </row>
    <row r="14" spans="1:15" x14ac:dyDescent="0.2">
      <c r="A14" s="29" t="s">
        <v>0</v>
      </c>
      <c r="B14" s="226" t="s">
        <v>1</v>
      </c>
      <c r="C14" s="226"/>
      <c r="D14" s="226"/>
      <c r="E14" s="226"/>
      <c r="F14" s="226"/>
      <c r="G14" s="226"/>
      <c r="H14" s="226"/>
      <c r="I14" s="30"/>
      <c r="J14" s="4"/>
      <c r="K14" s="3"/>
      <c r="L14" s="3"/>
      <c r="M14" s="3"/>
      <c r="N14" s="3"/>
      <c r="O14" s="3"/>
    </row>
    <row r="15" spans="1:15" x14ac:dyDescent="0.2">
      <c r="A15" s="29" t="s">
        <v>2</v>
      </c>
      <c r="B15" s="226" t="s">
        <v>118</v>
      </c>
      <c r="C15" s="226"/>
      <c r="D15" s="226"/>
      <c r="E15" s="226"/>
      <c r="F15" s="226"/>
      <c r="G15" s="226"/>
      <c r="H15" s="226"/>
      <c r="I15" s="29" t="s">
        <v>119</v>
      </c>
      <c r="J15" s="4"/>
      <c r="K15" s="3"/>
      <c r="L15" s="3"/>
      <c r="M15" s="3"/>
      <c r="N15" s="3"/>
      <c r="O15" s="3"/>
    </row>
    <row r="16" spans="1:15" x14ac:dyDescent="0.2">
      <c r="A16" s="29" t="s">
        <v>3</v>
      </c>
      <c r="B16" s="226" t="s">
        <v>4</v>
      </c>
      <c r="C16" s="226"/>
      <c r="D16" s="226"/>
      <c r="E16" s="226"/>
      <c r="F16" s="226"/>
      <c r="G16" s="226"/>
      <c r="H16" s="226"/>
      <c r="I16" s="31" t="s">
        <v>124</v>
      </c>
      <c r="J16" s="4"/>
      <c r="K16" s="3"/>
      <c r="L16" s="3"/>
      <c r="M16" s="3"/>
      <c r="N16" s="3"/>
      <c r="O16" s="3"/>
    </row>
    <row r="17" spans="1:15" x14ac:dyDescent="0.2">
      <c r="A17" s="29" t="s">
        <v>5</v>
      </c>
      <c r="B17" s="226" t="s">
        <v>6</v>
      </c>
      <c r="C17" s="226"/>
      <c r="D17" s="226"/>
      <c r="E17" s="226"/>
      <c r="F17" s="226"/>
      <c r="G17" s="226"/>
      <c r="H17" s="226"/>
      <c r="I17" s="29">
        <v>36</v>
      </c>
      <c r="J17" s="4"/>
      <c r="K17" s="3"/>
      <c r="L17" s="3"/>
      <c r="M17" s="3"/>
      <c r="N17" s="3"/>
      <c r="O17" s="3"/>
    </row>
    <row r="18" spans="1:15" x14ac:dyDescent="0.2">
      <c r="A18" s="32"/>
      <c r="B18" s="33"/>
      <c r="C18" s="33"/>
      <c r="D18" s="33"/>
      <c r="E18" s="33"/>
      <c r="F18" s="33"/>
      <c r="G18" s="33"/>
      <c r="H18" s="32"/>
      <c r="I18" s="32"/>
      <c r="J18" s="4"/>
      <c r="K18" s="3"/>
      <c r="L18" s="3"/>
      <c r="M18" s="3"/>
      <c r="N18" s="3"/>
      <c r="O18" s="3"/>
    </row>
    <row r="19" spans="1:15" x14ac:dyDescent="0.2">
      <c r="A19" s="225" t="s">
        <v>7</v>
      </c>
      <c r="B19" s="225"/>
      <c r="C19" s="225"/>
      <c r="D19" s="225"/>
      <c r="E19" s="225"/>
      <c r="F19" s="225"/>
      <c r="G19" s="225"/>
      <c r="H19" s="225"/>
      <c r="I19" s="225"/>
      <c r="J19" s="4"/>
      <c r="K19" s="3"/>
      <c r="L19" s="3"/>
      <c r="M19" s="3"/>
      <c r="N19" s="3"/>
      <c r="O19" s="3"/>
    </row>
    <row r="20" spans="1:15" x14ac:dyDescent="0.2">
      <c r="A20" s="232" t="s">
        <v>8</v>
      </c>
      <c r="B20" s="232"/>
      <c r="C20" s="232" t="s">
        <v>9</v>
      </c>
      <c r="D20" s="232"/>
      <c r="E20" s="232" t="s">
        <v>10</v>
      </c>
      <c r="F20" s="232"/>
      <c r="G20" s="232"/>
      <c r="H20" s="232"/>
      <c r="I20" s="232"/>
      <c r="J20" s="4"/>
      <c r="K20" s="3"/>
      <c r="L20" s="3"/>
      <c r="M20" s="3"/>
      <c r="N20" s="3"/>
      <c r="O20" s="3"/>
    </row>
    <row r="21" spans="1:15" ht="37.5" customHeight="1" x14ac:dyDescent="0.2">
      <c r="A21" s="233" t="s">
        <v>244</v>
      </c>
      <c r="B21" s="234"/>
      <c r="C21" s="235" t="s">
        <v>107</v>
      </c>
      <c r="D21" s="235"/>
      <c r="E21" s="236">
        <v>1</v>
      </c>
      <c r="F21" s="236"/>
      <c r="G21" s="236"/>
      <c r="H21" s="236"/>
      <c r="I21" s="236"/>
      <c r="J21" s="4"/>
      <c r="K21" s="3"/>
      <c r="L21" s="3"/>
      <c r="M21" s="3"/>
      <c r="N21" s="3"/>
      <c r="O21" s="3"/>
    </row>
    <row r="22" spans="1:15" x14ac:dyDescent="0.2">
      <c r="A22" s="32"/>
      <c r="B22" s="33"/>
      <c r="C22" s="33"/>
      <c r="D22" s="33"/>
      <c r="E22" s="33"/>
      <c r="F22" s="33"/>
      <c r="G22" s="33"/>
      <c r="H22" s="32"/>
      <c r="I22" s="32"/>
      <c r="J22" s="4"/>
      <c r="K22" s="3"/>
      <c r="L22" s="3"/>
      <c r="M22" s="3"/>
      <c r="N22" s="3"/>
      <c r="O22" s="3"/>
    </row>
    <row r="23" spans="1:15" x14ac:dyDescent="0.2">
      <c r="A23" s="225" t="s">
        <v>11</v>
      </c>
      <c r="B23" s="225"/>
      <c r="C23" s="225"/>
      <c r="D23" s="225"/>
      <c r="E23" s="225"/>
      <c r="F23" s="225"/>
      <c r="G23" s="225"/>
      <c r="H23" s="225"/>
      <c r="I23" s="225"/>
      <c r="J23" s="4"/>
      <c r="K23" s="3"/>
      <c r="L23" s="3"/>
      <c r="M23" s="3"/>
      <c r="N23" s="3"/>
      <c r="O23" s="3"/>
    </row>
    <row r="24" spans="1:15" ht="25.5" x14ac:dyDescent="0.2">
      <c r="A24" s="29">
        <v>1</v>
      </c>
      <c r="B24" s="226" t="s">
        <v>12</v>
      </c>
      <c r="C24" s="226"/>
      <c r="D24" s="226"/>
      <c r="E24" s="226"/>
      <c r="F24" s="226"/>
      <c r="G24" s="226"/>
      <c r="H24" s="226"/>
      <c r="I24" s="34" t="s">
        <v>183</v>
      </c>
      <c r="J24" s="5"/>
      <c r="K24" s="6"/>
      <c r="L24" s="6"/>
      <c r="M24" s="6"/>
      <c r="N24" s="6"/>
      <c r="O24" s="6"/>
    </row>
    <row r="25" spans="1:15" x14ac:dyDescent="0.2">
      <c r="A25" s="29">
        <v>2</v>
      </c>
      <c r="B25" s="226" t="s">
        <v>13</v>
      </c>
      <c r="C25" s="226"/>
      <c r="D25" s="226"/>
      <c r="E25" s="226"/>
      <c r="F25" s="226"/>
      <c r="G25" s="226"/>
      <c r="H25" s="226"/>
      <c r="I25" s="36" t="s">
        <v>190</v>
      </c>
      <c r="J25" s="5"/>
      <c r="K25" s="231"/>
      <c r="L25" s="231"/>
      <c r="M25" s="231"/>
      <c r="N25" s="231"/>
      <c r="O25" s="24"/>
    </row>
    <row r="26" spans="1:15" ht="12.75" customHeight="1" x14ac:dyDescent="0.2">
      <c r="A26" s="29">
        <v>3</v>
      </c>
      <c r="B26" s="226" t="s">
        <v>14</v>
      </c>
      <c r="C26" s="226"/>
      <c r="D26" s="226"/>
      <c r="E26" s="226"/>
      <c r="F26" s="226"/>
      <c r="G26" s="226"/>
      <c r="H26" s="226"/>
      <c r="I26" s="120">
        <f>1601.27*1.06</f>
        <v>1697.3462</v>
      </c>
      <c r="J26" s="105"/>
      <c r="K26" s="106"/>
      <c r="L26" s="106"/>
      <c r="M26" s="106"/>
      <c r="N26" s="75"/>
      <c r="O26" s="25"/>
    </row>
    <row r="27" spans="1:15" x14ac:dyDescent="0.2">
      <c r="A27" s="29">
        <v>4</v>
      </c>
      <c r="B27" s="226" t="s">
        <v>15</v>
      </c>
      <c r="C27" s="226"/>
      <c r="D27" s="226"/>
      <c r="E27" s="226"/>
      <c r="F27" s="226"/>
      <c r="G27" s="226"/>
      <c r="H27" s="226"/>
      <c r="I27" s="34" t="s">
        <v>116</v>
      </c>
      <c r="J27" s="105"/>
      <c r="K27" s="106"/>
      <c r="L27" s="106"/>
      <c r="M27" s="106"/>
      <c r="N27" s="75"/>
      <c r="O27" s="25"/>
    </row>
    <row r="28" spans="1:15" x14ac:dyDescent="0.2">
      <c r="A28" s="29">
        <v>5</v>
      </c>
      <c r="B28" s="226" t="s">
        <v>16</v>
      </c>
      <c r="C28" s="226"/>
      <c r="D28" s="226"/>
      <c r="E28" s="226"/>
      <c r="F28" s="226"/>
      <c r="G28" s="226"/>
      <c r="H28" s="226"/>
      <c r="I28" s="35">
        <v>46266</v>
      </c>
      <c r="J28" s="105"/>
      <c r="K28" s="106"/>
      <c r="L28" s="106"/>
      <c r="M28" s="106"/>
      <c r="N28" s="9"/>
      <c r="O28" s="9"/>
    </row>
    <row r="29" spans="1:15" x14ac:dyDescent="0.2">
      <c r="A29" s="29">
        <v>6</v>
      </c>
      <c r="B29" s="239" t="s">
        <v>188</v>
      </c>
      <c r="C29" s="240"/>
      <c r="D29" s="240"/>
      <c r="E29" s="240"/>
      <c r="F29" s="240"/>
      <c r="G29" s="240"/>
      <c r="H29" s="241"/>
      <c r="I29" s="35" t="s">
        <v>189</v>
      </c>
      <c r="J29" s="105"/>
      <c r="K29" s="106"/>
      <c r="L29" s="106"/>
      <c r="M29" s="106"/>
      <c r="N29" s="9"/>
      <c r="O29" s="9"/>
    </row>
    <row r="30" spans="1:15" x14ac:dyDescent="0.2">
      <c r="A30" s="237"/>
      <c r="B30" s="237"/>
      <c r="C30" s="237"/>
      <c r="D30" s="237"/>
      <c r="E30" s="237"/>
      <c r="F30" s="237"/>
      <c r="G30" s="237"/>
      <c r="H30" s="237"/>
      <c r="I30" s="237"/>
      <c r="J30" s="7"/>
      <c r="K30" s="7"/>
      <c r="L30" s="7"/>
      <c r="M30" s="7"/>
      <c r="N30" s="7"/>
      <c r="O30" s="7"/>
    </row>
    <row r="31" spans="1:15" x14ac:dyDescent="0.2">
      <c r="A31" s="238" t="s">
        <v>17</v>
      </c>
      <c r="B31" s="238"/>
      <c r="C31" s="238"/>
      <c r="D31" s="238"/>
      <c r="E31" s="238"/>
      <c r="F31" s="238"/>
      <c r="G31" s="238"/>
      <c r="H31" s="238"/>
      <c r="I31" s="238"/>
      <c r="J31" s="10"/>
      <c r="K31" s="10"/>
      <c r="L31" s="10"/>
      <c r="M31" s="10"/>
      <c r="N31" s="10"/>
      <c r="O31" s="10"/>
    </row>
    <row r="32" spans="1:15" x14ac:dyDescent="0.2">
      <c r="A32" s="36">
        <v>1</v>
      </c>
      <c r="B32" s="236" t="s">
        <v>18</v>
      </c>
      <c r="C32" s="236"/>
      <c r="D32" s="236"/>
      <c r="E32" s="236"/>
      <c r="F32" s="236"/>
      <c r="G32" s="236"/>
      <c r="H32" s="36" t="s">
        <v>19</v>
      </c>
      <c r="I32" s="36" t="s">
        <v>20</v>
      </c>
      <c r="J32" s="10"/>
      <c r="K32" s="10"/>
      <c r="L32" s="10"/>
      <c r="M32" s="10"/>
      <c r="N32" s="10"/>
      <c r="O32" s="10"/>
    </row>
    <row r="33" spans="1:15" x14ac:dyDescent="0.2">
      <c r="A33" s="36" t="s">
        <v>0</v>
      </c>
      <c r="B33" s="226" t="s">
        <v>21</v>
      </c>
      <c r="C33" s="226"/>
      <c r="D33" s="226"/>
      <c r="E33" s="226"/>
      <c r="F33" s="226"/>
      <c r="G33" s="226"/>
      <c r="H33" s="37"/>
      <c r="I33" s="38">
        <f>I26</f>
        <v>1697.3462</v>
      </c>
      <c r="J33" s="10"/>
      <c r="K33" s="10"/>
      <c r="L33" s="10"/>
      <c r="M33" s="10"/>
      <c r="N33" s="10"/>
      <c r="O33" s="10"/>
    </row>
    <row r="34" spans="1:15" x14ac:dyDescent="0.2">
      <c r="A34" s="36" t="s">
        <v>2</v>
      </c>
      <c r="B34" s="226" t="s">
        <v>22</v>
      </c>
      <c r="C34" s="226"/>
      <c r="D34" s="226"/>
      <c r="E34" s="226"/>
      <c r="F34" s="226"/>
      <c r="G34" s="226"/>
      <c r="H34" s="39"/>
      <c r="I34" s="38">
        <v>0</v>
      </c>
      <c r="J34" s="10"/>
      <c r="K34" s="10"/>
      <c r="L34" s="10"/>
      <c r="M34" s="10"/>
      <c r="N34" s="10"/>
      <c r="O34" s="10"/>
    </row>
    <row r="35" spans="1:15" x14ac:dyDescent="0.2">
      <c r="A35" s="36" t="s">
        <v>3</v>
      </c>
      <c r="B35" s="226" t="s">
        <v>23</v>
      </c>
      <c r="C35" s="226"/>
      <c r="D35" s="226"/>
      <c r="E35" s="226"/>
      <c r="F35" s="226"/>
      <c r="G35" s="226"/>
      <c r="H35" s="39"/>
      <c r="I35" s="38">
        <v>0</v>
      </c>
      <c r="J35" s="10"/>
      <c r="K35" s="10"/>
      <c r="L35" s="10"/>
      <c r="M35" s="10"/>
      <c r="N35" s="10"/>
      <c r="O35" s="10"/>
    </row>
    <row r="36" spans="1:15" x14ac:dyDescent="0.2">
      <c r="A36" s="36" t="s">
        <v>5</v>
      </c>
      <c r="B36" s="226" t="s">
        <v>24</v>
      </c>
      <c r="C36" s="226"/>
      <c r="D36" s="226"/>
      <c r="E36" s="226"/>
      <c r="F36" s="226"/>
      <c r="G36" s="226"/>
      <c r="H36" s="39"/>
      <c r="I36" s="38">
        <v>0</v>
      </c>
      <c r="J36" s="10"/>
      <c r="K36" s="10"/>
      <c r="L36" s="10"/>
      <c r="M36" s="10"/>
      <c r="N36" s="10"/>
      <c r="O36" s="10"/>
    </row>
    <row r="37" spans="1:15" x14ac:dyDescent="0.2">
      <c r="A37" s="36" t="s">
        <v>25</v>
      </c>
      <c r="B37" s="226" t="s">
        <v>26</v>
      </c>
      <c r="C37" s="226"/>
      <c r="D37" s="226"/>
      <c r="E37" s="226"/>
      <c r="F37" s="226"/>
      <c r="G37" s="226"/>
      <c r="H37" s="39"/>
      <c r="I37" s="38">
        <v>0</v>
      </c>
      <c r="J37" s="10"/>
      <c r="K37" s="10"/>
      <c r="L37" s="10"/>
      <c r="M37" s="10"/>
      <c r="N37" s="10"/>
      <c r="O37" s="10"/>
    </row>
    <row r="38" spans="1:15" x14ac:dyDescent="0.2">
      <c r="A38" s="36" t="s">
        <v>27</v>
      </c>
      <c r="B38" s="226" t="s">
        <v>28</v>
      </c>
      <c r="C38" s="226"/>
      <c r="D38" s="226"/>
      <c r="E38" s="226"/>
      <c r="F38" s="226"/>
      <c r="G38" s="226"/>
      <c r="H38" s="39"/>
      <c r="I38" s="38">
        <v>0</v>
      </c>
      <c r="J38" s="10"/>
      <c r="K38" s="10"/>
      <c r="L38" s="10"/>
      <c r="M38" s="10"/>
      <c r="N38" s="10"/>
      <c r="O38" s="10"/>
    </row>
    <row r="39" spans="1:15" x14ac:dyDescent="0.2">
      <c r="A39" s="36" t="s">
        <v>29</v>
      </c>
      <c r="B39" s="239" t="s">
        <v>184</v>
      </c>
      <c r="C39" s="240"/>
      <c r="D39" s="240"/>
      <c r="E39" s="240"/>
      <c r="F39" s="240"/>
      <c r="G39" s="241"/>
      <c r="H39" s="39"/>
      <c r="I39" s="38">
        <f>Sobreaviso!C25*(1+5/25)</f>
        <v>94.434170399999999</v>
      </c>
      <c r="J39" s="10"/>
      <c r="K39" s="10"/>
      <c r="L39" s="10"/>
      <c r="M39" s="10"/>
      <c r="N39" s="10"/>
      <c r="O39" s="10"/>
    </row>
    <row r="40" spans="1:15" x14ac:dyDescent="0.2">
      <c r="A40" s="36" t="s">
        <v>43</v>
      </c>
      <c r="B40" s="226" t="s">
        <v>135</v>
      </c>
      <c r="C40" s="226"/>
      <c r="D40" s="226"/>
      <c r="E40" s="226"/>
      <c r="F40" s="226"/>
      <c r="G40" s="226"/>
      <c r="H40" s="39">
        <v>0.7</v>
      </c>
      <c r="I40" s="38">
        <f>H40*I33</f>
        <v>1188.1423399999999</v>
      </c>
      <c r="J40" s="10"/>
      <c r="K40" s="10"/>
      <c r="L40" s="10"/>
      <c r="M40" s="10"/>
      <c r="N40" s="10"/>
      <c r="O40" s="10"/>
    </row>
    <row r="41" spans="1:15" x14ac:dyDescent="0.2">
      <c r="A41" s="236" t="s">
        <v>30</v>
      </c>
      <c r="B41" s="236"/>
      <c r="C41" s="236"/>
      <c r="D41" s="236"/>
      <c r="E41" s="236"/>
      <c r="F41" s="236"/>
      <c r="G41" s="236"/>
      <c r="H41" s="236"/>
      <c r="I41" s="40">
        <f>SUM(I33:I40)</f>
        <v>2979.9227104000001</v>
      </c>
      <c r="J41" s="10"/>
      <c r="K41" s="10"/>
      <c r="L41" s="10"/>
      <c r="M41" s="10"/>
      <c r="N41" s="10"/>
      <c r="O41" s="10"/>
    </row>
    <row r="42" spans="1:15" x14ac:dyDescent="0.2">
      <c r="A42" s="41"/>
      <c r="B42" s="41"/>
      <c r="C42" s="41"/>
      <c r="D42" s="41"/>
      <c r="E42" s="41"/>
      <c r="F42" s="41"/>
      <c r="G42" s="41"/>
      <c r="H42" s="41"/>
      <c r="I42" s="42"/>
      <c r="J42" s="10"/>
      <c r="K42" s="10"/>
      <c r="L42" s="10"/>
      <c r="M42" s="10"/>
      <c r="N42" s="10"/>
      <c r="O42" s="10"/>
    </row>
    <row r="43" spans="1:15" x14ac:dyDescent="0.2">
      <c r="A43" s="238" t="s">
        <v>31</v>
      </c>
      <c r="B43" s="238"/>
      <c r="C43" s="238"/>
      <c r="D43" s="238"/>
      <c r="E43" s="238"/>
      <c r="F43" s="238"/>
      <c r="G43" s="238"/>
      <c r="H43" s="238"/>
      <c r="I43" s="238"/>
      <c r="J43" s="10"/>
      <c r="K43" s="10"/>
      <c r="L43" s="10"/>
      <c r="M43" s="10"/>
      <c r="N43" s="10"/>
      <c r="O43" s="10"/>
    </row>
    <row r="44" spans="1:15" x14ac:dyDescent="0.2">
      <c r="A44" s="236" t="s">
        <v>32</v>
      </c>
      <c r="B44" s="236"/>
      <c r="C44" s="236"/>
      <c r="D44" s="236"/>
      <c r="E44" s="236"/>
      <c r="F44" s="236"/>
      <c r="G44" s="236"/>
      <c r="H44" s="36" t="s">
        <v>19</v>
      </c>
      <c r="I44" s="36" t="s">
        <v>20</v>
      </c>
      <c r="J44" s="10"/>
      <c r="K44" s="10"/>
      <c r="L44" s="10"/>
      <c r="M44" s="10"/>
      <c r="N44" s="10"/>
      <c r="O44" s="10"/>
    </row>
    <row r="45" spans="1:15" x14ac:dyDescent="0.2">
      <c r="A45" s="36" t="s">
        <v>0</v>
      </c>
      <c r="B45" s="226" t="s">
        <v>33</v>
      </c>
      <c r="C45" s="226"/>
      <c r="D45" s="226"/>
      <c r="E45" s="226"/>
      <c r="F45" s="226"/>
      <c r="G45" s="226"/>
      <c r="H45" s="48">
        <v>9.0899999999999995E-2</v>
      </c>
      <c r="I45" s="47">
        <f>$I$41*H45</f>
        <v>270.87497437536001</v>
      </c>
      <c r="J45" s="10"/>
      <c r="K45" s="10"/>
      <c r="L45" s="10"/>
      <c r="M45" s="10"/>
      <c r="N45" s="10"/>
      <c r="O45" s="10"/>
    </row>
    <row r="46" spans="1:15" x14ac:dyDescent="0.2">
      <c r="A46" s="36" t="s">
        <v>2</v>
      </c>
      <c r="B46" s="226" t="s">
        <v>34</v>
      </c>
      <c r="C46" s="226"/>
      <c r="D46" s="226"/>
      <c r="E46" s="226"/>
      <c r="F46" s="226"/>
      <c r="G46" s="226"/>
      <c r="H46" s="58">
        <v>3.0300000000000001E-2</v>
      </c>
      <c r="I46" s="47">
        <f>H46*I41</f>
        <v>90.291658125120009</v>
      </c>
      <c r="J46" s="10"/>
      <c r="K46" s="10"/>
      <c r="L46" s="10"/>
      <c r="M46" s="10"/>
      <c r="N46" s="10"/>
      <c r="O46" s="10"/>
    </row>
    <row r="47" spans="1:15" x14ac:dyDescent="0.2">
      <c r="A47" s="236" t="s">
        <v>35</v>
      </c>
      <c r="B47" s="236"/>
      <c r="C47" s="236"/>
      <c r="D47" s="236"/>
      <c r="E47" s="236"/>
      <c r="F47" s="236"/>
      <c r="G47" s="236"/>
      <c r="H47" s="43">
        <f>SUM(H45:H46)</f>
        <v>0.1212</v>
      </c>
      <c r="I47" s="44">
        <f>SUM(I45:I46)</f>
        <v>361.16663250048003</v>
      </c>
      <c r="J47" s="10"/>
      <c r="K47" s="10"/>
      <c r="L47" s="10"/>
      <c r="M47" s="10"/>
      <c r="N47" s="10"/>
      <c r="O47" s="10"/>
    </row>
    <row r="48" spans="1:15" x14ac:dyDescent="0.2">
      <c r="A48" s="242"/>
      <c r="B48" s="242"/>
      <c r="C48" s="242"/>
      <c r="D48" s="242"/>
      <c r="E48" s="242"/>
      <c r="F48" s="242"/>
      <c r="G48" s="242"/>
      <c r="H48" s="242"/>
      <c r="I48" s="242"/>
      <c r="J48" s="10"/>
      <c r="K48" s="10"/>
      <c r="L48" s="10"/>
      <c r="M48" s="10"/>
      <c r="N48" s="10"/>
      <c r="O48" s="10"/>
    </row>
    <row r="49" spans="1:21" x14ac:dyDescent="0.2">
      <c r="A49" s="244" t="s">
        <v>36</v>
      </c>
      <c r="B49" s="244"/>
      <c r="C49" s="244"/>
      <c r="D49" s="244"/>
      <c r="E49" s="244"/>
      <c r="F49" s="244"/>
      <c r="G49" s="244"/>
      <c r="H49" s="45" t="s">
        <v>19</v>
      </c>
      <c r="I49" s="45" t="s">
        <v>20</v>
      </c>
      <c r="J49" s="11"/>
      <c r="K49" s="12"/>
      <c r="L49" s="10"/>
      <c r="M49" s="10"/>
      <c r="N49" s="10"/>
      <c r="O49" s="10"/>
    </row>
    <row r="50" spans="1:21" x14ac:dyDescent="0.2">
      <c r="A50" s="36" t="s">
        <v>0</v>
      </c>
      <c r="B50" s="226" t="s">
        <v>37</v>
      </c>
      <c r="C50" s="226"/>
      <c r="D50" s="226"/>
      <c r="E50" s="226"/>
      <c r="F50" s="226"/>
      <c r="G50" s="226"/>
      <c r="H50" s="46">
        <v>0.1</v>
      </c>
      <c r="I50" s="47">
        <f>H50*($I$41+I47)</f>
        <v>334.10893429004801</v>
      </c>
      <c r="J50" s="107"/>
      <c r="K50" s="12"/>
      <c r="L50" s="10"/>
      <c r="M50" s="10"/>
      <c r="N50" s="10"/>
      <c r="O50" s="10"/>
    </row>
    <row r="51" spans="1:21" x14ac:dyDescent="0.2">
      <c r="A51" s="36" t="s">
        <v>2</v>
      </c>
      <c r="B51" s="226" t="s">
        <v>38</v>
      </c>
      <c r="C51" s="226"/>
      <c r="D51" s="226"/>
      <c r="E51" s="226"/>
      <c r="F51" s="226"/>
      <c r="G51" s="226"/>
      <c r="H51" s="48">
        <v>2.5000000000000001E-2</v>
      </c>
      <c r="I51" s="47">
        <f>H51*($I$41+I47)</f>
        <v>83.527233572512003</v>
      </c>
      <c r="J51" s="10"/>
      <c r="K51" s="10"/>
      <c r="L51" s="10"/>
      <c r="M51" s="10"/>
      <c r="N51" s="10"/>
      <c r="O51" s="10"/>
    </row>
    <row r="52" spans="1:21" ht="12" customHeight="1" x14ac:dyDescent="0.2">
      <c r="A52" s="36" t="s">
        <v>3</v>
      </c>
      <c r="B52" s="226" t="s">
        <v>247</v>
      </c>
      <c r="C52" s="226"/>
      <c r="D52" s="226"/>
      <c r="E52" s="226"/>
      <c r="F52" s="226"/>
      <c r="G52" s="226"/>
      <c r="H52" s="46">
        <v>0.03</v>
      </c>
      <c r="I52" s="49">
        <f>H52*($I$41+I47)</f>
        <v>100.23268028701439</v>
      </c>
      <c r="J52" s="10"/>
      <c r="K52" s="22"/>
      <c r="L52" s="21"/>
      <c r="M52" s="245"/>
      <c r="N52" s="245"/>
      <c r="O52" s="23"/>
      <c r="P52" s="243"/>
      <c r="Q52" s="3"/>
    </row>
    <row r="53" spans="1:21" x14ac:dyDescent="0.2">
      <c r="A53" s="36" t="s">
        <v>5</v>
      </c>
      <c r="B53" s="226" t="s">
        <v>39</v>
      </c>
      <c r="C53" s="226"/>
      <c r="D53" s="226"/>
      <c r="E53" s="226"/>
      <c r="F53" s="226"/>
      <c r="G53" s="226"/>
      <c r="H53" s="48">
        <v>1.4999999999999999E-2</v>
      </c>
      <c r="I53" s="47">
        <f>H53*($I$41+I47)</f>
        <v>50.116340143507195</v>
      </c>
      <c r="J53" s="10"/>
      <c r="K53" s="20"/>
      <c r="L53" s="21"/>
      <c r="M53" s="245"/>
      <c r="N53" s="245"/>
      <c r="O53" s="23"/>
      <c r="P53" s="243"/>
      <c r="Q53" s="3"/>
      <c r="U53" s="16"/>
    </row>
    <row r="54" spans="1:21" x14ac:dyDescent="0.2">
      <c r="A54" s="36" t="s">
        <v>25</v>
      </c>
      <c r="B54" s="226" t="s">
        <v>40</v>
      </c>
      <c r="C54" s="226"/>
      <c r="D54" s="226"/>
      <c r="E54" s="226"/>
      <c r="F54" s="226"/>
      <c r="G54" s="226"/>
      <c r="H54" s="48">
        <v>0.01</v>
      </c>
      <c r="I54" s="47">
        <f>H54*($I$41+I47)</f>
        <v>33.410893429004801</v>
      </c>
      <c r="J54" s="10"/>
      <c r="K54" s="17"/>
      <c r="L54" s="18"/>
      <c r="M54" s="18"/>
      <c r="N54" s="18"/>
      <c r="O54" s="18"/>
      <c r="P54" s="19"/>
      <c r="Q54" s="3"/>
    </row>
    <row r="55" spans="1:21" x14ac:dyDescent="0.2">
      <c r="A55" s="36" t="s">
        <v>27</v>
      </c>
      <c r="B55" s="226" t="s">
        <v>41</v>
      </c>
      <c r="C55" s="226"/>
      <c r="D55" s="226"/>
      <c r="E55" s="226"/>
      <c r="F55" s="226"/>
      <c r="G55" s="226"/>
      <c r="H55" s="48">
        <v>6.0000000000000001E-3</v>
      </c>
      <c r="I55" s="47">
        <f>H55*($I$41+I47)</f>
        <v>20.046536057402882</v>
      </c>
      <c r="J55" s="10"/>
      <c r="K55" s="10"/>
      <c r="L55" s="10"/>
      <c r="M55" s="10"/>
      <c r="N55" s="10"/>
      <c r="O55" s="10"/>
    </row>
    <row r="56" spans="1:21" x14ac:dyDescent="0.2">
      <c r="A56" s="36" t="s">
        <v>29</v>
      </c>
      <c r="B56" s="226" t="s">
        <v>42</v>
      </c>
      <c r="C56" s="226"/>
      <c r="D56" s="226"/>
      <c r="E56" s="226"/>
      <c r="F56" s="226"/>
      <c r="G56" s="226"/>
      <c r="H56" s="48">
        <v>2E-3</v>
      </c>
      <c r="I56" s="47">
        <f>H56*($I$41+I47)</f>
        <v>6.6821786858009604</v>
      </c>
      <c r="J56" s="10"/>
      <c r="K56" s="10"/>
      <c r="L56" s="10"/>
      <c r="M56" s="10"/>
      <c r="N56" s="10"/>
      <c r="O56" s="10"/>
    </row>
    <row r="57" spans="1:21" x14ac:dyDescent="0.2">
      <c r="A57" s="36" t="s">
        <v>43</v>
      </c>
      <c r="B57" s="226" t="s">
        <v>44</v>
      </c>
      <c r="C57" s="226"/>
      <c r="D57" s="226"/>
      <c r="E57" s="226"/>
      <c r="F57" s="226"/>
      <c r="G57" s="226"/>
      <c r="H57" s="48">
        <v>0.08</v>
      </c>
      <c r="I57" s="47">
        <f>H57*($I$41+I47)</f>
        <v>267.28714743203841</v>
      </c>
      <c r="J57" s="10"/>
      <c r="K57" s="10"/>
      <c r="L57" s="10"/>
      <c r="M57" s="10"/>
      <c r="N57" s="10"/>
      <c r="O57" s="10"/>
    </row>
    <row r="58" spans="1:21" x14ac:dyDescent="0.2">
      <c r="A58" s="236" t="s">
        <v>45</v>
      </c>
      <c r="B58" s="236"/>
      <c r="C58" s="236"/>
      <c r="D58" s="236"/>
      <c r="E58" s="236"/>
      <c r="F58" s="236"/>
      <c r="G58" s="236"/>
      <c r="H58" s="43">
        <f>SUM(H50:H57)</f>
        <v>0.26800000000000002</v>
      </c>
      <c r="I58" s="40">
        <f>SUM(I50:I57)</f>
        <v>895.41194389732868</v>
      </c>
      <c r="J58" s="13"/>
      <c r="K58" s="10"/>
      <c r="L58" s="10"/>
      <c r="M58" s="10"/>
      <c r="N58" s="10"/>
      <c r="O58" s="10"/>
    </row>
    <row r="59" spans="1:21" x14ac:dyDescent="0.2">
      <c r="A59" s="247"/>
      <c r="B59" s="247"/>
      <c r="C59" s="247"/>
      <c r="D59" s="247"/>
      <c r="E59" s="247"/>
      <c r="F59" s="247"/>
      <c r="G59" s="247"/>
      <c r="H59" s="247"/>
      <c r="I59" s="247"/>
      <c r="J59" s="10"/>
      <c r="K59" s="10"/>
      <c r="L59" s="10"/>
      <c r="M59" s="10"/>
      <c r="N59" s="10"/>
      <c r="O59" s="10"/>
    </row>
    <row r="60" spans="1:21" x14ac:dyDescent="0.2">
      <c r="A60" s="244" t="s">
        <v>46</v>
      </c>
      <c r="B60" s="244"/>
      <c r="C60" s="244"/>
      <c r="D60" s="244"/>
      <c r="E60" s="244"/>
      <c r="F60" s="244"/>
      <c r="G60" s="244"/>
      <c r="H60" s="50"/>
      <c r="I60" s="45" t="s">
        <v>20</v>
      </c>
      <c r="J60" s="10"/>
      <c r="K60" s="10"/>
      <c r="L60" s="10"/>
      <c r="M60" s="10"/>
      <c r="N60" s="10"/>
      <c r="O60" s="10"/>
    </row>
    <row r="61" spans="1:21" x14ac:dyDescent="0.2">
      <c r="A61" s="36" t="s">
        <v>0</v>
      </c>
      <c r="B61" s="239" t="s">
        <v>47</v>
      </c>
      <c r="C61" s="240"/>
      <c r="D61" s="240"/>
      <c r="E61" s="240"/>
      <c r="F61" s="240"/>
      <c r="G61" s="240"/>
      <c r="H61" s="241"/>
      <c r="I61" s="59">
        <f>(5.45*2*22)-(6%*I33)</f>
        <v>137.95922800000002</v>
      </c>
      <c r="J61" s="2"/>
      <c r="K61" s="10"/>
      <c r="L61" s="10"/>
      <c r="M61" s="10"/>
      <c r="N61" s="10"/>
      <c r="O61" s="10"/>
    </row>
    <row r="62" spans="1:21" x14ac:dyDescent="0.2">
      <c r="A62" s="36" t="s">
        <v>2</v>
      </c>
      <c r="B62" s="239" t="s">
        <v>187</v>
      </c>
      <c r="C62" s="240"/>
      <c r="D62" s="240"/>
      <c r="E62" s="240"/>
      <c r="F62" s="240"/>
      <c r="G62" s="240"/>
      <c r="H62" s="241"/>
      <c r="I62" s="59">
        <f>25*22*0.9</f>
        <v>495</v>
      </c>
      <c r="J62" s="2"/>
      <c r="K62" s="10"/>
      <c r="L62" s="10"/>
      <c r="M62" s="10"/>
      <c r="N62" s="10"/>
      <c r="O62" s="10"/>
    </row>
    <row r="63" spans="1:21" x14ac:dyDescent="0.2">
      <c r="A63" s="36" t="s">
        <v>3</v>
      </c>
      <c r="B63" s="239" t="s">
        <v>186</v>
      </c>
      <c r="C63" s="240"/>
      <c r="D63" s="240"/>
      <c r="E63" s="240"/>
      <c r="F63" s="240"/>
      <c r="G63" s="240"/>
      <c r="H63" s="246"/>
      <c r="I63" s="59">
        <v>0</v>
      </c>
      <c r="J63" s="2"/>
      <c r="K63" s="10"/>
      <c r="L63" s="10"/>
      <c r="M63" s="10"/>
      <c r="N63" s="10"/>
      <c r="O63" s="10"/>
    </row>
    <row r="64" spans="1:21" x14ac:dyDescent="0.2">
      <c r="A64" s="36" t="s">
        <v>5</v>
      </c>
      <c r="B64" s="239" t="s">
        <v>185</v>
      </c>
      <c r="C64" s="240"/>
      <c r="D64" s="240"/>
      <c r="E64" s="240"/>
      <c r="F64" s="240"/>
      <c r="G64" s="240"/>
      <c r="H64" s="246"/>
      <c r="I64" s="59">
        <v>2.35</v>
      </c>
      <c r="J64" s="2"/>
      <c r="K64" s="10"/>
      <c r="L64" s="10"/>
      <c r="M64" s="10"/>
      <c r="N64" s="10"/>
      <c r="O64" s="10"/>
    </row>
    <row r="65" spans="1:15" x14ac:dyDescent="0.2">
      <c r="A65" s="236" t="s">
        <v>48</v>
      </c>
      <c r="B65" s="236"/>
      <c r="C65" s="236"/>
      <c r="D65" s="236"/>
      <c r="E65" s="236"/>
      <c r="F65" s="236"/>
      <c r="G65" s="236"/>
      <c r="H65" s="236"/>
      <c r="I65" s="44">
        <f>SUM(I61:I64)</f>
        <v>635.30922800000008</v>
      </c>
      <c r="J65" s="10"/>
      <c r="K65" s="10"/>
      <c r="L65" s="10"/>
      <c r="M65" s="10"/>
      <c r="N65" s="10"/>
      <c r="O65" s="10"/>
    </row>
    <row r="66" spans="1:15" x14ac:dyDescent="0.2">
      <c r="A66" s="247"/>
      <c r="B66" s="247"/>
      <c r="C66" s="247"/>
      <c r="D66" s="247"/>
      <c r="E66" s="247"/>
      <c r="F66" s="247"/>
      <c r="G66" s="247"/>
      <c r="H66" s="247"/>
      <c r="I66" s="247"/>
      <c r="J66" s="10"/>
      <c r="K66" s="10"/>
      <c r="L66" s="10"/>
      <c r="M66" s="10"/>
      <c r="N66" s="10"/>
      <c r="O66" s="10"/>
    </row>
    <row r="67" spans="1:15" x14ac:dyDescent="0.2">
      <c r="A67" s="225" t="s">
        <v>49</v>
      </c>
      <c r="B67" s="225"/>
      <c r="C67" s="225"/>
      <c r="D67" s="225"/>
      <c r="E67" s="225"/>
      <c r="F67" s="225"/>
      <c r="G67" s="225"/>
      <c r="H67" s="225"/>
      <c r="I67" s="225"/>
      <c r="J67" s="10"/>
      <c r="K67" s="10"/>
      <c r="L67" s="10"/>
      <c r="M67" s="10"/>
      <c r="N67" s="10"/>
      <c r="O67" s="10"/>
    </row>
    <row r="68" spans="1:15" x14ac:dyDescent="0.2">
      <c r="A68" s="236" t="s">
        <v>50</v>
      </c>
      <c r="B68" s="236"/>
      <c r="C68" s="236"/>
      <c r="D68" s="236"/>
      <c r="E68" s="236"/>
      <c r="F68" s="236"/>
      <c r="G68" s="236"/>
      <c r="H68" s="236"/>
      <c r="I68" s="36" t="s">
        <v>20</v>
      </c>
      <c r="J68" s="10"/>
      <c r="K68" s="10"/>
      <c r="L68" s="10"/>
      <c r="M68" s="10"/>
      <c r="N68" s="10"/>
      <c r="O68" s="10"/>
    </row>
    <row r="69" spans="1:15" x14ac:dyDescent="0.2">
      <c r="A69" s="36" t="s">
        <v>51</v>
      </c>
      <c r="B69" s="226" t="s">
        <v>52</v>
      </c>
      <c r="C69" s="226"/>
      <c r="D69" s="226"/>
      <c r="E69" s="226"/>
      <c r="F69" s="226"/>
      <c r="G69" s="226"/>
      <c r="H69" s="226"/>
      <c r="I69" s="38">
        <f>I47</f>
        <v>361.16663250048003</v>
      </c>
      <c r="J69" s="10"/>
      <c r="K69" s="10"/>
      <c r="L69" s="10"/>
      <c r="M69" s="10"/>
      <c r="N69" s="10"/>
      <c r="O69" s="10"/>
    </row>
    <row r="70" spans="1:15" x14ac:dyDescent="0.2">
      <c r="A70" s="36" t="s">
        <v>53</v>
      </c>
      <c r="B70" s="226" t="s">
        <v>54</v>
      </c>
      <c r="C70" s="226"/>
      <c r="D70" s="226"/>
      <c r="E70" s="226"/>
      <c r="F70" s="226"/>
      <c r="G70" s="226"/>
      <c r="H70" s="226"/>
      <c r="I70" s="38">
        <f>I58</f>
        <v>895.41194389732868</v>
      </c>
      <c r="J70" s="10"/>
      <c r="K70" s="10"/>
      <c r="L70" s="10"/>
      <c r="M70" s="10"/>
      <c r="N70" s="10"/>
      <c r="O70" s="10"/>
    </row>
    <row r="71" spans="1:15" x14ac:dyDescent="0.2">
      <c r="A71" s="36" t="s">
        <v>55</v>
      </c>
      <c r="B71" s="226" t="s">
        <v>56</v>
      </c>
      <c r="C71" s="226"/>
      <c r="D71" s="226"/>
      <c r="E71" s="226"/>
      <c r="F71" s="226"/>
      <c r="G71" s="226"/>
      <c r="H71" s="226"/>
      <c r="I71" s="38">
        <f>I65</f>
        <v>635.30922800000008</v>
      </c>
      <c r="J71" s="10"/>
      <c r="K71" s="10"/>
      <c r="L71" s="10"/>
      <c r="M71" s="10"/>
      <c r="N71" s="10"/>
      <c r="O71" s="10"/>
    </row>
    <row r="72" spans="1:15" x14ac:dyDescent="0.2">
      <c r="A72" s="236" t="s">
        <v>57</v>
      </c>
      <c r="B72" s="236"/>
      <c r="C72" s="236"/>
      <c r="D72" s="236"/>
      <c r="E72" s="236"/>
      <c r="F72" s="236"/>
      <c r="G72" s="236"/>
      <c r="H72" s="236"/>
      <c r="I72" s="40">
        <f>SUM(I69:I71)</f>
        <v>1891.8878043978088</v>
      </c>
      <c r="J72" s="10"/>
      <c r="K72" s="10"/>
      <c r="L72" s="10"/>
      <c r="M72" s="10"/>
      <c r="N72" s="10"/>
      <c r="O72" s="10"/>
    </row>
    <row r="73" spans="1:15" x14ac:dyDescent="0.2">
      <c r="A73" s="248"/>
      <c r="B73" s="248"/>
      <c r="C73" s="248"/>
      <c r="D73" s="248"/>
      <c r="E73" s="248"/>
      <c r="F73" s="248"/>
      <c r="G73" s="248"/>
      <c r="H73" s="248"/>
      <c r="I73" s="248"/>
      <c r="J73" s="10"/>
      <c r="K73" s="10"/>
      <c r="L73" s="10"/>
      <c r="M73" s="10"/>
      <c r="N73" s="10"/>
      <c r="O73" s="10"/>
    </row>
    <row r="74" spans="1:15" x14ac:dyDescent="0.2">
      <c r="A74" s="238" t="s">
        <v>58</v>
      </c>
      <c r="B74" s="238"/>
      <c r="C74" s="238"/>
      <c r="D74" s="238"/>
      <c r="E74" s="238"/>
      <c r="F74" s="238"/>
      <c r="G74" s="238"/>
      <c r="H74" s="238"/>
      <c r="I74" s="238"/>
      <c r="J74" s="10"/>
      <c r="K74" s="10"/>
      <c r="L74" s="10"/>
      <c r="M74" s="10"/>
      <c r="N74" s="10"/>
      <c r="O74" s="10"/>
    </row>
    <row r="75" spans="1:15" x14ac:dyDescent="0.2">
      <c r="A75" s="36">
        <v>3</v>
      </c>
      <c r="B75" s="236" t="s">
        <v>59</v>
      </c>
      <c r="C75" s="236"/>
      <c r="D75" s="236"/>
      <c r="E75" s="236"/>
      <c r="F75" s="236"/>
      <c r="G75" s="236"/>
      <c r="H75" s="36" t="s">
        <v>19</v>
      </c>
      <c r="I75" s="36" t="s">
        <v>20</v>
      </c>
      <c r="J75" s="10"/>
      <c r="K75" s="10"/>
      <c r="L75" s="10"/>
      <c r="M75" s="10"/>
      <c r="N75" s="10"/>
      <c r="O75" s="10"/>
    </row>
    <row r="76" spans="1:15" x14ac:dyDescent="0.2">
      <c r="A76" s="36" t="s">
        <v>0</v>
      </c>
      <c r="B76" s="226" t="s">
        <v>60</v>
      </c>
      <c r="C76" s="226"/>
      <c r="D76" s="226"/>
      <c r="E76" s="226"/>
      <c r="F76" s="226"/>
      <c r="G76" s="226"/>
      <c r="H76" s="46">
        <f>(((1/12*0.05)))</f>
        <v>4.1666666666666666E-3</v>
      </c>
      <c r="I76" s="47">
        <f t="shared" ref="I76:I81" si="0">$I$41*H76</f>
        <v>12.416344626666667</v>
      </c>
      <c r="J76" s="10"/>
      <c r="K76" s="10"/>
      <c r="L76" s="10"/>
      <c r="M76" s="10"/>
      <c r="N76" s="10"/>
      <c r="O76" s="10"/>
    </row>
    <row r="77" spans="1:15" x14ac:dyDescent="0.2">
      <c r="A77" s="36" t="s">
        <v>2</v>
      </c>
      <c r="B77" s="226" t="s">
        <v>61</v>
      </c>
      <c r="C77" s="226"/>
      <c r="D77" s="226"/>
      <c r="E77" s="226"/>
      <c r="F77" s="226"/>
      <c r="G77" s="226"/>
      <c r="H77" s="48">
        <f>0.08*H76</f>
        <v>3.3333333333333332E-4</v>
      </c>
      <c r="I77" s="47">
        <f t="shared" si="0"/>
        <v>0.99330757013333337</v>
      </c>
      <c r="J77" s="10"/>
      <c r="K77" s="10"/>
      <c r="L77" s="10"/>
      <c r="M77" s="10"/>
      <c r="N77" s="10"/>
      <c r="O77" s="10"/>
    </row>
    <row r="78" spans="1:15" x14ac:dyDescent="0.2">
      <c r="A78" s="36" t="s">
        <v>3</v>
      </c>
      <c r="B78" s="226" t="s">
        <v>62</v>
      </c>
      <c r="C78" s="226"/>
      <c r="D78" s="226"/>
      <c r="E78" s="226"/>
      <c r="F78" s="226"/>
      <c r="G78" s="226"/>
      <c r="H78" s="46">
        <f>(((1+(2/12)+((1/3)*(1/12)))))*0.08*0.4*0.9</f>
        <v>3.4400000000000007E-2</v>
      </c>
      <c r="I78" s="47">
        <f t="shared" si="0"/>
        <v>102.50934123776003</v>
      </c>
      <c r="J78" s="10"/>
      <c r="K78" s="10"/>
      <c r="L78" s="10"/>
      <c r="M78" s="10"/>
      <c r="N78" s="10"/>
      <c r="O78" s="10"/>
    </row>
    <row r="79" spans="1:15" x14ac:dyDescent="0.2">
      <c r="A79" s="36" t="s">
        <v>5</v>
      </c>
      <c r="B79" s="226" t="s">
        <v>63</v>
      </c>
      <c r="C79" s="226"/>
      <c r="D79" s="226"/>
      <c r="E79" s="226"/>
      <c r="F79" s="226"/>
      <c r="G79" s="226"/>
      <c r="H79" s="46">
        <f>(7/30)/12</f>
        <v>1.9444444444444445E-2</v>
      </c>
      <c r="I79" s="49">
        <f t="shared" si="0"/>
        <v>57.942941591111115</v>
      </c>
      <c r="J79" s="10"/>
      <c r="K79" s="10"/>
      <c r="L79" s="10"/>
      <c r="M79" s="10"/>
      <c r="N79" s="10"/>
      <c r="O79" s="10"/>
    </row>
    <row r="80" spans="1:15" x14ac:dyDescent="0.2">
      <c r="A80" s="36" t="s">
        <v>25</v>
      </c>
      <c r="B80" s="226" t="s">
        <v>64</v>
      </c>
      <c r="C80" s="226"/>
      <c r="D80" s="226"/>
      <c r="E80" s="226"/>
      <c r="F80" s="226"/>
      <c r="G80" s="226"/>
      <c r="H80" s="48">
        <f>H58*H79</f>
        <v>5.2111111111111117E-3</v>
      </c>
      <c r="I80" s="49">
        <f t="shared" si="0"/>
        <v>15.52870834641778</v>
      </c>
      <c r="J80" s="10"/>
      <c r="K80" s="10"/>
      <c r="L80" s="10"/>
      <c r="M80" s="10"/>
      <c r="N80" s="10"/>
      <c r="O80" s="10"/>
    </row>
    <row r="81" spans="1:15" x14ac:dyDescent="0.2">
      <c r="A81" s="36" t="s">
        <v>27</v>
      </c>
      <c r="B81" s="226" t="s">
        <v>65</v>
      </c>
      <c r="C81" s="226"/>
      <c r="D81" s="226"/>
      <c r="E81" s="226"/>
      <c r="F81" s="226"/>
      <c r="G81" s="226"/>
      <c r="H81" s="60">
        <f>((7/30)/12)*0.08*0.4</f>
        <v>6.2222222222222236E-4</v>
      </c>
      <c r="I81" s="49">
        <f t="shared" si="0"/>
        <v>1.8541741309155562</v>
      </c>
      <c r="J81" s="10"/>
      <c r="K81" s="10"/>
      <c r="L81" s="10"/>
      <c r="M81" s="10"/>
      <c r="N81" s="10"/>
      <c r="O81" s="10"/>
    </row>
    <row r="82" spans="1:15" x14ac:dyDescent="0.2">
      <c r="A82" s="236" t="s">
        <v>66</v>
      </c>
      <c r="B82" s="236"/>
      <c r="C82" s="236"/>
      <c r="D82" s="236"/>
      <c r="E82" s="236"/>
      <c r="F82" s="236"/>
      <c r="G82" s="236"/>
      <c r="H82" s="43">
        <f>SUM(H76:H81)</f>
        <v>6.4177777777777778E-2</v>
      </c>
      <c r="I82" s="51">
        <f>SUM(I76:I81)</f>
        <v>191.24481750300447</v>
      </c>
      <c r="J82" s="10"/>
      <c r="K82" s="10"/>
      <c r="L82" s="10"/>
      <c r="M82" s="10"/>
      <c r="N82" s="10"/>
      <c r="O82" s="10"/>
    </row>
    <row r="83" spans="1:15" x14ac:dyDescent="0.2">
      <c r="A83" s="253"/>
      <c r="B83" s="253"/>
      <c r="C83" s="253"/>
      <c r="D83" s="253"/>
      <c r="E83" s="253"/>
      <c r="F83" s="253"/>
      <c r="G83" s="253"/>
      <c r="H83" s="253"/>
      <c r="I83" s="253"/>
      <c r="J83" s="10"/>
      <c r="K83" s="10"/>
      <c r="L83" s="10"/>
      <c r="M83" s="10"/>
      <c r="N83" s="10"/>
      <c r="O83" s="10"/>
    </row>
    <row r="84" spans="1:15" x14ac:dyDescent="0.2">
      <c r="A84" s="238" t="s">
        <v>67</v>
      </c>
      <c r="B84" s="238"/>
      <c r="C84" s="238"/>
      <c r="D84" s="238"/>
      <c r="E84" s="238"/>
      <c r="F84" s="238"/>
      <c r="G84" s="238"/>
      <c r="H84" s="238"/>
      <c r="I84" s="238"/>
      <c r="J84" s="10"/>
      <c r="K84" s="10"/>
      <c r="L84" s="10"/>
      <c r="M84" s="10"/>
      <c r="N84" s="10"/>
      <c r="O84" s="10"/>
    </row>
    <row r="85" spans="1:15" x14ac:dyDescent="0.2">
      <c r="A85" s="236" t="s">
        <v>68</v>
      </c>
      <c r="B85" s="236"/>
      <c r="C85" s="236"/>
      <c r="D85" s="236"/>
      <c r="E85" s="236"/>
      <c r="F85" s="236"/>
      <c r="G85" s="236"/>
      <c r="H85" s="36" t="s">
        <v>19</v>
      </c>
      <c r="I85" s="36" t="s">
        <v>20</v>
      </c>
      <c r="J85" s="10"/>
      <c r="K85" s="10"/>
      <c r="L85" s="10"/>
      <c r="M85" s="10"/>
      <c r="N85" s="10"/>
      <c r="O85" s="10"/>
    </row>
    <row r="86" spans="1:15" x14ac:dyDescent="0.2">
      <c r="A86" s="36" t="s">
        <v>0</v>
      </c>
      <c r="B86" s="226" t="s">
        <v>69</v>
      </c>
      <c r="C86" s="226"/>
      <c r="D86" s="226"/>
      <c r="E86" s="226"/>
      <c r="F86" s="226"/>
      <c r="G86" s="226"/>
      <c r="H86" s="66">
        <v>9.0899999999999995E-2</v>
      </c>
      <c r="I86" s="62">
        <f t="shared" ref="I86:I91" si="1">$I$41*H86</f>
        <v>270.87497437536001</v>
      </c>
      <c r="J86" s="10"/>
      <c r="K86" s="10"/>
      <c r="L86" s="10"/>
      <c r="M86" s="10"/>
      <c r="N86" s="10"/>
      <c r="O86" s="10"/>
    </row>
    <row r="87" spans="1:15" x14ac:dyDescent="0.2">
      <c r="A87" s="36" t="s">
        <v>2</v>
      </c>
      <c r="B87" s="226" t="s">
        <v>70</v>
      </c>
      <c r="C87" s="226"/>
      <c r="D87" s="226"/>
      <c r="E87" s="226"/>
      <c r="F87" s="226"/>
      <c r="G87" s="226"/>
      <c r="H87" s="66">
        <v>2.7799999999999999E-3</v>
      </c>
      <c r="I87" s="62">
        <f t="shared" si="1"/>
        <v>8.2841851349120006</v>
      </c>
      <c r="J87" s="10"/>
      <c r="K87" s="10"/>
      <c r="L87" s="10"/>
      <c r="M87" s="10"/>
      <c r="N87" s="10"/>
      <c r="O87" s="10"/>
    </row>
    <row r="88" spans="1:15" x14ac:dyDescent="0.2">
      <c r="A88" s="36" t="s">
        <v>3</v>
      </c>
      <c r="B88" s="226" t="s">
        <v>71</v>
      </c>
      <c r="C88" s="226"/>
      <c r="D88" s="226"/>
      <c r="E88" s="226"/>
      <c r="F88" s="226"/>
      <c r="G88" s="226"/>
      <c r="H88" s="66">
        <v>2.1000000000000001E-4</v>
      </c>
      <c r="I88" s="62">
        <f t="shared" si="1"/>
        <v>0.62578376918400003</v>
      </c>
      <c r="J88" s="10"/>
      <c r="K88" s="10"/>
      <c r="L88" s="10"/>
      <c r="M88" s="10"/>
      <c r="N88" s="10"/>
      <c r="O88" s="10"/>
    </row>
    <row r="89" spans="1:15" x14ac:dyDescent="0.2">
      <c r="A89" s="36" t="s">
        <v>5</v>
      </c>
      <c r="B89" s="226" t="s">
        <v>72</v>
      </c>
      <c r="C89" s="226"/>
      <c r="D89" s="226"/>
      <c r="E89" s="226"/>
      <c r="F89" s="226"/>
      <c r="G89" s="226"/>
      <c r="H89" s="66">
        <v>6.9999999999999999E-4</v>
      </c>
      <c r="I89" s="62">
        <f t="shared" si="1"/>
        <v>2.0859458972800002</v>
      </c>
      <c r="J89" s="10"/>
      <c r="K89" s="10"/>
      <c r="L89" s="10"/>
      <c r="M89" s="10"/>
      <c r="N89" s="10"/>
      <c r="O89" s="10"/>
    </row>
    <row r="90" spans="1:15" x14ac:dyDescent="0.2">
      <c r="A90" s="36" t="s">
        <v>25</v>
      </c>
      <c r="B90" s="226" t="s">
        <v>73</v>
      </c>
      <c r="C90" s="226"/>
      <c r="D90" s="226"/>
      <c r="E90" s="226"/>
      <c r="F90" s="226"/>
      <c r="G90" s="226"/>
      <c r="H90" s="66">
        <v>2.8999999999999998E-3</v>
      </c>
      <c r="I90" s="62">
        <f t="shared" si="1"/>
        <v>8.6417758601599992</v>
      </c>
      <c r="J90" s="10"/>
      <c r="K90" s="10"/>
      <c r="L90" s="10"/>
      <c r="M90" s="10"/>
      <c r="N90" s="10"/>
      <c r="O90" s="10"/>
    </row>
    <row r="91" spans="1:15" x14ac:dyDescent="0.2">
      <c r="A91" s="36" t="s">
        <v>27</v>
      </c>
      <c r="B91" s="249" t="s">
        <v>111</v>
      </c>
      <c r="C91" s="249"/>
      <c r="D91" s="249"/>
      <c r="E91" s="249"/>
      <c r="F91" s="249"/>
      <c r="G91" s="249"/>
      <c r="H91" s="66">
        <v>1.3899999999999999E-2</v>
      </c>
      <c r="I91" s="62">
        <f t="shared" si="1"/>
        <v>41.420925674560003</v>
      </c>
      <c r="J91" s="10"/>
      <c r="K91" s="10"/>
      <c r="L91" s="10"/>
      <c r="M91" s="10"/>
      <c r="N91" s="10"/>
      <c r="O91" s="10"/>
    </row>
    <row r="92" spans="1:15" x14ac:dyDescent="0.2">
      <c r="A92" s="236" t="s">
        <v>112</v>
      </c>
      <c r="B92" s="236"/>
      <c r="C92" s="236"/>
      <c r="D92" s="236"/>
      <c r="E92" s="236"/>
      <c r="F92" s="236"/>
      <c r="G92" s="236"/>
      <c r="H92" s="63">
        <f>SUM(H86:H91)</f>
        <v>0.11139</v>
      </c>
      <c r="I92" s="64">
        <f>SUM(I86:I91)</f>
        <v>331.93359071145602</v>
      </c>
      <c r="J92" s="10"/>
      <c r="K92" s="10"/>
      <c r="L92" s="10"/>
      <c r="M92" s="10"/>
      <c r="N92" s="10"/>
      <c r="O92" s="10"/>
    </row>
    <row r="93" spans="1:15" x14ac:dyDescent="0.2">
      <c r="A93" s="36" t="s">
        <v>29</v>
      </c>
      <c r="B93" s="250" t="s">
        <v>113</v>
      </c>
      <c r="C93" s="251"/>
      <c r="D93" s="251"/>
      <c r="E93" s="251"/>
      <c r="F93" s="251"/>
      <c r="G93" s="252"/>
      <c r="H93" s="61">
        <f>(H92-H90)*((1/12+1/12+(1/12*1/3)))</f>
        <v>2.1095277777777775E-2</v>
      </c>
      <c r="I93" s="65">
        <f>$I$41*H93</f>
        <v>62.862297332196441</v>
      </c>
      <c r="J93" s="10"/>
      <c r="K93" s="10"/>
      <c r="L93" s="10"/>
      <c r="M93" s="10"/>
      <c r="N93" s="10"/>
      <c r="O93" s="10"/>
    </row>
    <row r="94" spans="1:15" x14ac:dyDescent="0.2">
      <c r="A94" s="236" t="s">
        <v>114</v>
      </c>
      <c r="B94" s="236"/>
      <c r="C94" s="236"/>
      <c r="D94" s="236"/>
      <c r="E94" s="236"/>
      <c r="F94" s="236"/>
      <c r="G94" s="236"/>
      <c r="H94" s="63">
        <f>SUM(H92:H93)</f>
        <v>0.13248527777777777</v>
      </c>
      <c r="I94" s="64">
        <f>SUM(I92:I93)</f>
        <v>394.79588804365244</v>
      </c>
      <c r="J94" s="10"/>
      <c r="K94" s="10"/>
      <c r="L94" s="10"/>
      <c r="M94" s="10"/>
      <c r="N94" s="10"/>
      <c r="O94" s="10"/>
    </row>
    <row r="95" spans="1:15" x14ac:dyDescent="0.2">
      <c r="A95" s="36" t="s">
        <v>43</v>
      </c>
      <c r="B95" s="257" t="s">
        <v>115</v>
      </c>
      <c r="C95" s="257"/>
      <c r="D95" s="257"/>
      <c r="E95" s="257"/>
      <c r="F95" s="257"/>
      <c r="G95" s="257"/>
      <c r="H95" s="61">
        <f>H94*H58</f>
        <v>3.5506054444444442E-2</v>
      </c>
      <c r="I95" s="65">
        <f>$I$41*H95</f>
        <v>105.80529799569885</v>
      </c>
      <c r="J95" s="10"/>
      <c r="K95" s="10"/>
      <c r="L95" s="10"/>
      <c r="M95" s="10"/>
      <c r="N95" s="10"/>
      <c r="O95" s="10"/>
    </row>
    <row r="96" spans="1:15" x14ac:dyDescent="0.2">
      <c r="A96" s="236" t="s">
        <v>74</v>
      </c>
      <c r="B96" s="236"/>
      <c r="C96" s="236"/>
      <c r="D96" s="236"/>
      <c r="E96" s="236"/>
      <c r="F96" s="236"/>
      <c r="G96" s="236"/>
      <c r="H96" s="63">
        <f>SUM(H94:H95)</f>
        <v>0.16799133222222221</v>
      </c>
      <c r="I96" s="64">
        <f>SUM(I94:I95)</f>
        <v>500.60118603935132</v>
      </c>
      <c r="J96" s="10"/>
      <c r="K96" s="10"/>
      <c r="L96" s="10"/>
      <c r="M96" s="10"/>
      <c r="N96" s="10"/>
      <c r="O96" s="10"/>
    </row>
    <row r="97" spans="1:15" x14ac:dyDescent="0.2">
      <c r="A97" s="258"/>
      <c r="B97" s="258"/>
      <c r="C97" s="258"/>
      <c r="D97" s="258"/>
      <c r="E97" s="258"/>
      <c r="F97" s="258"/>
      <c r="G97" s="258"/>
      <c r="H97" s="258"/>
      <c r="I97" s="258"/>
      <c r="J97" s="10"/>
      <c r="K97" s="10"/>
      <c r="L97" s="10"/>
      <c r="M97" s="10"/>
      <c r="N97" s="10"/>
      <c r="O97" s="10"/>
    </row>
    <row r="98" spans="1:15" x14ac:dyDescent="0.2">
      <c r="A98" s="236" t="s">
        <v>75</v>
      </c>
      <c r="B98" s="236"/>
      <c r="C98" s="236"/>
      <c r="D98" s="236"/>
      <c r="E98" s="236"/>
      <c r="F98" s="236"/>
      <c r="G98" s="236"/>
      <c r="H98" s="36" t="s">
        <v>19</v>
      </c>
      <c r="I98" s="36" t="s">
        <v>20</v>
      </c>
      <c r="J98" s="10"/>
      <c r="K98" s="10"/>
      <c r="L98" s="10"/>
      <c r="M98" s="10"/>
      <c r="N98" s="10"/>
      <c r="O98" s="10"/>
    </row>
    <row r="99" spans="1:15" x14ac:dyDescent="0.2">
      <c r="A99" s="36" t="s">
        <v>0</v>
      </c>
      <c r="B99" s="226" t="s">
        <v>76</v>
      </c>
      <c r="C99" s="226"/>
      <c r="D99" s="226"/>
      <c r="E99" s="226"/>
      <c r="F99" s="226"/>
      <c r="G99" s="226"/>
      <c r="H99" s="48">
        <v>0</v>
      </c>
      <c r="I99" s="47">
        <f>$I$41*H99</f>
        <v>0</v>
      </c>
      <c r="J99" s="10"/>
      <c r="K99" s="10"/>
      <c r="L99" s="10"/>
      <c r="M99" s="10"/>
      <c r="N99" s="10"/>
      <c r="O99" s="10"/>
    </row>
    <row r="100" spans="1:15" x14ac:dyDescent="0.2">
      <c r="A100" s="254" t="s">
        <v>77</v>
      </c>
      <c r="B100" s="254"/>
      <c r="C100" s="254"/>
      <c r="D100" s="254"/>
      <c r="E100" s="254"/>
      <c r="F100" s="254"/>
      <c r="G100" s="254"/>
      <c r="H100" s="52">
        <f>SUM(H99)</f>
        <v>0</v>
      </c>
      <c r="I100" s="53">
        <f>SUM(I99)</f>
        <v>0</v>
      </c>
      <c r="J100" s="10"/>
      <c r="K100" s="10"/>
      <c r="L100" s="10"/>
      <c r="M100" s="10"/>
      <c r="N100" s="10"/>
      <c r="O100" s="10"/>
    </row>
    <row r="101" spans="1:15" x14ac:dyDescent="0.2">
      <c r="A101" s="255"/>
      <c r="B101" s="255"/>
      <c r="C101" s="255"/>
      <c r="D101" s="255"/>
      <c r="E101" s="255"/>
      <c r="F101" s="255"/>
      <c r="G101" s="255"/>
      <c r="H101" s="255"/>
      <c r="I101" s="255"/>
      <c r="J101" s="10"/>
      <c r="K101" s="10"/>
      <c r="L101" s="10"/>
      <c r="M101" s="10"/>
      <c r="N101" s="10"/>
      <c r="O101" s="10"/>
    </row>
    <row r="102" spans="1:15" x14ac:dyDescent="0.2">
      <c r="A102" s="256" t="s">
        <v>78</v>
      </c>
      <c r="B102" s="256"/>
      <c r="C102" s="256"/>
      <c r="D102" s="256"/>
      <c r="E102" s="256"/>
      <c r="F102" s="256"/>
      <c r="G102" s="256"/>
      <c r="H102" s="256"/>
      <c r="I102" s="256"/>
      <c r="J102" s="10"/>
      <c r="K102" s="10"/>
      <c r="L102" s="10"/>
      <c r="M102" s="10"/>
      <c r="N102" s="10"/>
      <c r="O102" s="10"/>
    </row>
    <row r="103" spans="1:15" x14ac:dyDescent="0.2">
      <c r="A103" s="236" t="s">
        <v>79</v>
      </c>
      <c r="B103" s="236"/>
      <c r="C103" s="236"/>
      <c r="D103" s="236"/>
      <c r="E103" s="236"/>
      <c r="F103" s="236"/>
      <c r="G103" s="236"/>
      <c r="H103" s="236"/>
      <c r="I103" s="36" t="s">
        <v>20</v>
      </c>
      <c r="J103" s="10"/>
      <c r="K103" s="10"/>
      <c r="L103" s="10"/>
      <c r="M103" s="10"/>
      <c r="N103" s="10"/>
      <c r="O103" s="10"/>
    </row>
    <row r="104" spans="1:15" x14ac:dyDescent="0.2">
      <c r="A104" s="36" t="s">
        <v>80</v>
      </c>
      <c r="B104" s="226" t="s">
        <v>70</v>
      </c>
      <c r="C104" s="226"/>
      <c r="D104" s="226"/>
      <c r="E104" s="226"/>
      <c r="F104" s="226"/>
      <c r="G104" s="226"/>
      <c r="H104" s="226"/>
      <c r="I104" s="47">
        <f>I96</f>
        <v>500.60118603935132</v>
      </c>
      <c r="J104" s="10"/>
      <c r="K104" s="10"/>
      <c r="L104" s="10"/>
      <c r="M104" s="10"/>
      <c r="N104" s="10"/>
      <c r="O104" s="10"/>
    </row>
    <row r="105" spans="1:15" x14ac:dyDescent="0.2">
      <c r="A105" s="36" t="s">
        <v>81</v>
      </c>
      <c r="B105" s="226" t="s">
        <v>82</v>
      </c>
      <c r="C105" s="226"/>
      <c r="D105" s="226"/>
      <c r="E105" s="226"/>
      <c r="F105" s="226"/>
      <c r="G105" s="226"/>
      <c r="H105" s="226"/>
      <c r="I105" s="47">
        <f>I100</f>
        <v>0</v>
      </c>
      <c r="J105" s="10"/>
      <c r="K105" s="10"/>
      <c r="L105" s="10"/>
      <c r="M105" s="10"/>
      <c r="N105" s="10"/>
      <c r="O105" s="10"/>
    </row>
    <row r="106" spans="1:15" x14ac:dyDescent="0.2">
      <c r="A106" s="236" t="s">
        <v>83</v>
      </c>
      <c r="B106" s="236"/>
      <c r="C106" s="236"/>
      <c r="D106" s="236"/>
      <c r="E106" s="236"/>
      <c r="F106" s="236"/>
      <c r="G106" s="236"/>
      <c r="H106" s="236"/>
      <c r="I106" s="54">
        <f>SUM(I104:I105)</f>
        <v>500.60118603935132</v>
      </c>
      <c r="J106" s="10"/>
      <c r="K106" s="10"/>
      <c r="L106" s="10"/>
      <c r="M106" s="10"/>
      <c r="N106" s="10"/>
      <c r="O106" s="10"/>
    </row>
    <row r="107" spans="1:15" x14ac:dyDescent="0.2">
      <c r="A107" s="248"/>
      <c r="B107" s="248"/>
      <c r="C107" s="248"/>
      <c r="D107" s="248"/>
      <c r="E107" s="248"/>
      <c r="F107" s="248"/>
      <c r="G107" s="248"/>
      <c r="H107" s="248"/>
      <c r="I107" s="248"/>
      <c r="J107" s="10"/>
      <c r="K107" s="262"/>
      <c r="L107" s="262"/>
      <c r="M107" s="262"/>
      <c r="N107" s="10"/>
      <c r="O107" s="10"/>
    </row>
    <row r="108" spans="1:15" ht="12.75" customHeight="1" x14ac:dyDescent="0.2">
      <c r="A108" s="238" t="s">
        <v>84</v>
      </c>
      <c r="B108" s="238"/>
      <c r="C108" s="238"/>
      <c r="D108" s="238"/>
      <c r="E108" s="238"/>
      <c r="F108" s="238"/>
      <c r="G108" s="238"/>
      <c r="H108" s="238"/>
      <c r="I108" s="238"/>
      <c r="J108" s="10"/>
      <c r="K108" s="263"/>
      <c r="L108" s="263"/>
      <c r="M108" s="263"/>
      <c r="N108" s="10"/>
      <c r="O108" s="10"/>
    </row>
    <row r="109" spans="1:15" x14ac:dyDescent="0.2">
      <c r="A109" s="36">
        <v>5</v>
      </c>
      <c r="B109" s="253" t="s">
        <v>85</v>
      </c>
      <c r="C109" s="260"/>
      <c r="D109" s="260"/>
      <c r="E109" s="260"/>
      <c r="F109" s="260"/>
      <c r="G109" s="260"/>
      <c r="H109" s="264"/>
      <c r="I109" s="36" t="s">
        <v>20</v>
      </c>
      <c r="J109" s="10"/>
      <c r="K109" s="263"/>
      <c r="L109" s="263"/>
      <c r="M109" s="263"/>
      <c r="N109" s="10"/>
      <c r="O109" s="10"/>
    </row>
    <row r="110" spans="1:15" x14ac:dyDescent="0.2">
      <c r="A110" s="36" t="s">
        <v>0</v>
      </c>
      <c r="B110" s="239" t="s">
        <v>86</v>
      </c>
      <c r="C110" s="240"/>
      <c r="D110" s="240"/>
      <c r="E110" s="240"/>
      <c r="F110" s="240"/>
      <c r="G110" s="240"/>
      <c r="H110" s="241"/>
      <c r="I110" s="49">
        <f>Fardamento!R11</f>
        <v>58.107666666666667</v>
      </c>
      <c r="J110" s="259"/>
      <c r="K110" s="8"/>
      <c r="L110" s="8"/>
      <c r="M110" s="8"/>
      <c r="N110" s="10"/>
      <c r="O110" s="10"/>
    </row>
    <row r="111" spans="1:15" x14ac:dyDescent="0.2">
      <c r="A111" s="36" t="s">
        <v>2</v>
      </c>
      <c r="B111" s="239" t="s">
        <v>106</v>
      </c>
      <c r="C111" s="240"/>
      <c r="D111" s="240"/>
      <c r="E111" s="240"/>
      <c r="F111" s="240"/>
      <c r="G111" s="240"/>
      <c r="H111" s="246"/>
      <c r="I111" s="49">
        <v>0</v>
      </c>
      <c r="J111" s="259"/>
      <c r="K111" s="8"/>
      <c r="L111" s="8"/>
      <c r="M111" s="8"/>
      <c r="N111" s="10"/>
      <c r="O111" s="10"/>
    </row>
    <row r="112" spans="1:15" x14ac:dyDescent="0.2">
      <c r="A112" s="55" t="s">
        <v>3</v>
      </c>
      <c r="B112" s="239" t="s">
        <v>108</v>
      </c>
      <c r="C112" s="240"/>
      <c r="D112" s="240"/>
      <c r="E112" s="240"/>
      <c r="F112" s="240"/>
      <c r="G112" s="240"/>
      <c r="H112" s="246"/>
      <c r="I112" s="49">
        <v>0</v>
      </c>
      <c r="J112" s="259"/>
      <c r="K112" s="25"/>
      <c r="L112" s="25"/>
      <c r="M112" s="25"/>
      <c r="N112" s="10"/>
      <c r="O112" s="10"/>
    </row>
    <row r="113" spans="1:16" x14ac:dyDescent="0.2">
      <c r="A113" s="253" t="s">
        <v>87</v>
      </c>
      <c r="B113" s="260"/>
      <c r="C113" s="260"/>
      <c r="D113" s="260"/>
      <c r="E113" s="260"/>
      <c r="F113" s="260"/>
      <c r="G113" s="260"/>
      <c r="H113" s="261"/>
      <c r="I113" s="44">
        <f>TRUNC(SUM(I110:I112),2)</f>
        <v>58.1</v>
      </c>
      <c r="J113" s="2"/>
      <c r="K113" s="1"/>
      <c r="L113" s="1"/>
      <c r="M113" s="1"/>
      <c r="N113" s="10"/>
      <c r="O113" s="10"/>
    </row>
    <row r="114" spans="1:16" x14ac:dyDescent="0.2">
      <c r="A114" s="258"/>
      <c r="B114" s="258"/>
      <c r="C114" s="258"/>
      <c r="D114" s="258"/>
      <c r="E114" s="258"/>
      <c r="F114" s="258"/>
      <c r="G114" s="258"/>
      <c r="H114" s="258"/>
      <c r="I114" s="258"/>
      <c r="J114" s="10"/>
      <c r="K114" s="266"/>
      <c r="L114" s="266"/>
      <c r="M114" s="266"/>
      <c r="N114" s="10"/>
      <c r="O114" s="10"/>
    </row>
    <row r="115" spans="1:16" x14ac:dyDescent="0.2">
      <c r="A115" s="238" t="s">
        <v>88</v>
      </c>
      <c r="B115" s="238"/>
      <c r="C115" s="238"/>
      <c r="D115" s="238"/>
      <c r="E115" s="238"/>
      <c r="F115" s="238"/>
      <c r="G115" s="238"/>
      <c r="H115" s="238"/>
      <c r="I115" s="238"/>
      <c r="J115" s="10"/>
      <c r="K115" s="267"/>
      <c r="L115" s="267"/>
      <c r="M115" s="267"/>
      <c r="N115" s="10"/>
      <c r="O115" s="10"/>
    </row>
    <row r="116" spans="1:16" x14ac:dyDescent="0.2">
      <c r="A116" s="36">
        <v>6</v>
      </c>
      <c r="B116" s="236" t="s">
        <v>89</v>
      </c>
      <c r="C116" s="236"/>
      <c r="D116" s="236"/>
      <c r="E116" s="236"/>
      <c r="F116" s="236"/>
      <c r="G116" s="236"/>
      <c r="H116" s="36" t="s">
        <v>19</v>
      </c>
      <c r="I116" s="36" t="s">
        <v>20</v>
      </c>
      <c r="J116" s="10"/>
      <c r="K116" s="267"/>
      <c r="L116" s="267"/>
      <c r="M116" s="267"/>
      <c r="N116" s="10"/>
      <c r="O116" s="10"/>
    </row>
    <row r="117" spans="1:16" x14ac:dyDescent="0.2">
      <c r="A117" s="36" t="s">
        <v>0</v>
      </c>
      <c r="B117" s="226" t="s">
        <v>90</v>
      </c>
      <c r="C117" s="226"/>
      <c r="D117" s="226"/>
      <c r="E117" s="226"/>
      <c r="F117" s="226"/>
      <c r="G117" s="226"/>
      <c r="H117" s="46">
        <v>0.05</v>
      </c>
      <c r="I117" s="56">
        <f>H117*I133</f>
        <v>281.08782591700827</v>
      </c>
      <c r="J117" s="2"/>
    </row>
    <row r="118" spans="1:16" ht="12.75" customHeight="1" x14ac:dyDescent="0.2">
      <c r="A118" s="36" t="s">
        <v>2</v>
      </c>
      <c r="B118" s="226" t="s">
        <v>91</v>
      </c>
      <c r="C118" s="226"/>
      <c r="D118" s="226"/>
      <c r="E118" s="226"/>
      <c r="F118" s="226"/>
      <c r="G118" s="226"/>
      <c r="H118" s="46">
        <v>0.1</v>
      </c>
      <c r="I118" s="56">
        <f>H118*(I117+I133)</f>
        <v>590.28443442571734</v>
      </c>
      <c r="J118" s="2"/>
    </row>
    <row r="119" spans="1:16" x14ac:dyDescent="0.2">
      <c r="A119" s="36" t="s">
        <v>3</v>
      </c>
      <c r="B119" s="265" t="s">
        <v>92</v>
      </c>
      <c r="C119" s="265"/>
      <c r="D119" s="265"/>
      <c r="E119" s="265"/>
      <c r="F119" s="265"/>
      <c r="G119" s="265"/>
      <c r="H119" s="39"/>
      <c r="I119" s="57"/>
      <c r="J119" s="10"/>
    </row>
    <row r="120" spans="1:16" x14ac:dyDescent="0.2">
      <c r="A120" s="36" t="s">
        <v>93</v>
      </c>
      <c r="B120" s="226" t="s">
        <v>94</v>
      </c>
      <c r="C120" s="226"/>
      <c r="D120" s="226"/>
      <c r="E120" s="226"/>
      <c r="F120" s="226"/>
      <c r="G120" s="226"/>
      <c r="H120" s="39">
        <v>6.4999999999999997E-3</v>
      </c>
      <c r="I120" s="38">
        <f>H120*(I$133+I$117+I$118)/(1-SUM(H$120:H$123))</f>
        <v>47.608953255994116</v>
      </c>
      <c r="J120" s="10"/>
    </row>
    <row r="121" spans="1:16" x14ac:dyDescent="0.2">
      <c r="A121" s="36" t="s">
        <v>95</v>
      </c>
      <c r="B121" s="226" t="s">
        <v>96</v>
      </c>
      <c r="C121" s="226"/>
      <c r="D121" s="226"/>
      <c r="E121" s="226"/>
      <c r="F121" s="226"/>
      <c r="G121" s="226"/>
      <c r="H121" s="39">
        <v>0.03</v>
      </c>
      <c r="I121" s="38">
        <f t="shared" ref="I121:I123" si="2">H121*(I$133+I$117+I$118)/(1-SUM(H$120:H$123))</f>
        <v>219.73363041228055</v>
      </c>
      <c r="J121" s="10"/>
    </row>
    <row r="122" spans="1:16" x14ac:dyDescent="0.2">
      <c r="A122" s="36" t="s">
        <v>97</v>
      </c>
      <c r="B122" s="226" t="s">
        <v>98</v>
      </c>
      <c r="C122" s="226"/>
      <c r="D122" s="226"/>
      <c r="E122" s="226"/>
      <c r="F122" s="226"/>
      <c r="G122" s="226"/>
      <c r="H122" s="39">
        <v>0.05</v>
      </c>
      <c r="I122" s="38">
        <f t="shared" si="2"/>
        <v>366.22271735380093</v>
      </c>
      <c r="J122" s="10"/>
    </row>
    <row r="123" spans="1:16" x14ac:dyDescent="0.2">
      <c r="A123" s="36" t="s">
        <v>109</v>
      </c>
      <c r="B123" s="239" t="s">
        <v>110</v>
      </c>
      <c r="C123" s="240"/>
      <c r="D123" s="240"/>
      <c r="E123" s="240"/>
      <c r="F123" s="240"/>
      <c r="G123" s="241"/>
      <c r="H123" s="67">
        <v>2.7E-2</v>
      </c>
      <c r="I123" s="38">
        <f t="shared" si="2"/>
        <v>197.76026737105249</v>
      </c>
      <c r="J123" s="107"/>
    </row>
    <row r="124" spans="1:16" ht="12.75" customHeight="1" x14ac:dyDescent="0.2">
      <c r="A124" s="236" t="s">
        <v>99</v>
      </c>
      <c r="B124" s="236"/>
      <c r="C124" s="236"/>
      <c r="D124" s="236"/>
      <c r="E124" s="236"/>
      <c r="F124" s="236"/>
      <c r="G124" s="236"/>
      <c r="H124" s="39">
        <f>SUM(H117:H123)</f>
        <v>0.26350000000000007</v>
      </c>
      <c r="I124" s="40">
        <f>SUM(I117:I123)</f>
        <v>1702.6978287358538</v>
      </c>
    </row>
    <row r="125" spans="1:16" x14ac:dyDescent="0.2">
      <c r="A125" s="32"/>
      <c r="B125" s="32"/>
      <c r="C125" s="32"/>
      <c r="D125" s="32"/>
      <c r="E125" s="32"/>
      <c r="F125" s="32"/>
      <c r="G125" s="32"/>
      <c r="H125" s="32"/>
      <c r="I125" s="42"/>
      <c r="J125" s="4"/>
      <c r="K125" s="3"/>
      <c r="L125" s="3"/>
      <c r="M125" s="3"/>
      <c r="N125" s="3"/>
      <c r="O125" s="3"/>
      <c r="P125" s="3"/>
    </row>
    <row r="126" spans="1:16" x14ac:dyDescent="0.2">
      <c r="A126" s="225" t="s">
        <v>100</v>
      </c>
      <c r="B126" s="225"/>
      <c r="C126" s="225"/>
      <c r="D126" s="225"/>
      <c r="E126" s="225"/>
      <c r="F126" s="225"/>
      <c r="G126" s="225"/>
      <c r="H126" s="225"/>
      <c r="I126" s="225"/>
      <c r="J126" s="15"/>
      <c r="K126" s="3"/>
      <c r="L126" s="3"/>
      <c r="M126" s="3"/>
      <c r="N126" s="3"/>
      <c r="O126" s="3"/>
      <c r="P126" s="3"/>
    </row>
    <row r="127" spans="1:16" x14ac:dyDescent="0.2">
      <c r="A127" s="236" t="s">
        <v>101</v>
      </c>
      <c r="B127" s="236"/>
      <c r="C127" s="236"/>
      <c r="D127" s="236"/>
      <c r="E127" s="236"/>
      <c r="F127" s="236"/>
      <c r="G127" s="236"/>
      <c r="H127" s="236"/>
      <c r="I127" s="36" t="s">
        <v>20</v>
      </c>
      <c r="J127" s="4"/>
      <c r="K127" s="3"/>
      <c r="L127" s="3"/>
      <c r="M127" s="3"/>
      <c r="N127" s="3"/>
      <c r="O127" s="3"/>
      <c r="P127" s="3"/>
    </row>
    <row r="128" spans="1:16" x14ac:dyDescent="0.2">
      <c r="A128" s="29" t="s">
        <v>0</v>
      </c>
      <c r="B128" s="226" t="str">
        <f>A31</f>
        <v>MÓDULO 1 - COMPOSIÇÃO DA REMUNERAÇÃO</v>
      </c>
      <c r="C128" s="226"/>
      <c r="D128" s="226"/>
      <c r="E128" s="226"/>
      <c r="F128" s="226"/>
      <c r="G128" s="226"/>
      <c r="H128" s="226"/>
      <c r="I128" s="38">
        <f>I41</f>
        <v>2979.9227104000001</v>
      </c>
      <c r="J128" s="4"/>
      <c r="K128" s="3"/>
      <c r="L128" s="3"/>
      <c r="M128" s="3"/>
      <c r="N128" s="3"/>
      <c r="O128" s="3"/>
      <c r="P128" s="3"/>
    </row>
    <row r="129" spans="1:16" x14ac:dyDescent="0.2">
      <c r="A129" s="29" t="s">
        <v>2</v>
      </c>
      <c r="B129" s="226" t="str">
        <f>A43</f>
        <v>MÓDULO 2 – ENCARGOS E BENEFÍCIOS ANUAIS, MENSAIS E DIÁRIOS</v>
      </c>
      <c r="C129" s="226"/>
      <c r="D129" s="226"/>
      <c r="E129" s="226"/>
      <c r="F129" s="226"/>
      <c r="G129" s="226"/>
      <c r="H129" s="226"/>
      <c r="I129" s="38">
        <f>I72</f>
        <v>1891.8878043978088</v>
      </c>
      <c r="J129" s="4"/>
      <c r="K129" s="3"/>
      <c r="L129" s="3"/>
      <c r="M129" s="3"/>
      <c r="N129" s="3"/>
      <c r="O129" s="3"/>
      <c r="P129" s="3"/>
    </row>
    <row r="130" spans="1:16" x14ac:dyDescent="0.2">
      <c r="A130" s="29" t="s">
        <v>3</v>
      </c>
      <c r="B130" s="226" t="str">
        <f>A74</f>
        <v>MÓDULO 3 – PROVISÃO PARA RESCISÃO</v>
      </c>
      <c r="C130" s="226"/>
      <c r="D130" s="226"/>
      <c r="E130" s="226"/>
      <c r="F130" s="226"/>
      <c r="G130" s="226"/>
      <c r="H130" s="226"/>
      <c r="I130" s="38">
        <f>I82</f>
        <v>191.24481750300447</v>
      </c>
      <c r="J130" s="15"/>
      <c r="K130" s="3"/>
      <c r="L130" s="3"/>
      <c r="M130" s="3"/>
      <c r="N130" s="3"/>
      <c r="O130" s="3"/>
      <c r="P130" s="3"/>
    </row>
    <row r="131" spans="1:16" x14ac:dyDescent="0.2">
      <c r="A131" s="29" t="s">
        <v>5</v>
      </c>
      <c r="B131" s="226" t="str">
        <f>A84</f>
        <v>MÓDULO 4 – CUSTO DE REPOSIÇÃO DO PROFISSIONAL AUSENTE</v>
      </c>
      <c r="C131" s="226"/>
      <c r="D131" s="226"/>
      <c r="E131" s="226"/>
      <c r="F131" s="226"/>
      <c r="G131" s="226"/>
      <c r="H131" s="226"/>
      <c r="I131" s="38">
        <f>I106</f>
        <v>500.60118603935132</v>
      </c>
      <c r="J131" s="15"/>
      <c r="K131" s="3"/>
      <c r="L131" s="3"/>
      <c r="M131" s="3"/>
      <c r="N131" s="3"/>
      <c r="O131" s="3"/>
      <c r="P131" s="3"/>
    </row>
    <row r="132" spans="1:16" x14ac:dyDescent="0.2">
      <c r="A132" s="29" t="s">
        <v>25</v>
      </c>
      <c r="B132" s="226" t="str">
        <f>A108</f>
        <v>MÓDULO 5 – INSUMOS DIVERSOS</v>
      </c>
      <c r="C132" s="226"/>
      <c r="D132" s="226"/>
      <c r="E132" s="226"/>
      <c r="F132" s="226"/>
      <c r="G132" s="226"/>
      <c r="H132" s="226"/>
      <c r="I132" s="38">
        <f>I113</f>
        <v>58.1</v>
      </c>
      <c r="J132" s="4"/>
      <c r="K132" s="3"/>
      <c r="L132" s="3"/>
      <c r="M132" s="3"/>
      <c r="N132" s="3"/>
      <c r="O132" s="3"/>
      <c r="P132" s="3"/>
    </row>
    <row r="133" spans="1:16" x14ac:dyDescent="0.2">
      <c r="A133" s="36"/>
      <c r="B133" s="236" t="s">
        <v>102</v>
      </c>
      <c r="C133" s="236"/>
      <c r="D133" s="236"/>
      <c r="E133" s="236"/>
      <c r="F133" s="236"/>
      <c r="G133" s="236"/>
      <c r="H133" s="236"/>
      <c r="I133" s="40">
        <f>SUM(I128:I132)</f>
        <v>5621.7565183401648</v>
      </c>
      <c r="J133" s="14"/>
      <c r="K133" s="3"/>
      <c r="L133" s="3"/>
      <c r="M133" s="3"/>
      <c r="N133" s="3"/>
      <c r="O133" s="3"/>
      <c r="P133" s="3"/>
    </row>
    <row r="134" spans="1:16" x14ac:dyDescent="0.2">
      <c r="A134" s="29" t="s">
        <v>27</v>
      </c>
      <c r="B134" s="226" t="str">
        <f>A115</f>
        <v>MÓDULO 6 – CUSTOS INDIRETOS, TRIBUTOS E LUCRO</v>
      </c>
      <c r="C134" s="226"/>
      <c r="D134" s="226"/>
      <c r="E134" s="226"/>
      <c r="F134" s="226"/>
      <c r="G134" s="226"/>
      <c r="H134" s="226"/>
      <c r="I134" s="38">
        <f>I124</f>
        <v>1702.6978287358538</v>
      </c>
      <c r="J134" s="4"/>
      <c r="K134" s="3"/>
      <c r="L134" s="3"/>
      <c r="M134" s="3"/>
      <c r="N134" s="3"/>
      <c r="O134" s="3"/>
      <c r="P134" s="3"/>
    </row>
    <row r="135" spans="1:16" ht="15.75" x14ac:dyDescent="0.2">
      <c r="A135" s="268" t="s">
        <v>103</v>
      </c>
      <c r="B135" s="268"/>
      <c r="C135" s="268"/>
      <c r="D135" s="268"/>
      <c r="E135" s="268"/>
      <c r="F135" s="268"/>
      <c r="G135" s="268"/>
      <c r="H135" s="268"/>
      <c r="I135" s="103">
        <f>ROUND(SUM(I133:I134),2)</f>
        <v>7324.45</v>
      </c>
      <c r="J135" s="4"/>
      <c r="K135" s="3"/>
      <c r="L135" s="3"/>
      <c r="M135" s="3"/>
      <c r="N135" s="3"/>
      <c r="O135" s="3"/>
      <c r="P135" s="3"/>
    </row>
  </sheetData>
  <mergeCells count="142">
    <mergeCell ref="B130:H130"/>
    <mergeCell ref="B131:H131"/>
    <mergeCell ref="B132:H132"/>
    <mergeCell ref="B133:H133"/>
    <mergeCell ref="B134:H134"/>
    <mergeCell ref="A135:H135"/>
    <mergeCell ref="B123:G123"/>
    <mergeCell ref="A124:G124"/>
    <mergeCell ref="A126:I126"/>
    <mergeCell ref="A127:H127"/>
    <mergeCell ref="B128:H128"/>
    <mergeCell ref="B129:H129"/>
    <mergeCell ref="B117:G117"/>
    <mergeCell ref="B118:G118"/>
    <mergeCell ref="B119:G119"/>
    <mergeCell ref="B120:G120"/>
    <mergeCell ref="B121:G121"/>
    <mergeCell ref="B122:G122"/>
    <mergeCell ref="K114:M114"/>
    <mergeCell ref="A115:I115"/>
    <mergeCell ref="K115:K116"/>
    <mergeCell ref="L115:L116"/>
    <mergeCell ref="M115:M116"/>
    <mergeCell ref="B116:G116"/>
    <mergeCell ref="B110:H110"/>
    <mergeCell ref="J110:J112"/>
    <mergeCell ref="B111:H111"/>
    <mergeCell ref="B112:H112"/>
    <mergeCell ref="A113:H113"/>
    <mergeCell ref="A114:I114"/>
    <mergeCell ref="A106:H106"/>
    <mergeCell ref="A107:I107"/>
    <mergeCell ref="K107:M107"/>
    <mergeCell ref="A108:I108"/>
    <mergeCell ref="K108:M109"/>
    <mergeCell ref="B109:H109"/>
    <mergeCell ref="A100:G100"/>
    <mergeCell ref="A101:I101"/>
    <mergeCell ref="A102:I102"/>
    <mergeCell ref="A103:H103"/>
    <mergeCell ref="B104:H104"/>
    <mergeCell ref="B105:H105"/>
    <mergeCell ref="A94:G94"/>
    <mergeCell ref="B95:G95"/>
    <mergeCell ref="A96:G96"/>
    <mergeCell ref="A97:I97"/>
    <mergeCell ref="A98:G98"/>
    <mergeCell ref="B99:G99"/>
    <mergeCell ref="B88:G88"/>
    <mergeCell ref="B89:G89"/>
    <mergeCell ref="B90:G90"/>
    <mergeCell ref="B91:G91"/>
    <mergeCell ref="A92:G92"/>
    <mergeCell ref="B93:G93"/>
    <mergeCell ref="A82:G82"/>
    <mergeCell ref="A83:I83"/>
    <mergeCell ref="A84:I84"/>
    <mergeCell ref="A85:G85"/>
    <mergeCell ref="B86:G86"/>
    <mergeCell ref="B87:G87"/>
    <mergeCell ref="B76:G76"/>
    <mergeCell ref="B77:G77"/>
    <mergeCell ref="B78:G78"/>
    <mergeCell ref="B79:G79"/>
    <mergeCell ref="B80:G80"/>
    <mergeCell ref="B81:G81"/>
    <mergeCell ref="B70:H70"/>
    <mergeCell ref="B71:H71"/>
    <mergeCell ref="A72:H72"/>
    <mergeCell ref="A73:I73"/>
    <mergeCell ref="A74:I74"/>
    <mergeCell ref="B75:G75"/>
    <mergeCell ref="B64:H64"/>
    <mergeCell ref="A65:H65"/>
    <mergeCell ref="A66:I66"/>
    <mergeCell ref="A67:I67"/>
    <mergeCell ref="A68:H68"/>
    <mergeCell ref="B69:H69"/>
    <mergeCell ref="A58:G58"/>
    <mergeCell ref="A59:I59"/>
    <mergeCell ref="A60:G60"/>
    <mergeCell ref="B61:H61"/>
    <mergeCell ref="B62:H62"/>
    <mergeCell ref="B63:H63"/>
    <mergeCell ref="P52:P53"/>
    <mergeCell ref="B53:G53"/>
    <mergeCell ref="B54:G54"/>
    <mergeCell ref="B55:G55"/>
    <mergeCell ref="B56:G56"/>
    <mergeCell ref="B57:G57"/>
    <mergeCell ref="A49:G49"/>
    <mergeCell ref="B50:G50"/>
    <mergeCell ref="B51:G51"/>
    <mergeCell ref="B52:G52"/>
    <mergeCell ref="M52:M53"/>
    <mergeCell ref="N52:N53"/>
    <mergeCell ref="A43:I43"/>
    <mergeCell ref="A44:G44"/>
    <mergeCell ref="B45:G45"/>
    <mergeCell ref="B46:G46"/>
    <mergeCell ref="A47:G47"/>
    <mergeCell ref="A48:I48"/>
    <mergeCell ref="B35:G35"/>
    <mergeCell ref="B36:G36"/>
    <mergeCell ref="B37:G37"/>
    <mergeCell ref="B38:G38"/>
    <mergeCell ref="B40:G40"/>
    <mergeCell ref="A41:H41"/>
    <mergeCell ref="B39:G39"/>
    <mergeCell ref="B28:H28"/>
    <mergeCell ref="A30:I30"/>
    <mergeCell ref="A31:I31"/>
    <mergeCell ref="B32:G32"/>
    <mergeCell ref="B33:G33"/>
    <mergeCell ref="B34:G34"/>
    <mergeCell ref="A23:I23"/>
    <mergeCell ref="B24:H24"/>
    <mergeCell ref="B25:H25"/>
    <mergeCell ref="B29:H29"/>
    <mergeCell ref="K25:N25"/>
    <mergeCell ref="B26:H26"/>
    <mergeCell ref="B27:H27"/>
    <mergeCell ref="A19:I19"/>
    <mergeCell ref="A20:B20"/>
    <mergeCell ref="C20:D20"/>
    <mergeCell ref="E20:I20"/>
    <mergeCell ref="A21:B21"/>
    <mergeCell ref="C21:D21"/>
    <mergeCell ref="E21:I21"/>
    <mergeCell ref="A11:I11"/>
    <mergeCell ref="A13:I13"/>
    <mergeCell ref="B14:H14"/>
    <mergeCell ref="B15:H15"/>
    <mergeCell ref="B16:H16"/>
    <mergeCell ref="B17:H17"/>
    <mergeCell ref="A1:I1"/>
    <mergeCell ref="A3:I3"/>
    <mergeCell ref="A4:I4"/>
    <mergeCell ref="A8:I8"/>
    <mergeCell ref="A9:I9"/>
    <mergeCell ref="A10:I10"/>
    <mergeCell ref="H7:I7"/>
  </mergeCells>
  <pageMargins left="0.51181102362204722" right="0.51181102362204722" top="0.78740157480314965" bottom="0.78740157480314965" header="0.31496062992125984" footer="0.31496062992125984"/>
  <pageSetup paperSize="9" scale="75" fitToHeight="0" orientation="portrait" r:id="rId1"/>
  <rowBreaks count="1" manualBreakCount="1">
    <brk id="10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U135"/>
  <sheetViews>
    <sheetView showGridLines="0" view="pageBreakPreview" zoomScaleNormal="115" zoomScaleSheetLayoutView="100" workbookViewId="0">
      <selection activeCell="I26" sqref="I26"/>
    </sheetView>
  </sheetViews>
  <sheetFormatPr defaultRowHeight="12.75" x14ac:dyDescent="0.2"/>
  <cols>
    <col min="3" max="3" width="9.7109375" customWidth="1"/>
    <col min="4" max="4" width="11.42578125" customWidth="1"/>
    <col min="5" max="5" width="5" customWidth="1"/>
    <col min="6" max="6" width="2.5703125" customWidth="1"/>
    <col min="7" max="7" width="33.42578125" customWidth="1"/>
    <col min="8" max="8" width="17.140625" customWidth="1"/>
    <col min="9" max="9" width="23.140625" customWidth="1"/>
    <col min="10" max="10" width="19.85546875" customWidth="1"/>
    <col min="11" max="11" width="12.7109375" customWidth="1"/>
    <col min="12" max="12" width="12.5703125" customWidth="1"/>
    <col min="13" max="13" width="11" customWidth="1"/>
    <col min="15" max="15" width="11.28515625" customWidth="1"/>
  </cols>
  <sheetData>
    <row r="1" spans="1:15" x14ac:dyDescent="0.2">
      <c r="A1" s="227"/>
      <c r="B1" s="227"/>
      <c r="C1" s="227"/>
      <c r="D1" s="227"/>
      <c r="E1" s="227"/>
      <c r="F1" s="227"/>
      <c r="G1" s="227"/>
      <c r="H1" s="227"/>
      <c r="I1" s="227"/>
      <c r="J1" s="3"/>
      <c r="K1" s="3"/>
    </row>
    <row r="2" spans="1:15" x14ac:dyDescent="0.2">
      <c r="A2" s="26"/>
      <c r="B2" s="26"/>
      <c r="C2" s="26"/>
      <c r="D2" s="26"/>
      <c r="E2" s="26"/>
      <c r="F2" s="26"/>
      <c r="G2" s="26"/>
      <c r="H2" s="26"/>
      <c r="I2" s="26"/>
      <c r="J2" s="3"/>
      <c r="K2" s="3"/>
    </row>
    <row r="3" spans="1:15" x14ac:dyDescent="0.2">
      <c r="A3" s="227" t="s">
        <v>122</v>
      </c>
      <c r="B3" s="227"/>
      <c r="C3" s="227"/>
      <c r="D3" s="227"/>
      <c r="E3" s="227"/>
      <c r="F3" s="227"/>
      <c r="G3" s="227"/>
      <c r="H3" s="227"/>
      <c r="I3" s="227"/>
      <c r="J3" s="3"/>
      <c r="K3" s="3"/>
    </row>
    <row r="4" spans="1:15" x14ac:dyDescent="0.2">
      <c r="A4" s="227" t="s">
        <v>123</v>
      </c>
      <c r="B4" s="227"/>
      <c r="C4" s="227"/>
      <c r="D4" s="227"/>
      <c r="E4" s="227"/>
      <c r="F4" s="227"/>
      <c r="G4" s="227"/>
      <c r="H4" s="227"/>
      <c r="I4" s="227"/>
      <c r="J4" s="3"/>
      <c r="K4" s="3"/>
    </row>
    <row r="5" spans="1:15" x14ac:dyDescent="0.2">
      <c r="A5" s="27"/>
      <c r="B5" s="27"/>
      <c r="C5" s="27"/>
      <c r="D5" s="27"/>
      <c r="E5" s="27"/>
      <c r="F5" s="27"/>
      <c r="G5" s="27"/>
      <c r="H5" s="27"/>
      <c r="I5" s="27"/>
      <c r="J5" s="3"/>
      <c r="K5" s="3"/>
    </row>
    <row r="6" spans="1:15" x14ac:dyDescent="0.2">
      <c r="A6" s="27"/>
      <c r="B6" s="27"/>
      <c r="C6" s="27"/>
      <c r="D6" s="27"/>
      <c r="E6" s="27"/>
      <c r="F6" s="27"/>
      <c r="G6" s="269"/>
      <c r="H6" s="269"/>
      <c r="I6" s="27"/>
      <c r="J6" s="3"/>
      <c r="K6" s="3"/>
    </row>
    <row r="7" spans="1:15" x14ac:dyDescent="0.2">
      <c r="A7" s="135"/>
      <c r="B7" s="135"/>
      <c r="C7" s="135"/>
      <c r="D7" s="135"/>
      <c r="E7" s="27"/>
      <c r="F7" s="27"/>
      <c r="G7" s="27"/>
      <c r="H7" s="230" t="s">
        <v>246</v>
      </c>
      <c r="I7" s="230"/>
      <c r="J7" s="3"/>
      <c r="K7" s="3"/>
    </row>
    <row r="8" spans="1:15" x14ac:dyDescent="0.2">
      <c r="A8" s="228" t="s">
        <v>117</v>
      </c>
      <c r="B8" s="228"/>
      <c r="C8" s="228"/>
      <c r="D8" s="228"/>
      <c r="E8" s="228"/>
      <c r="F8" s="228"/>
      <c r="G8" s="228"/>
      <c r="H8" s="228"/>
      <c r="I8" s="228"/>
      <c r="J8" s="4"/>
      <c r="K8" s="3"/>
    </row>
    <row r="9" spans="1:15" x14ac:dyDescent="0.2">
      <c r="A9" s="228" t="s">
        <v>134</v>
      </c>
      <c r="B9" s="228"/>
      <c r="C9" s="228"/>
      <c r="D9" s="228"/>
      <c r="E9" s="228"/>
      <c r="F9" s="228"/>
      <c r="G9" s="228"/>
      <c r="H9" s="228"/>
      <c r="I9" s="228"/>
      <c r="J9" s="4"/>
      <c r="K9" s="3"/>
    </row>
    <row r="10" spans="1:15" x14ac:dyDescent="0.2">
      <c r="A10" s="229"/>
      <c r="B10" s="229"/>
      <c r="C10" s="229"/>
      <c r="D10" s="229"/>
      <c r="E10" s="229"/>
      <c r="F10" s="229"/>
      <c r="G10" s="229"/>
      <c r="H10" s="229"/>
      <c r="I10" s="229"/>
      <c r="J10" s="4"/>
      <c r="K10" s="3"/>
    </row>
    <row r="11" spans="1:15" x14ac:dyDescent="0.2">
      <c r="A11" s="224" t="s">
        <v>121</v>
      </c>
      <c r="B11" s="224"/>
      <c r="C11" s="224"/>
      <c r="D11" s="224"/>
      <c r="E11" s="224"/>
      <c r="F11" s="224"/>
      <c r="G11" s="224"/>
      <c r="H11" s="224"/>
      <c r="I11" s="224"/>
      <c r="J11" s="4"/>
      <c r="K11" s="3"/>
    </row>
    <row r="12" spans="1:15" x14ac:dyDescent="0.2">
      <c r="A12" s="28"/>
      <c r="B12" s="28"/>
      <c r="C12" s="28"/>
      <c r="D12" s="28"/>
      <c r="E12" s="28"/>
      <c r="F12" s="28"/>
      <c r="G12" s="28"/>
      <c r="H12" s="28"/>
      <c r="I12" s="28"/>
      <c r="J12" s="4"/>
      <c r="K12" s="3"/>
    </row>
    <row r="13" spans="1:15" x14ac:dyDescent="0.2">
      <c r="A13" s="225" t="s">
        <v>120</v>
      </c>
      <c r="B13" s="225"/>
      <c r="C13" s="225"/>
      <c r="D13" s="225"/>
      <c r="E13" s="225"/>
      <c r="F13" s="225"/>
      <c r="G13" s="225"/>
      <c r="H13" s="225"/>
      <c r="I13" s="225"/>
      <c r="J13" s="4"/>
      <c r="K13" s="3"/>
      <c r="L13" s="3"/>
      <c r="M13" s="3"/>
      <c r="N13" s="3"/>
      <c r="O13" s="3"/>
    </row>
    <row r="14" spans="1:15" x14ac:dyDescent="0.2">
      <c r="A14" s="29" t="s">
        <v>0</v>
      </c>
      <c r="B14" s="226" t="s">
        <v>1</v>
      </c>
      <c r="C14" s="226"/>
      <c r="D14" s="226"/>
      <c r="E14" s="226"/>
      <c r="F14" s="226"/>
      <c r="G14" s="226"/>
      <c r="H14" s="226"/>
      <c r="I14" s="30"/>
      <c r="J14" s="4"/>
      <c r="K14" s="3"/>
      <c r="L14" s="3"/>
      <c r="M14" s="3"/>
      <c r="N14" s="3"/>
      <c r="O14" s="3"/>
    </row>
    <row r="15" spans="1:15" x14ac:dyDescent="0.2">
      <c r="A15" s="29" t="s">
        <v>2</v>
      </c>
      <c r="B15" s="226" t="s">
        <v>118</v>
      </c>
      <c r="C15" s="226"/>
      <c r="D15" s="226"/>
      <c r="E15" s="226"/>
      <c r="F15" s="226"/>
      <c r="G15" s="226"/>
      <c r="H15" s="226"/>
      <c r="I15" s="29" t="s">
        <v>119</v>
      </c>
      <c r="J15" s="4"/>
      <c r="K15" s="3"/>
      <c r="L15" s="3"/>
      <c r="M15" s="3"/>
      <c r="N15" s="3"/>
      <c r="O15" s="3"/>
    </row>
    <row r="16" spans="1:15" x14ac:dyDescent="0.2">
      <c r="A16" s="29" t="s">
        <v>3</v>
      </c>
      <c r="B16" s="226" t="s">
        <v>4</v>
      </c>
      <c r="C16" s="226"/>
      <c r="D16" s="226"/>
      <c r="E16" s="226"/>
      <c r="F16" s="226"/>
      <c r="G16" s="226"/>
      <c r="H16" s="226"/>
      <c r="I16" s="31" t="s">
        <v>124</v>
      </c>
      <c r="J16" s="4"/>
      <c r="K16" s="3"/>
      <c r="L16" s="3"/>
      <c r="M16" s="3"/>
      <c r="N16" s="3"/>
      <c r="O16" s="3"/>
    </row>
    <row r="17" spans="1:15" x14ac:dyDescent="0.2">
      <c r="A17" s="29" t="s">
        <v>5</v>
      </c>
      <c r="B17" s="226" t="s">
        <v>6</v>
      </c>
      <c r="C17" s="226"/>
      <c r="D17" s="226"/>
      <c r="E17" s="226"/>
      <c r="F17" s="226"/>
      <c r="G17" s="226"/>
      <c r="H17" s="226"/>
      <c r="I17" s="29">
        <v>36</v>
      </c>
      <c r="J17" s="4"/>
      <c r="K17" s="3"/>
      <c r="L17" s="3"/>
      <c r="M17" s="3"/>
      <c r="N17" s="3"/>
      <c r="O17" s="3"/>
    </row>
    <row r="18" spans="1:15" x14ac:dyDescent="0.2">
      <c r="A18" s="32"/>
      <c r="B18" s="33"/>
      <c r="C18" s="33"/>
      <c r="D18" s="33"/>
      <c r="E18" s="33"/>
      <c r="F18" s="33"/>
      <c r="G18" s="33"/>
      <c r="H18" s="32"/>
      <c r="I18" s="32"/>
      <c r="J18" s="4"/>
      <c r="K18" s="3"/>
      <c r="L18" s="3"/>
      <c r="M18" s="3"/>
      <c r="N18" s="3"/>
      <c r="O18" s="3"/>
    </row>
    <row r="19" spans="1:15" x14ac:dyDescent="0.2">
      <c r="A19" s="225" t="s">
        <v>7</v>
      </c>
      <c r="B19" s="225"/>
      <c r="C19" s="225"/>
      <c r="D19" s="225"/>
      <c r="E19" s="225"/>
      <c r="F19" s="225"/>
      <c r="G19" s="225"/>
      <c r="H19" s="225"/>
      <c r="I19" s="225"/>
      <c r="J19" s="4"/>
      <c r="K19" s="3"/>
      <c r="L19" s="3"/>
      <c r="M19" s="3"/>
      <c r="N19" s="3"/>
      <c r="O19" s="3"/>
    </row>
    <row r="20" spans="1:15" x14ac:dyDescent="0.2">
      <c r="A20" s="232" t="s">
        <v>8</v>
      </c>
      <c r="B20" s="232"/>
      <c r="C20" s="232" t="s">
        <v>9</v>
      </c>
      <c r="D20" s="232"/>
      <c r="E20" s="232" t="s">
        <v>10</v>
      </c>
      <c r="F20" s="232"/>
      <c r="G20" s="232"/>
      <c r="H20" s="232"/>
      <c r="I20" s="232"/>
      <c r="J20" s="4"/>
      <c r="K20" s="3"/>
      <c r="L20" s="3"/>
      <c r="M20" s="3"/>
      <c r="N20" s="3"/>
      <c r="O20" s="3"/>
    </row>
    <row r="21" spans="1:15" ht="26.25" customHeight="1" x14ac:dyDescent="0.2">
      <c r="A21" s="233" t="s">
        <v>180</v>
      </c>
      <c r="B21" s="234"/>
      <c r="C21" s="235" t="s">
        <v>107</v>
      </c>
      <c r="D21" s="235"/>
      <c r="E21" s="236">
        <v>3</v>
      </c>
      <c r="F21" s="236"/>
      <c r="G21" s="236"/>
      <c r="H21" s="236"/>
      <c r="I21" s="236"/>
      <c r="J21" s="4"/>
      <c r="K21" s="3"/>
      <c r="L21" s="3"/>
      <c r="M21" s="3"/>
      <c r="N21" s="3"/>
      <c r="O21" s="3"/>
    </row>
    <row r="22" spans="1:15" x14ac:dyDescent="0.2">
      <c r="A22" s="32"/>
      <c r="B22" s="33"/>
      <c r="C22" s="33"/>
      <c r="D22" s="33"/>
      <c r="E22" s="33"/>
      <c r="F22" s="33"/>
      <c r="G22" s="33"/>
      <c r="H22" s="32"/>
      <c r="I22" s="32"/>
      <c r="J22" s="4"/>
      <c r="K22" s="3"/>
      <c r="L22" s="3"/>
      <c r="M22" s="3"/>
      <c r="N22" s="3"/>
      <c r="O22" s="3"/>
    </row>
    <row r="23" spans="1:15" x14ac:dyDescent="0.2">
      <c r="A23" s="225" t="s">
        <v>11</v>
      </c>
      <c r="B23" s="225"/>
      <c r="C23" s="225"/>
      <c r="D23" s="225"/>
      <c r="E23" s="225"/>
      <c r="F23" s="225"/>
      <c r="G23" s="225"/>
      <c r="H23" s="225"/>
      <c r="I23" s="225"/>
      <c r="J23" s="4"/>
      <c r="K23" s="3"/>
      <c r="L23" s="3"/>
      <c r="M23" s="3"/>
      <c r="N23" s="3"/>
      <c r="O23" s="3"/>
    </row>
    <row r="24" spans="1:15" ht="25.5" x14ac:dyDescent="0.2">
      <c r="A24" s="29">
        <v>1</v>
      </c>
      <c r="B24" s="226" t="s">
        <v>12</v>
      </c>
      <c r="C24" s="226"/>
      <c r="D24" s="226"/>
      <c r="E24" s="226"/>
      <c r="F24" s="226"/>
      <c r="G24" s="226"/>
      <c r="H24" s="226"/>
      <c r="I24" s="34" t="s">
        <v>180</v>
      </c>
      <c r="J24" s="5"/>
      <c r="K24" s="6"/>
      <c r="L24" s="6"/>
      <c r="M24" s="6"/>
      <c r="N24" s="6"/>
      <c r="O24" s="6"/>
    </row>
    <row r="25" spans="1:15" x14ac:dyDescent="0.2">
      <c r="A25" s="29">
        <v>2</v>
      </c>
      <c r="B25" s="226" t="s">
        <v>13</v>
      </c>
      <c r="C25" s="226"/>
      <c r="D25" s="226"/>
      <c r="E25" s="226"/>
      <c r="F25" s="226"/>
      <c r="G25" s="226"/>
      <c r="H25" s="226"/>
      <c r="I25" s="36" t="s">
        <v>191</v>
      </c>
      <c r="J25" s="5"/>
      <c r="K25" s="231"/>
      <c r="L25" s="231"/>
      <c r="M25" s="231"/>
      <c r="N25" s="231"/>
      <c r="O25" s="24"/>
    </row>
    <row r="26" spans="1:15" x14ac:dyDescent="0.2">
      <c r="A26" s="29">
        <v>3</v>
      </c>
      <c r="B26" s="226" t="s">
        <v>14</v>
      </c>
      <c r="C26" s="226"/>
      <c r="D26" s="226"/>
      <c r="E26" s="226"/>
      <c r="F26" s="226"/>
      <c r="G26" s="226"/>
      <c r="H26" s="226"/>
      <c r="I26" s="120">
        <f>1601.27*1.06</f>
        <v>1697.3462</v>
      </c>
      <c r="J26" s="105"/>
      <c r="K26" s="106"/>
      <c r="L26" s="106"/>
      <c r="M26" s="106"/>
      <c r="N26" s="75"/>
      <c r="O26" s="25"/>
    </row>
    <row r="27" spans="1:15" x14ac:dyDescent="0.2">
      <c r="A27" s="29">
        <v>4</v>
      </c>
      <c r="B27" s="226" t="s">
        <v>15</v>
      </c>
      <c r="C27" s="226"/>
      <c r="D27" s="226"/>
      <c r="E27" s="226"/>
      <c r="F27" s="226"/>
      <c r="G27" s="226"/>
      <c r="H27" s="226"/>
      <c r="I27" s="34" t="s">
        <v>116</v>
      </c>
      <c r="J27" s="105"/>
      <c r="K27" s="106"/>
      <c r="L27" s="106"/>
      <c r="M27" s="106"/>
      <c r="N27" s="75"/>
      <c r="O27" s="25"/>
    </row>
    <row r="28" spans="1:15" x14ac:dyDescent="0.2">
      <c r="A28" s="29">
        <v>5</v>
      </c>
      <c r="B28" s="226" t="s">
        <v>16</v>
      </c>
      <c r="C28" s="226"/>
      <c r="D28" s="226"/>
      <c r="E28" s="226"/>
      <c r="F28" s="226"/>
      <c r="G28" s="226"/>
      <c r="H28" s="226"/>
      <c r="I28" s="35">
        <v>46266</v>
      </c>
      <c r="J28" s="105"/>
      <c r="K28" s="106"/>
      <c r="L28" s="106"/>
      <c r="M28" s="106"/>
      <c r="N28" s="9"/>
      <c r="O28" s="9"/>
    </row>
    <row r="29" spans="1:15" x14ac:dyDescent="0.2">
      <c r="A29" s="29">
        <v>6</v>
      </c>
      <c r="B29" s="239" t="s">
        <v>188</v>
      </c>
      <c r="C29" s="240"/>
      <c r="D29" s="240"/>
      <c r="E29" s="240"/>
      <c r="F29" s="240"/>
      <c r="G29" s="240"/>
      <c r="H29" s="241"/>
      <c r="I29" s="35" t="s">
        <v>189</v>
      </c>
      <c r="J29" s="105"/>
      <c r="K29" s="106"/>
      <c r="L29" s="106"/>
      <c r="M29" s="106"/>
      <c r="N29" s="9"/>
      <c r="O29" s="9"/>
    </row>
    <row r="30" spans="1:15" x14ac:dyDescent="0.2">
      <c r="A30" s="237"/>
      <c r="B30" s="237"/>
      <c r="C30" s="237"/>
      <c r="D30" s="237"/>
      <c r="E30" s="237"/>
      <c r="F30" s="237"/>
      <c r="G30" s="237"/>
      <c r="H30" s="237"/>
      <c r="I30" s="237"/>
      <c r="J30" s="7"/>
      <c r="K30" s="7"/>
      <c r="L30" s="7"/>
      <c r="M30" s="7"/>
      <c r="N30" s="7"/>
      <c r="O30" s="7"/>
    </row>
    <row r="31" spans="1:15" x14ac:dyDescent="0.2">
      <c r="A31" s="238" t="s">
        <v>17</v>
      </c>
      <c r="B31" s="238"/>
      <c r="C31" s="238"/>
      <c r="D31" s="238"/>
      <c r="E31" s="238"/>
      <c r="F31" s="238"/>
      <c r="G31" s="238"/>
      <c r="H31" s="238"/>
      <c r="I31" s="238"/>
      <c r="J31" s="10"/>
      <c r="K31" s="10"/>
      <c r="L31" s="10"/>
      <c r="M31" s="10"/>
      <c r="N31" s="10"/>
      <c r="O31" s="10"/>
    </row>
    <row r="32" spans="1:15" x14ac:dyDescent="0.2">
      <c r="A32" s="36">
        <v>1</v>
      </c>
      <c r="B32" s="236" t="s">
        <v>18</v>
      </c>
      <c r="C32" s="236"/>
      <c r="D32" s="236"/>
      <c r="E32" s="236"/>
      <c r="F32" s="236"/>
      <c r="G32" s="236"/>
      <c r="H32" s="36" t="s">
        <v>19</v>
      </c>
      <c r="I32" s="36" t="s">
        <v>20</v>
      </c>
      <c r="J32" s="10"/>
      <c r="K32" s="10"/>
      <c r="L32" s="10"/>
      <c r="M32" s="10"/>
      <c r="N32" s="10"/>
      <c r="O32" s="10"/>
    </row>
    <row r="33" spans="1:15" x14ac:dyDescent="0.2">
      <c r="A33" s="36" t="s">
        <v>0</v>
      </c>
      <c r="B33" s="226" t="s">
        <v>21</v>
      </c>
      <c r="C33" s="226"/>
      <c r="D33" s="226"/>
      <c r="E33" s="226"/>
      <c r="F33" s="226"/>
      <c r="G33" s="226"/>
      <c r="H33" s="37"/>
      <c r="I33" s="38">
        <f>I26</f>
        <v>1697.3462</v>
      </c>
      <c r="J33" s="10"/>
      <c r="K33" s="10"/>
      <c r="L33" s="10"/>
      <c r="M33" s="10"/>
      <c r="N33" s="10"/>
      <c r="O33" s="10"/>
    </row>
    <row r="34" spans="1:15" x14ac:dyDescent="0.2">
      <c r="A34" s="36" t="s">
        <v>2</v>
      </c>
      <c r="B34" s="226" t="s">
        <v>22</v>
      </c>
      <c r="C34" s="226"/>
      <c r="D34" s="226"/>
      <c r="E34" s="226"/>
      <c r="F34" s="226"/>
      <c r="G34" s="226"/>
      <c r="H34" s="39"/>
      <c r="I34" s="38">
        <v>0</v>
      </c>
      <c r="J34" s="10"/>
      <c r="K34" s="10"/>
      <c r="L34" s="10"/>
      <c r="M34" s="10"/>
      <c r="N34" s="10"/>
      <c r="O34" s="10"/>
    </row>
    <row r="35" spans="1:15" x14ac:dyDescent="0.2">
      <c r="A35" s="36" t="s">
        <v>3</v>
      </c>
      <c r="B35" s="226" t="s">
        <v>23</v>
      </c>
      <c r="C35" s="226"/>
      <c r="D35" s="226"/>
      <c r="E35" s="226"/>
      <c r="F35" s="226"/>
      <c r="G35" s="226"/>
      <c r="H35" s="39"/>
      <c r="I35" s="38">
        <v>0</v>
      </c>
      <c r="J35" s="10"/>
      <c r="K35" s="10"/>
      <c r="L35" s="10"/>
      <c r="M35" s="10"/>
      <c r="N35" s="10"/>
      <c r="O35" s="10"/>
    </row>
    <row r="36" spans="1:15" x14ac:dyDescent="0.2">
      <c r="A36" s="36" t="s">
        <v>5</v>
      </c>
      <c r="B36" s="226" t="s">
        <v>24</v>
      </c>
      <c r="C36" s="226"/>
      <c r="D36" s="226"/>
      <c r="E36" s="226"/>
      <c r="F36" s="226"/>
      <c r="G36" s="226"/>
      <c r="H36" s="39"/>
      <c r="I36" s="38">
        <v>0</v>
      </c>
      <c r="J36" s="10"/>
      <c r="K36" s="10"/>
      <c r="L36" s="10"/>
      <c r="M36" s="10"/>
      <c r="N36" s="10"/>
      <c r="O36" s="10"/>
    </row>
    <row r="37" spans="1:15" x14ac:dyDescent="0.2">
      <c r="A37" s="36" t="s">
        <v>25</v>
      </c>
      <c r="B37" s="226" t="s">
        <v>26</v>
      </c>
      <c r="C37" s="226"/>
      <c r="D37" s="226"/>
      <c r="E37" s="226"/>
      <c r="F37" s="226"/>
      <c r="G37" s="226"/>
      <c r="H37" s="39"/>
      <c r="I37" s="38">
        <v>0</v>
      </c>
      <c r="J37" s="10"/>
      <c r="K37" s="10"/>
      <c r="L37" s="10"/>
      <c r="M37" s="10"/>
      <c r="N37" s="10"/>
      <c r="O37" s="10"/>
    </row>
    <row r="38" spans="1:15" x14ac:dyDescent="0.2">
      <c r="A38" s="36" t="s">
        <v>27</v>
      </c>
      <c r="B38" s="226" t="s">
        <v>28</v>
      </c>
      <c r="C38" s="226"/>
      <c r="D38" s="226"/>
      <c r="E38" s="226"/>
      <c r="F38" s="226"/>
      <c r="G38" s="226"/>
      <c r="H38" s="39"/>
      <c r="I38" s="38">
        <v>0</v>
      </c>
      <c r="J38" s="10"/>
      <c r="K38" s="10"/>
      <c r="L38" s="10"/>
      <c r="M38" s="10"/>
      <c r="N38" s="10"/>
      <c r="O38" s="10"/>
    </row>
    <row r="39" spans="1:15" x14ac:dyDescent="0.2">
      <c r="A39" s="36" t="s">
        <v>29</v>
      </c>
      <c r="B39" s="239" t="s">
        <v>184</v>
      </c>
      <c r="C39" s="240"/>
      <c r="D39" s="240"/>
      <c r="E39" s="240"/>
      <c r="F39" s="240"/>
      <c r="G39" s="241"/>
      <c r="H39" s="39"/>
      <c r="I39" s="38">
        <f>Sobreaviso!C26*(1+5/25)</f>
        <v>83.324268000000004</v>
      </c>
      <c r="J39" s="10"/>
      <c r="K39" s="10"/>
      <c r="L39" s="10"/>
      <c r="M39" s="10"/>
      <c r="N39" s="10"/>
      <c r="O39" s="10"/>
    </row>
    <row r="40" spans="1:15" x14ac:dyDescent="0.2">
      <c r="A40" s="36" t="s">
        <v>43</v>
      </c>
      <c r="B40" s="226" t="s">
        <v>135</v>
      </c>
      <c r="C40" s="226"/>
      <c r="D40" s="226"/>
      <c r="E40" s="226"/>
      <c r="F40" s="226"/>
      <c r="G40" s="226"/>
      <c r="H40" s="39">
        <v>0.5</v>
      </c>
      <c r="I40" s="38">
        <f>H40*I33</f>
        <v>848.67309999999998</v>
      </c>
      <c r="J40" s="10"/>
      <c r="K40" s="10"/>
      <c r="L40" s="10"/>
      <c r="M40" s="10"/>
      <c r="N40" s="10"/>
      <c r="O40" s="10"/>
    </row>
    <row r="41" spans="1:15" x14ac:dyDescent="0.2">
      <c r="A41" s="236" t="s">
        <v>30</v>
      </c>
      <c r="B41" s="236"/>
      <c r="C41" s="236"/>
      <c r="D41" s="236"/>
      <c r="E41" s="236"/>
      <c r="F41" s="236"/>
      <c r="G41" s="236"/>
      <c r="H41" s="236"/>
      <c r="I41" s="40">
        <f>SUM(I33:I40)</f>
        <v>2629.3435680000002</v>
      </c>
      <c r="J41" s="10"/>
      <c r="K41" s="10"/>
      <c r="L41" s="10"/>
      <c r="M41" s="10"/>
      <c r="N41" s="10"/>
      <c r="O41" s="10"/>
    </row>
    <row r="42" spans="1:15" x14ac:dyDescent="0.2">
      <c r="A42" s="41"/>
      <c r="B42" s="41"/>
      <c r="C42" s="41"/>
      <c r="D42" s="41"/>
      <c r="E42" s="41"/>
      <c r="F42" s="41"/>
      <c r="G42" s="41"/>
      <c r="H42" s="41"/>
      <c r="I42" s="42"/>
      <c r="J42" s="10"/>
      <c r="K42" s="10"/>
      <c r="L42" s="10"/>
      <c r="M42" s="10"/>
      <c r="N42" s="10"/>
      <c r="O42" s="10"/>
    </row>
    <row r="43" spans="1:15" x14ac:dyDescent="0.2">
      <c r="A43" s="238" t="s">
        <v>31</v>
      </c>
      <c r="B43" s="238"/>
      <c r="C43" s="238"/>
      <c r="D43" s="238"/>
      <c r="E43" s="238"/>
      <c r="F43" s="238"/>
      <c r="G43" s="238"/>
      <c r="H43" s="238"/>
      <c r="I43" s="238"/>
      <c r="J43" s="10"/>
      <c r="K43" s="10"/>
      <c r="L43" s="10"/>
      <c r="M43" s="10"/>
      <c r="N43" s="10"/>
      <c r="O43" s="10"/>
    </row>
    <row r="44" spans="1:15" x14ac:dyDescent="0.2">
      <c r="A44" s="236" t="s">
        <v>32</v>
      </c>
      <c r="B44" s="236"/>
      <c r="C44" s="236"/>
      <c r="D44" s="236"/>
      <c r="E44" s="236"/>
      <c r="F44" s="236"/>
      <c r="G44" s="236"/>
      <c r="H44" s="36" t="s">
        <v>19</v>
      </c>
      <c r="I44" s="36" t="s">
        <v>20</v>
      </c>
      <c r="J44" s="10"/>
      <c r="K44" s="10"/>
      <c r="L44" s="10"/>
      <c r="M44" s="10"/>
      <c r="N44" s="10"/>
      <c r="O44" s="10"/>
    </row>
    <row r="45" spans="1:15" x14ac:dyDescent="0.2">
      <c r="A45" s="36" t="s">
        <v>0</v>
      </c>
      <c r="B45" s="226" t="s">
        <v>33</v>
      </c>
      <c r="C45" s="226"/>
      <c r="D45" s="226"/>
      <c r="E45" s="226"/>
      <c r="F45" s="226"/>
      <c r="G45" s="226"/>
      <c r="H45" s="48">
        <v>9.0899999999999995E-2</v>
      </c>
      <c r="I45" s="47">
        <f>$I$41*H45</f>
        <v>239.0073303312</v>
      </c>
      <c r="J45" s="10"/>
      <c r="K45" s="10"/>
      <c r="L45" s="10"/>
      <c r="M45" s="10"/>
      <c r="N45" s="10"/>
      <c r="O45" s="10"/>
    </row>
    <row r="46" spans="1:15" x14ac:dyDescent="0.2">
      <c r="A46" s="36" t="s">
        <v>2</v>
      </c>
      <c r="B46" s="226" t="s">
        <v>34</v>
      </c>
      <c r="C46" s="226"/>
      <c r="D46" s="226"/>
      <c r="E46" s="226"/>
      <c r="F46" s="226"/>
      <c r="G46" s="226"/>
      <c r="H46" s="58">
        <v>3.0300000000000001E-2</v>
      </c>
      <c r="I46" s="47">
        <f>H46*I41</f>
        <v>79.669110110400013</v>
      </c>
      <c r="J46" s="10"/>
      <c r="K46" s="10"/>
      <c r="L46" s="10"/>
      <c r="M46" s="10"/>
      <c r="N46" s="10"/>
      <c r="O46" s="10"/>
    </row>
    <row r="47" spans="1:15" x14ac:dyDescent="0.2">
      <c r="A47" s="236" t="s">
        <v>35</v>
      </c>
      <c r="B47" s="236"/>
      <c r="C47" s="236"/>
      <c r="D47" s="236"/>
      <c r="E47" s="236"/>
      <c r="F47" s="236"/>
      <c r="G47" s="236"/>
      <c r="H47" s="43">
        <f>SUM(H45:H46)</f>
        <v>0.1212</v>
      </c>
      <c r="I47" s="44">
        <f>SUM(I45:I46)</f>
        <v>318.67644044159999</v>
      </c>
      <c r="J47" s="10"/>
      <c r="K47" s="10"/>
      <c r="L47" s="10"/>
      <c r="M47" s="10"/>
      <c r="N47" s="10"/>
      <c r="O47" s="10"/>
    </row>
    <row r="48" spans="1:15" x14ac:dyDescent="0.2">
      <c r="A48" s="242"/>
      <c r="B48" s="242"/>
      <c r="C48" s="242"/>
      <c r="D48" s="242"/>
      <c r="E48" s="242"/>
      <c r="F48" s="242"/>
      <c r="G48" s="242"/>
      <c r="H48" s="242"/>
      <c r="I48" s="242"/>
      <c r="J48" s="10"/>
      <c r="K48" s="10"/>
      <c r="L48" s="10"/>
      <c r="M48" s="10"/>
      <c r="N48" s="10"/>
      <c r="O48" s="10"/>
    </row>
    <row r="49" spans="1:21" x14ac:dyDescent="0.2">
      <c r="A49" s="244" t="s">
        <v>36</v>
      </c>
      <c r="B49" s="244"/>
      <c r="C49" s="244"/>
      <c r="D49" s="244"/>
      <c r="E49" s="244"/>
      <c r="F49" s="244"/>
      <c r="G49" s="244"/>
      <c r="H49" s="45" t="s">
        <v>19</v>
      </c>
      <c r="I49" s="45" t="s">
        <v>20</v>
      </c>
      <c r="J49" s="11"/>
      <c r="K49" s="12"/>
      <c r="L49" s="10"/>
      <c r="M49" s="10"/>
      <c r="N49" s="10"/>
      <c r="O49" s="10"/>
    </row>
    <row r="50" spans="1:21" x14ac:dyDescent="0.2">
      <c r="A50" s="36" t="s">
        <v>0</v>
      </c>
      <c r="B50" s="226" t="s">
        <v>37</v>
      </c>
      <c r="C50" s="226"/>
      <c r="D50" s="226"/>
      <c r="E50" s="226"/>
      <c r="F50" s="226"/>
      <c r="G50" s="226"/>
      <c r="H50" s="46">
        <v>0.1</v>
      </c>
      <c r="I50" s="47">
        <f>H50*($I$41+I47)</f>
        <v>294.80200084416003</v>
      </c>
      <c r="J50" s="107"/>
      <c r="K50" s="12"/>
      <c r="L50" s="10"/>
      <c r="M50" s="10"/>
      <c r="N50" s="10"/>
      <c r="O50" s="10"/>
    </row>
    <row r="51" spans="1:21" x14ac:dyDescent="0.2">
      <c r="A51" s="36" t="s">
        <v>2</v>
      </c>
      <c r="B51" s="226" t="s">
        <v>38</v>
      </c>
      <c r="C51" s="226"/>
      <c r="D51" s="226"/>
      <c r="E51" s="226"/>
      <c r="F51" s="226"/>
      <c r="G51" s="226"/>
      <c r="H51" s="48">
        <v>2.5000000000000001E-2</v>
      </c>
      <c r="I51" s="47">
        <f>H51*($I$41+I47)</f>
        <v>73.700500211040008</v>
      </c>
      <c r="J51" s="10"/>
      <c r="K51" s="10"/>
      <c r="L51" s="10"/>
      <c r="M51" s="10"/>
      <c r="N51" s="10"/>
      <c r="O51" s="10"/>
    </row>
    <row r="52" spans="1:21" ht="12" customHeight="1" x14ac:dyDescent="0.2">
      <c r="A52" s="36" t="s">
        <v>3</v>
      </c>
      <c r="B52" s="226" t="s">
        <v>247</v>
      </c>
      <c r="C52" s="226"/>
      <c r="D52" s="226"/>
      <c r="E52" s="226"/>
      <c r="F52" s="226"/>
      <c r="G52" s="226"/>
      <c r="H52" s="46">
        <v>0.03</v>
      </c>
      <c r="I52" s="49">
        <f>H52*($I$41+I47)</f>
        <v>88.440600253247993</v>
      </c>
      <c r="J52" s="10"/>
      <c r="K52" s="22"/>
      <c r="L52" s="21"/>
      <c r="M52" s="245"/>
      <c r="N52" s="245"/>
      <c r="O52" s="23"/>
      <c r="P52" s="243"/>
      <c r="Q52" s="3"/>
    </row>
    <row r="53" spans="1:21" x14ac:dyDescent="0.2">
      <c r="A53" s="36" t="s">
        <v>5</v>
      </c>
      <c r="B53" s="226" t="s">
        <v>39</v>
      </c>
      <c r="C53" s="226"/>
      <c r="D53" s="226"/>
      <c r="E53" s="226"/>
      <c r="F53" s="226"/>
      <c r="G53" s="226"/>
      <c r="H53" s="48">
        <v>1.4999999999999999E-2</v>
      </c>
      <c r="I53" s="47">
        <f>H53*($I$41+I47)</f>
        <v>44.220300126623997</v>
      </c>
      <c r="J53" s="10"/>
      <c r="K53" s="20"/>
      <c r="L53" s="21"/>
      <c r="M53" s="245"/>
      <c r="N53" s="245"/>
      <c r="O53" s="23"/>
      <c r="P53" s="243"/>
      <c r="Q53" s="3"/>
      <c r="U53" s="16"/>
    </row>
    <row r="54" spans="1:21" x14ac:dyDescent="0.2">
      <c r="A54" s="36" t="s">
        <v>25</v>
      </c>
      <c r="B54" s="226" t="s">
        <v>40</v>
      </c>
      <c r="C54" s="226"/>
      <c r="D54" s="226"/>
      <c r="E54" s="226"/>
      <c r="F54" s="226"/>
      <c r="G54" s="226"/>
      <c r="H54" s="48">
        <v>0.01</v>
      </c>
      <c r="I54" s="47">
        <f>H54*($I$41+I47)</f>
        <v>29.480200084416001</v>
      </c>
      <c r="J54" s="10"/>
      <c r="K54" s="17"/>
      <c r="L54" s="18"/>
      <c r="M54" s="18"/>
      <c r="N54" s="18"/>
      <c r="O54" s="18"/>
      <c r="P54" s="19"/>
      <c r="Q54" s="3"/>
    </row>
    <row r="55" spans="1:21" x14ac:dyDescent="0.2">
      <c r="A55" s="36" t="s">
        <v>27</v>
      </c>
      <c r="B55" s="226" t="s">
        <v>41</v>
      </c>
      <c r="C55" s="226"/>
      <c r="D55" s="226"/>
      <c r="E55" s="226"/>
      <c r="F55" s="226"/>
      <c r="G55" s="226"/>
      <c r="H55" s="48">
        <v>6.0000000000000001E-3</v>
      </c>
      <c r="I55" s="47">
        <f>H55*($I$41+I47)</f>
        <v>17.688120050649601</v>
      </c>
      <c r="J55" s="10"/>
      <c r="K55" s="10"/>
      <c r="L55" s="10"/>
      <c r="M55" s="10"/>
      <c r="N55" s="10"/>
      <c r="O55" s="10"/>
    </row>
    <row r="56" spans="1:21" x14ac:dyDescent="0.2">
      <c r="A56" s="36" t="s">
        <v>29</v>
      </c>
      <c r="B56" s="226" t="s">
        <v>42</v>
      </c>
      <c r="C56" s="226"/>
      <c r="D56" s="226"/>
      <c r="E56" s="226"/>
      <c r="F56" s="226"/>
      <c r="G56" s="226"/>
      <c r="H56" s="48">
        <v>2E-3</v>
      </c>
      <c r="I56" s="47">
        <f>H56*($I$41+I47)</f>
        <v>5.8960400168832008</v>
      </c>
      <c r="J56" s="10"/>
      <c r="K56" s="10"/>
      <c r="L56" s="10"/>
      <c r="M56" s="10"/>
      <c r="N56" s="10"/>
      <c r="O56" s="10"/>
    </row>
    <row r="57" spans="1:21" x14ac:dyDescent="0.2">
      <c r="A57" s="36" t="s">
        <v>43</v>
      </c>
      <c r="B57" s="226" t="s">
        <v>44</v>
      </c>
      <c r="C57" s="226"/>
      <c r="D57" s="226"/>
      <c r="E57" s="226"/>
      <c r="F57" s="226"/>
      <c r="G57" s="226"/>
      <c r="H57" s="48">
        <v>0.08</v>
      </c>
      <c r="I57" s="47">
        <f>H57*($I$41+I47)</f>
        <v>235.84160067532801</v>
      </c>
      <c r="J57" s="10"/>
      <c r="K57" s="10"/>
      <c r="L57" s="10"/>
      <c r="M57" s="10"/>
      <c r="N57" s="10"/>
      <c r="O57" s="10"/>
    </row>
    <row r="58" spans="1:21" x14ac:dyDescent="0.2">
      <c r="A58" s="236" t="s">
        <v>45</v>
      </c>
      <c r="B58" s="236"/>
      <c r="C58" s="236"/>
      <c r="D58" s="236"/>
      <c r="E58" s="236"/>
      <c r="F58" s="236"/>
      <c r="G58" s="236"/>
      <c r="H58" s="43">
        <f>SUM(H50:H57)</f>
        <v>0.26800000000000002</v>
      </c>
      <c r="I58" s="44">
        <f>SUM(I50:I57)</f>
        <v>790.0693622623487</v>
      </c>
      <c r="J58" s="13"/>
      <c r="K58" s="10"/>
      <c r="L58" s="10"/>
      <c r="M58" s="10"/>
      <c r="N58" s="10"/>
      <c r="O58" s="10"/>
    </row>
    <row r="59" spans="1:21" x14ac:dyDescent="0.2">
      <c r="A59" s="247"/>
      <c r="B59" s="247"/>
      <c r="C59" s="247"/>
      <c r="D59" s="247"/>
      <c r="E59" s="247"/>
      <c r="F59" s="247"/>
      <c r="G59" s="247"/>
      <c r="H59" s="247"/>
      <c r="I59" s="247"/>
      <c r="J59" s="10"/>
      <c r="K59" s="10"/>
      <c r="L59" s="10"/>
      <c r="M59" s="10"/>
      <c r="N59" s="10"/>
      <c r="O59" s="10"/>
    </row>
    <row r="60" spans="1:21" x14ac:dyDescent="0.2">
      <c r="A60" s="244" t="s">
        <v>46</v>
      </c>
      <c r="B60" s="244"/>
      <c r="C60" s="244"/>
      <c r="D60" s="244"/>
      <c r="E60" s="244"/>
      <c r="F60" s="244"/>
      <c r="G60" s="244"/>
      <c r="H60" s="50"/>
      <c r="I60" s="45" t="s">
        <v>20</v>
      </c>
      <c r="J60" s="10"/>
      <c r="K60" s="10"/>
      <c r="L60" s="10"/>
      <c r="M60" s="10"/>
      <c r="N60" s="10"/>
      <c r="O60" s="10"/>
    </row>
    <row r="61" spans="1:21" x14ac:dyDescent="0.2">
      <c r="A61" s="36" t="s">
        <v>0</v>
      </c>
      <c r="B61" s="239" t="s">
        <v>47</v>
      </c>
      <c r="C61" s="240"/>
      <c r="D61" s="240"/>
      <c r="E61" s="240"/>
      <c r="F61" s="240"/>
      <c r="G61" s="240"/>
      <c r="H61" s="241"/>
      <c r="I61" s="59">
        <f>(5.45*2*22)-(6%*I33)</f>
        <v>137.95922800000002</v>
      </c>
      <c r="J61" s="2"/>
      <c r="K61" s="10"/>
      <c r="L61" s="10"/>
      <c r="M61" s="10"/>
      <c r="N61" s="10"/>
      <c r="O61" s="10"/>
    </row>
    <row r="62" spans="1:21" x14ac:dyDescent="0.2">
      <c r="A62" s="36" t="s">
        <v>2</v>
      </c>
      <c r="B62" s="239" t="s">
        <v>187</v>
      </c>
      <c r="C62" s="240"/>
      <c r="D62" s="240"/>
      <c r="E62" s="240"/>
      <c r="F62" s="240"/>
      <c r="G62" s="240"/>
      <c r="H62" s="241"/>
      <c r="I62" s="59">
        <f>25*22*0.9</f>
        <v>495</v>
      </c>
      <c r="J62" s="2"/>
      <c r="K62" s="10"/>
      <c r="L62" s="10"/>
      <c r="M62" s="10"/>
      <c r="N62" s="10"/>
      <c r="O62" s="10"/>
    </row>
    <row r="63" spans="1:21" x14ac:dyDescent="0.2">
      <c r="A63" s="36" t="s">
        <v>3</v>
      </c>
      <c r="B63" s="239" t="s">
        <v>186</v>
      </c>
      <c r="C63" s="240"/>
      <c r="D63" s="240"/>
      <c r="E63" s="240"/>
      <c r="F63" s="240"/>
      <c r="G63" s="240"/>
      <c r="H63" s="246"/>
      <c r="I63" s="59">
        <v>0</v>
      </c>
      <c r="J63" s="2"/>
      <c r="K63" s="10"/>
      <c r="L63" s="10"/>
      <c r="M63" s="10"/>
      <c r="N63" s="10"/>
      <c r="O63" s="10"/>
    </row>
    <row r="64" spans="1:21" x14ac:dyDescent="0.2">
      <c r="A64" s="36" t="s">
        <v>5</v>
      </c>
      <c r="B64" s="239" t="s">
        <v>185</v>
      </c>
      <c r="C64" s="240"/>
      <c r="D64" s="240"/>
      <c r="E64" s="240"/>
      <c r="F64" s="240"/>
      <c r="G64" s="240"/>
      <c r="H64" s="246"/>
      <c r="I64" s="59">
        <v>2.35</v>
      </c>
      <c r="J64" s="2"/>
      <c r="K64" s="10"/>
      <c r="L64" s="10"/>
      <c r="M64" s="10"/>
      <c r="N64" s="10"/>
      <c r="O64" s="10"/>
    </row>
    <row r="65" spans="1:15" x14ac:dyDescent="0.2">
      <c r="A65" s="236" t="s">
        <v>48</v>
      </c>
      <c r="B65" s="236"/>
      <c r="C65" s="236"/>
      <c r="D65" s="236"/>
      <c r="E65" s="236"/>
      <c r="F65" s="236"/>
      <c r="G65" s="236"/>
      <c r="H65" s="236"/>
      <c r="I65" s="44">
        <f>SUM(I61:I64)</f>
        <v>635.30922800000008</v>
      </c>
      <c r="J65" s="10"/>
      <c r="K65" s="10"/>
      <c r="L65" s="10"/>
      <c r="M65" s="10"/>
      <c r="N65" s="10"/>
      <c r="O65" s="10"/>
    </row>
    <row r="66" spans="1:15" x14ac:dyDescent="0.2">
      <c r="A66" s="247"/>
      <c r="B66" s="247"/>
      <c r="C66" s="247"/>
      <c r="D66" s="247"/>
      <c r="E66" s="247"/>
      <c r="F66" s="247"/>
      <c r="G66" s="247"/>
      <c r="H66" s="247"/>
      <c r="I66" s="247"/>
      <c r="J66" s="10"/>
      <c r="K66" s="10"/>
      <c r="L66" s="10"/>
      <c r="M66" s="10"/>
      <c r="N66" s="10"/>
      <c r="O66" s="10"/>
    </row>
    <row r="67" spans="1:15" x14ac:dyDescent="0.2">
      <c r="A67" s="225" t="s">
        <v>49</v>
      </c>
      <c r="B67" s="225"/>
      <c r="C67" s="225"/>
      <c r="D67" s="225"/>
      <c r="E67" s="225"/>
      <c r="F67" s="225"/>
      <c r="G67" s="225"/>
      <c r="H67" s="225"/>
      <c r="I67" s="225"/>
      <c r="J67" s="10"/>
      <c r="K67" s="10"/>
      <c r="L67" s="10"/>
      <c r="M67" s="10"/>
      <c r="N67" s="10"/>
      <c r="O67" s="10"/>
    </row>
    <row r="68" spans="1:15" x14ac:dyDescent="0.2">
      <c r="A68" s="236" t="s">
        <v>50</v>
      </c>
      <c r="B68" s="236"/>
      <c r="C68" s="236"/>
      <c r="D68" s="236"/>
      <c r="E68" s="236"/>
      <c r="F68" s="236"/>
      <c r="G68" s="236"/>
      <c r="H68" s="236"/>
      <c r="I68" s="36" t="s">
        <v>20</v>
      </c>
      <c r="J68" s="10"/>
      <c r="K68" s="10"/>
      <c r="L68" s="10"/>
      <c r="M68" s="10"/>
      <c r="N68" s="10"/>
      <c r="O68" s="10"/>
    </row>
    <row r="69" spans="1:15" x14ac:dyDescent="0.2">
      <c r="A69" s="36" t="s">
        <v>51</v>
      </c>
      <c r="B69" s="226" t="s">
        <v>52</v>
      </c>
      <c r="C69" s="226"/>
      <c r="D69" s="226"/>
      <c r="E69" s="226"/>
      <c r="F69" s="226"/>
      <c r="G69" s="226"/>
      <c r="H69" s="226"/>
      <c r="I69" s="47">
        <f>I47</f>
        <v>318.67644044159999</v>
      </c>
      <c r="J69" s="10"/>
      <c r="K69" s="10"/>
      <c r="L69" s="10"/>
      <c r="M69" s="10"/>
      <c r="N69" s="10"/>
      <c r="O69" s="10"/>
    </row>
    <row r="70" spans="1:15" x14ac:dyDescent="0.2">
      <c r="A70" s="36" t="s">
        <v>53</v>
      </c>
      <c r="B70" s="226" t="s">
        <v>54</v>
      </c>
      <c r="C70" s="226"/>
      <c r="D70" s="226"/>
      <c r="E70" s="226"/>
      <c r="F70" s="226"/>
      <c r="G70" s="226"/>
      <c r="H70" s="226"/>
      <c r="I70" s="47">
        <f>I58</f>
        <v>790.0693622623487</v>
      </c>
      <c r="J70" s="10"/>
      <c r="K70" s="10"/>
      <c r="L70" s="10"/>
      <c r="M70" s="10"/>
      <c r="N70" s="10"/>
      <c r="O70" s="10"/>
    </row>
    <row r="71" spans="1:15" x14ac:dyDescent="0.2">
      <c r="A71" s="36" t="s">
        <v>55</v>
      </c>
      <c r="B71" s="226" t="s">
        <v>56</v>
      </c>
      <c r="C71" s="226"/>
      <c r="D71" s="226"/>
      <c r="E71" s="226"/>
      <c r="F71" s="226"/>
      <c r="G71" s="226"/>
      <c r="H71" s="226"/>
      <c r="I71" s="47">
        <f>I65</f>
        <v>635.30922800000008</v>
      </c>
      <c r="J71" s="10"/>
      <c r="K71" s="10"/>
      <c r="L71" s="10"/>
      <c r="M71" s="10"/>
      <c r="N71" s="10"/>
      <c r="O71" s="10"/>
    </row>
    <row r="72" spans="1:15" x14ac:dyDescent="0.2">
      <c r="A72" s="236" t="s">
        <v>57</v>
      </c>
      <c r="B72" s="236"/>
      <c r="C72" s="236"/>
      <c r="D72" s="236"/>
      <c r="E72" s="236"/>
      <c r="F72" s="236"/>
      <c r="G72" s="236"/>
      <c r="H72" s="236"/>
      <c r="I72" s="40">
        <f>SUM(I69:I71)</f>
        <v>1744.0550307039489</v>
      </c>
      <c r="J72" s="10"/>
      <c r="K72" s="10"/>
      <c r="L72" s="10"/>
      <c r="M72" s="10"/>
      <c r="N72" s="10"/>
      <c r="O72" s="10"/>
    </row>
    <row r="73" spans="1:15" x14ac:dyDescent="0.2">
      <c r="A73" s="248"/>
      <c r="B73" s="248"/>
      <c r="C73" s="248"/>
      <c r="D73" s="248"/>
      <c r="E73" s="248"/>
      <c r="F73" s="248"/>
      <c r="G73" s="248"/>
      <c r="H73" s="248"/>
      <c r="I73" s="248"/>
      <c r="J73" s="10"/>
      <c r="K73" s="10"/>
      <c r="L73" s="10"/>
      <c r="M73" s="10"/>
      <c r="N73" s="10"/>
      <c r="O73" s="10"/>
    </row>
    <row r="74" spans="1:15" x14ac:dyDescent="0.2">
      <c r="A74" s="238" t="s">
        <v>58</v>
      </c>
      <c r="B74" s="238"/>
      <c r="C74" s="238"/>
      <c r="D74" s="238"/>
      <c r="E74" s="238"/>
      <c r="F74" s="238"/>
      <c r="G74" s="238"/>
      <c r="H74" s="238"/>
      <c r="I74" s="238"/>
      <c r="J74" s="10"/>
      <c r="K74" s="10"/>
      <c r="L74" s="10"/>
      <c r="M74" s="10"/>
      <c r="N74" s="10"/>
      <c r="O74" s="10"/>
    </row>
    <row r="75" spans="1:15" x14ac:dyDescent="0.2">
      <c r="A75" s="36">
        <v>3</v>
      </c>
      <c r="B75" s="236" t="s">
        <v>59</v>
      </c>
      <c r="C75" s="236"/>
      <c r="D75" s="236"/>
      <c r="E75" s="236"/>
      <c r="F75" s="236"/>
      <c r="G75" s="236"/>
      <c r="H75" s="36" t="s">
        <v>19</v>
      </c>
      <c r="I75" s="36" t="s">
        <v>20</v>
      </c>
      <c r="J75" s="10"/>
      <c r="K75" s="10"/>
      <c r="L75" s="10"/>
      <c r="M75" s="10"/>
      <c r="N75" s="10"/>
      <c r="O75" s="10"/>
    </row>
    <row r="76" spans="1:15" x14ac:dyDescent="0.2">
      <c r="A76" s="36" t="s">
        <v>0</v>
      </c>
      <c r="B76" s="226" t="s">
        <v>60</v>
      </c>
      <c r="C76" s="226"/>
      <c r="D76" s="226"/>
      <c r="E76" s="226"/>
      <c r="F76" s="226"/>
      <c r="G76" s="226"/>
      <c r="H76" s="46">
        <f>(((1/12*0.05)))</f>
        <v>4.1666666666666666E-3</v>
      </c>
      <c r="I76" s="47">
        <f>$I$41*H76</f>
        <v>10.955598200000001</v>
      </c>
      <c r="J76" s="10"/>
      <c r="K76" s="10"/>
      <c r="L76" s="10"/>
      <c r="M76" s="10"/>
      <c r="N76" s="10"/>
      <c r="O76" s="10"/>
    </row>
    <row r="77" spans="1:15" x14ac:dyDescent="0.2">
      <c r="A77" s="36" t="s">
        <v>2</v>
      </c>
      <c r="B77" s="226" t="s">
        <v>61</v>
      </c>
      <c r="C77" s="226"/>
      <c r="D77" s="226"/>
      <c r="E77" s="226"/>
      <c r="F77" s="226"/>
      <c r="G77" s="226"/>
      <c r="H77" s="48">
        <f>0.08*H76</f>
        <v>3.3333333333333332E-4</v>
      </c>
      <c r="I77" s="47">
        <f t="shared" ref="I77:I81" si="0">$I$41*H77</f>
        <v>0.87644785600000008</v>
      </c>
      <c r="J77" s="10"/>
      <c r="K77" s="10"/>
      <c r="L77" s="10"/>
      <c r="M77" s="10"/>
      <c r="N77" s="10"/>
      <c r="O77" s="10"/>
    </row>
    <row r="78" spans="1:15" x14ac:dyDescent="0.2">
      <c r="A78" s="36" t="s">
        <v>3</v>
      </c>
      <c r="B78" s="226" t="s">
        <v>62</v>
      </c>
      <c r="C78" s="226"/>
      <c r="D78" s="226"/>
      <c r="E78" s="226"/>
      <c r="F78" s="226"/>
      <c r="G78" s="226"/>
      <c r="H78" s="46">
        <f>(((1+(2/12)+((1/3)*(1/12)))))*0.08*0.4*0.9</f>
        <v>3.4400000000000007E-2</v>
      </c>
      <c r="I78" s="47">
        <f t="shared" si="0"/>
        <v>90.449418739200027</v>
      </c>
      <c r="J78" s="10"/>
      <c r="K78" s="10"/>
      <c r="L78" s="10"/>
      <c r="M78" s="10"/>
      <c r="N78" s="10"/>
      <c r="O78" s="10"/>
    </row>
    <row r="79" spans="1:15" x14ac:dyDescent="0.2">
      <c r="A79" s="36" t="s">
        <v>5</v>
      </c>
      <c r="B79" s="226" t="s">
        <v>63</v>
      </c>
      <c r="C79" s="226"/>
      <c r="D79" s="226"/>
      <c r="E79" s="226"/>
      <c r="F79" s="226"/>
      <c r="G79" s="226"/>
      <c r="H79" s="46">
        <f>(7/30)/12</f>
        <v>1.9444444444444445E-2</v>
      </c>
      <c r="I79" s="49">
        <f t="shared" si="0"/>
        <v>51.126124933333337</v>
      </c>
      <c r="J79" s="10"/>
      <c r="K79" s="10"/>
      <c r="L79" s="10"/>
      <c r="M79" s="10"/>
      <c r="N79" s="10"/>
      <c r="O79" s="10"/>
    </row>
    <row r="80" spans="1:15" x14ac:dyDescent="0.2">
      <c r="A80" s="36" t="s">
        <v>25</v>
      </c>
      <c r="B80" s="226" t="s">
        <v>64</v>
      </c>
      <c r="C80" s="226"/>
      <c r="D80" s="226"/>
      <c r="E80" s="226"/>
      <c r="F80" s="226"/>
      <c r="G80" s="226"/>
      <c r="H80" s="48">
        <f>H58*H79</f>
        <v>5.2111111111111117E-3</v>
      </c>
      <c r="I80" s="49">
        <f t="shared" si="0"/>
        <v>13.701801482133336</v>
      </c>
      <c r="J80" s="10"/>
      <c r="K80" s="10"/>
      <c r="L80" s="10"/>
      <c r="M80" s="10"/>
      <c r="N80" s="10"/>
      <c r="O80" s="10"/>
    </row>
    <row r="81" spans="1:15" x14ac:dyDescent="0.2">
      <c r="A81" s="36" t="s">
        <v>27</v>
      </c>
      <c r="B81" s="226" t="s">
        <v>65</v>
      </c>
      <c r="C81" s="226"/>
      <c r="D81" s="226"/>
      <c r="E81" s="226"/>
      <c r="F81" s="226"/>
      <c r="G81" s="226"/>
      <c r="H81" s="60">
        <f>((7/30)/12)*0.08*0.4</f>
        <v>6.2222222222222236E-4</v>
      </c>
      <c r="I81" s="49">
        <f t="shared" si="0"/>
        <v>1.6360359978666672</v>
      </c>
      <c r="J81" s="10"/>
      <c r="K81" s="10"/>
      <c r="L81" s="10"/>
      <c r="M81" s="10"/>
      <c r="N81" s="10"/>
      <c r="O81" s="10"/>
    </row>
    <row r="82" spans="1:15" x14ac:dyDescent="0.2">
      <c r="A82" s="236" t="s">
        <v>66</v>
      </c>
      <c r="B82" s="236"/>
      <c r="C82" s="236"/>
      <c r="D82" s="236"/>
      <c r="E82" s="236"/>
      <c r="F82" s="236"/>
      <c r="G82" s="236"/>
      <c r="H82" s="43">
        <f>SUM(H76:H81)</f>
        <v>6.4177777777777778E-2</v>
      </c>
      <c r="I82" s="51">
        <f>SUM(I76:I81)</f>
        <v>168.74542720853336</v>
      </c>
      <c r="J82" s="10"/>
      <c r="K82" s="10"/>
      <c r="L82" s="10"/>
      <c r="M82" s="10"/>
      <c r="N82" s="10"/>
      <c r="O82" s="10"/>
    </row>
    <row r="83" spans="1:15" x14ac:dyDescent="0.2">
      <c r="A83" s="253"/>
      <c r="B83" s="253"/>
      <c r="C83" s="253"/>
      <c r="D83" s="253"/>
      <c r="E83" s="253"/>
      <c r="F83" s="253"/>
      <c r="G83" s="253"/>
      <c r="H83" s="253"/>
      <c r="I83" s="253"/>
      <c r="J83" s="10"/>
      <c r="K83" s="10"/>
      <c r="L83" s="10"/>
      <c r="M83" s="10"/>
      <c r="N83" s="10"/>
      <c r="O83" s="10"/>
    </row>
    <row r="84" spans="1:15" x14ac:dyDescent="0.2">
      <c r="A84" s="238" t="s">
        <v>67</v>
      </c>
      <c r="B84" s="238"/>
      <c r="C84" s="238"/>
      <c r="D84" s="238"/>
      <c r="E84" s="238"/>
      <c r="F84" s="238"/>
      <c r="G84" s="238"/>
      <c r="H84" s="238"/>
      <c r="I84" s="238"/>
      <c r="J84" s="10"/>
      <c r="K84" s="10"/>
      <c r="L84" s="10"/>
      <c r="M84" s="10"/>
      <c r="N84" s="10"/>
      <c r="O84" s="10"/>
    </row>
    <row r="85" spans="1:15" x14ac:dyDescent="0.2">
      <c r="A85" s="236" t="s">
        <v>68</v>
      </c>
      <c r="B85" s="236"/>
      <c r="C85" s="236"/>
      <c r="D85" s="236"/>
      <c r="E85" s="236"/>
      <c r="F85" s="236"/>
      <c r="G85" s="236"/>
      <c r="H85" s="36" t="s">
        <v>19</v>
      </c>
      <c r="I85" s="36" t="s">
        <v>20</v>
      </c>
      <c r="J85" s="10"/>
      <c r="K85" s="10"/>
      <c r="L85" s="10"/>
      <c r="M85" s="10"/>
      <c r="N85" s="10"/>
      <c r="O85" s="10"/>
    </row>
    <row r="86" spans="1:15" x14ac:dyDescent="0.2">
      <c r="A86" s="36" t="s">
        <v>0</v>
      </c>
      <c r="B86" s="226" t="s">
        <v>69</v>
      </c>
      <c r="C86" s="226"/>
      <c r="D86" s="226"/>
      <c r="E86" s="226"/>
      <c r="F86" s="226"/>
      <c r="G86" s="226"/>
      <c r="H86" s="66">
        <v>9.0899999999999995E-2</v>
      </c>
      <c r="I86" s="62">
        <f>$I$41*H86</f>
        <v>239.0073303312</v>
      </c>
      <c r="J86" s="10"/>
      <c r="K86" s="10"/>
      <c r="L86" s="10"/>
      <c r="M86" s="10"/>
      <c r="N86" s="10"/>
      <c r="O86" s="10"/>
    </row>
    <row r="87" spans="1:15" x14ac:dyDescent="0.2">
      <c r="A87" s="36" t="s">
        <v>2</v>
      </c>
      <c r="B87" s="226" t="s">
        <v>70</v>
      </c>
      <c r="C87" s="226"/>
      <c r="D87" s="226"/>
      <c r="E87" s="226"/>
      <c r="F87" s="226"/>
      <c r="G87" s="226"/>
      <c r="H87" s="66">
        <v>2.7799999999999999E-3</v>
      </c>
      <c r="I87" s="62">
        <f t="shared" ref="I87:I91" si="1">$I$41*H87</f>
        <v>7.3095751190400007</v>
      </c>
      <c r="J87" s="10"/>
      <c r="K87" s="10"/>
      <c r="L87" s="10"/>
      <c r="M87" s="10"/>
      <c r="N87" s="10"/>
      <c r="O87" s="10"/>
    </row>
    <row r="88" spans="1:15" x14ac:dyDescent="0.2">
      <c r="A88" s="36" t="s">
        <v>3</v>
      </c>
      <c r="B88" s="226" t="s">
        <v>71</v>
      </c>
      <c r="C88" s="226"/>
      <c r="D88" s="226"/>
      <c r="E88" s="226"/>
      <c r="F88" s="226"/>
      <c r="G88" s="226"/>
      <c r="H88" s="66">
        <v>2.1000000000000001E-4</v>
      </c>
      <c r="I88" s="62">
        <f t="shared" si="1"/>
        <v>0.55216214928000007</v>
      </c>
      <c r="J88" s="10"/>
      <c r="K88" s="10"/>
      <c r="L88" s="10"/>
      <c r="M88" s="10"/>
      <c r="N88" s="10"/>
      <c r="O88" s="10"/>
    </row>
    <row r="89" spans="1:15" x14ac:dyDescent="0.2">
      <c r="A89" s="36" t="s">
        <v>5</v>
      </c>
      <c r="B89" s="226" t="s">
        <v>72</v>
      </c>
      <c r="C89" s="226"/>
      <c r="D89" s="226"/>
      <c r="E89" s="226"/>
      <c r="F89" s="226"/>
      <c r="G89" s="226"/>
      <c r="H89" s="66">
        <v>6.9999999999999999E-4</v>
      </c>
      <c r="I89" s="62">
        <f t="shared" si="1"/>
        <v>1.8405404976000002</v>
      </c>
      <c r="J89" s="10"/>
      <c r="K89" s="10"/>
      <c r="L89" s="10"/>
      <c r="M89" s="10"/>
      <c r="N89" s="10"/>
      <c r="O89" s="10"/>
    </row>
    <row r="90" spans="1:15" x14ac:dyDescent="0.2">
      <c r="A90" s="36" t="s">
        <v>25</v>
      </c>
      <c r="B90" s="226" t="s">
        <v>73</v>
      </c>
      <c r="C90" s="226"/>
      <c r="D90" s="226"/>
      <c r="E90" s="226"/>
      <c r="F90" s="226"/>
      <c r="G90" s="226"/>
      <c r="H90" s="66">
        <v>2.8999999999999998E-3</v>
      </c>
      <c r="I90" s="62">
        <f t="shared" si="1"/>
        <v>7.6250963472000004</v>
      </c>
      <c r="J90" s="10"/>
      <c r="K90" s="10"/>
      <c r="L90" s="10"/>
      <c r="M90" s="10"/>
      <c r="N90" s="10"/>
      <c r="O90" s="10"/>
    </row>
    <row r="91" spans="1:15" x14ac:dyDescent="0.2">
      <c r="A91" s="36" t="s">
        <v>27</v>
      </c>
      <c r="B91" s="249" t="s">
        <v>111</v>
      </c>
      <c r="C91" s="249"/>
      <c r="D91" s="249"/>
      <c r="E91" s="249"/>
      <c r="F91" s="249"/>
      <c r="G91" s="249"/>
      <c r="H91" s="66">
        <v>1.3899999999999999E-2</v>
      </c>
      <c r="I91" s="62">
        <f t="shared" si="1"/>
        <v>36.547875595200004</v>
      </c>
      <c r="J91" s="10"/>
      <c r="K91" s="10"/>
      <c r="L91" s="10"/>
      <c r="M91" s="10"/>
      <c r="N91" s="10"/>
      <c r="O91" s="10"/>
    </row>
    <row r="92" spans="1:15" x14ac:dyDescent="0.2">
      <c r="A92" s="236" t="s">
        <v>112</v>
      </c>
      <c r="B92" s="236"/>
      <c r="C92" s="236"/>
      <c r="D92" s="236"/>
      <c r="E92" s="236"/>
      <c r="F92" s="236"/>
      <c r="G92" s="236"/>
      <c r="H92" s="63">
        <f>SUM(H86:H91)</f>
        <v>0.11139</v>
      </c>
      <c r="I92" s="64">
        <f>SUM(I86:I91)</f>
        <v>292.88258003952001</v>
      </c>
      <c r="J92" s="10"/>
      <c r="K92" s="10"/>
      <c r="L92" s="10"/>
      <c r="M92" s="10"/>
      <c r="N92" s="10"/>
      <c r="O92" s="10"/>
    </row>
    <row r="93" spans="1:15" x14ac:dyDescent="0.2">
      <c r="A93" s="36" t="s">
        <v>29</v>
      </c>
      <c r="B93" s="250" t="s">
        <v>113</v>
      </c>
      <c r="C93" s="251"/>
      <c r="D93" s="251"/>
      <c r="E93" s="251"/>
      <c r="F93" s="251"/>
      <c r="G93" s="252"/>
      <c r="H93" s="61">
        <f>(H92-H90)*((1/12+1/12+(1/12*1/3)))</f>
        <v>2.1095277777777775E-2</v>
      </c>
      <c r="I93" s="65">
        <f>$I$41*H93</f>
        <v>55.46673294017333</v>
      </c>
      <c r="J93" s="10"/>
      <c r="K93" s="10"/>
      <c r="L93" s="10"/>
      <c r="M93" s="10"/>
      <c r="N93" s="10"/>
      <c r="O93" s="10"/>
    </row>
    <row r="94" spans="1:15" x14ac:dyDescent="0.2">
      <c r="A94" s="236" t="s">
        <v>114</v>
      </c>
      <c r="B94" s="236"/>
      <c r="C94" s="236"/>
      <c r="D94" s="236"/>
      <c r="E94" s="236"/>
      <c r="F94" s="236"/>
      <c r="G94" s="236"/>
      <c r="H94" s="63">
        <f>SUM(H92:H93)</f>
        <v>0.13248527777777777</v>
      </c>
      <c r="I94" s="64">
        <f>SUM(I92:I93)</f>
        <v>348.34931297969331</v>
      </c>
      <c r="J94" s="10"/>
      <c r="K94" s="10"/>
      <c r="L94" s="10"/>
      <c r="M94" s="10"/>
      <c r="N94" s="10"/>
      <c r="O94" s="10"/>
    </row>
    <row r="95" spans="1:15" x14ac:dyDescent="0.2">
      <c r="A95" s="36" t="s">
        <v>43</v>
      </c>
      <c r="B95" s="257" t="s">
        <v>115</v>
      </c>
      <c r="C95" s="257"/>
      <c r="D95" s="257"/>
      <c r="E95" s="257"/>
      <c r="F95" s="257"/>
      <c r="G95" s="257"/>
      <c r="H95" s="61">
        <f>H94*H58</f>
        <v>3.5506054444444442E-2</v>
      </c>
      <c r="I95" s="65">
        <f>$I$41*H95</f>
        <v>93.357615878557809</v>
      </c>
      <c r="J95" s="10"/>
      <c r="K95" s="10"/>
      <c r="L95" s="10"/>
      <c r="M95" s="10"/>
      <c r="N95" s="10"/>
      <c r="O95" s="10"/>
    </row>
    <row r="96" spans="1:15" x14ac:dyDescent="0.2">
      <c r="A96" s="236" t="s">
        <v>74</v>
      </c>
      <c r="B96" s="236"/>
      <c r="C96" s="236"/>
      <c r="D96" s="236"/>
      <c r="E96" s="236"/>
      <c r="F96" s="236"/>
      <c r="G96" s="236"/>
      <c r="H96" s="63">
        <f>SUM(H94:H95)</f>
        <v>0.16799133222222221</v>
      </c>
      <c r="I96" s="64">
        <f>SUM(I94:I95)</f>
        <v>441.7069288582511</v>
      </c>
      <c r="J96" s="10"/>
      <c r="K96" s="10"/>
      <c r="L96" s="10"/>
      <c r="M96" s="10"/>
      <c r="N96" s="10"/>
      <c r="O96" s="10"/>
    </row>
    <row r="97" spans="1:15" x14ac:dyDescent="0.2">
      <c r="A97" s="258"/>
      <c r="B97" s="258"/>
      <c r="C97" s="258"/>
      <c r="D97" s="258"/>
      <c r="E97" s="258"/>
      <c r="F97" s="258"/>
      <c r="G97" s="258"/>
      <c r="H97" s="258"/>
      <c r="I97" s="258"/>
      <c r="J97" s="10"/>
      <c r="K97" s="10"/>
      <c r="L97" s="10"/>
      <c r="M97" s="10"/>
      <c r="N97" s="10"/>
      <c r="O97" s="10"/>
    </row>
    <row r="98" spans="1:15" x14ac:dyDescent="0.2">
      <c r="A98" s="236" t="s">
        <v>75</v>
      </c>
      <c r="B98" s="236"/>
      <c r="C98" s="236"/>
      <c r="D98" s="236"/>
      <c r="E98" s="236"/>
      <c r="F98" s="236"/>
      <c r="G98" s="236"/>
      <c r="H98" s="36" t="s">
        <v>19</v>
      </c>
      <c r="I98" s="36" t="s">
        <v>20</v>
      </c>
      <c r="J98" s="10"/>
      <c r="K98" s="10"/>
      <c r="L98" s="10"/>
      <c r="M98" s="10"/>
      <c r="N98" s="10"/>
      <c r="O98" s="10"/>
    </row>
    <row r="99" spans="1:15" x14ac:dyDescent="0.2">
      <c r="A99" s="36" t="s">
        <v>0</v>
      </c>
      <c r="B99" s="226" t="s">
        <v>76</v>
      </c>
      <c r="C99" s="226"/>
      <c r="D99" s="226"/>
      <c r="E99" s="226"/>
      <c r="F99" s="226"/>
      <c r="G99" s="226"/>
      <c r="H99" s="48">
        <v>0</v>
      </c>
      <c r="I99" s="47">
        <f>$I$41*H99</f>
        <v>0</v>
      </c>
      <c r="J99" s="10"/>
      <c r="K99" s="10"/>
      <c r="L99" s="10"/>
      <c r="M99" s="10"/>
      <c r="N99" s="10"/>
      <c r="O99" s="10"/>
    </row>
    <row r="100" spans="1:15" x14ac:dyDescent="0.2">
      <c r="A100" s="254" t="s">
        <v>77</v>
      </c>
      <c r="B100" s="254"/>
      <c r="C100" s="254"/>
      <c r="D100" s="254"/>
      <c r="E100" s="254"/>
      <c r="F100" s="254"/>
      <c r="G100" s="254"/>
      <c r="H100" s="52">
        <f>SUM(H99)</f>
        <v>0</v>
      </c>
      <c r="I100" s="53">
        <f>SUM(I99)</f>
        <v>0</v>
      </c>
      <c r="J100" s="10"/>
      <c r="K100" s="10"/>
      <c r="L100" s="10"/>
      <c r="M100" s="10"/>
      <c r="N100" s="10"/>
      <c r="O100" s="10"/>
    </row>
    <row r="101" spans="1:15" x14ac:dyDescent="0.2">
      <c r="A101" s="255"/>
      <c r="B101" s="255"/>
      <c r="C101" s="255"/>
      <c r="D101" s="255"/>
      <c r="E101" s="255"/>
      <c r="F101" s="255"/>
      <c r="G101" s="255"/>
      <c r="H101" s="255"/>
      <c r="I101" s="255"/>
      <c r="J101" s="10"/>
      <c r="K101" s="10"/>
      <c r="L101" s="10"/>
      <c r="M101" s="10"/>
      <c r="N101" s="10"/>
      <c r="O101" s="10"/>
    </row>
    <row r="102" spans="1:15" x14ac:dyDescent="0.2">
      <c r="A102" s="256" t="s">
        <v>78</v>
      </c>
      <c r="B102" s="256"/>
      <c r="C102" s="256"/>
      <c r="D102" s="256"/>
      <c r="E102" s="256"/>
      <c r="F102" s="256"/>
      <c r="G102" s="256"/>
      <c r="H102" s="256"/>
      <c r="I102" s="256"/>
      <c r="J102" s="10"/>
      <c r="K102" s="10"/>
      <c r="L102" s="10"/>
      <c r="M102" s="10"/>
      <c r="N102" s="10"/>
      <c r="O102" s="10"/>
    </row>
    <row r="103" spans="1:15" x14ac:dyDescent="0.2">
      <c r="A103" s="236" t="s">
        <v>79</v>
      </c>
      <c r="B103" s="236"/>
      <c r="C103" s="236"/>
      <c r="D103" s="236"/>
      <c r="E103" s="236"/>
      <c r="F103" s="236"/>
      <c r="G103" s="236"/>
      <c r="H103" s="236"/>
      <c r="I103" s="36" t="s">
        <v>20</v>
      </c>
      <c r="J103" s="10"/>
      <c r="K103" s="10"/>
      <c r="L103" s="10"/>
      <c r="M103" s="10"/>
      <c r="N103" s="10"/>
      <c r="O103" s="10"/>
    </row>
    <row r="104" spans="1:15" x14ac:dyDescent="0.2">
      <c r="A104" s="36" t="s">
        <v>80</v>
      </c>
      <c r="B104" s="226" t="s">
        <v>70</v>
      </c>
      <c r="C104" s="226"/>
      <c r="D104" s="226"/>
      <c r="E104" s="226"/>
      <c r="F104" s="226"/>
      <c r="G104" s="226"/>
      <c r="H104" s="226"/>
      <c r="I104" s="47">
        <f>I96</f>
        <v>441.7069288582511</v>
      </c>
      <c r="J104" s="10"/>
      <c r="K104" s="10"/>
      <c r="L104" s="10"/>
      <c r="M104" s="10"/>
      <c r="N104" s="10"/>
      <c r="O104" s="10"/>
    </row>
    <row r="105" spans="1:15" x14ac:dyDescent="0.2">
      <c r="A105" s="36" t="s">
        <v>81</v>
      </c>
      <c r="B105" s="226" t="s">
        <v>82</v>
      </c>
      <c r="C105" s="226"/>
      <c r="D105" s="226"/>
      <c r="E105" s="226"/>
      <c r="F105" s="226"/>
      <c r="G105" s="226"/>
      <c r="H105" s="226"/>
      <c r="I105" s="47">
        <f>I100</f>
        <v>0</v>
      </c>
      <c r="J105" s="10"/>
      <c r="K105" s="10"/>
      <c r="L105" s="10"/>
      <c r="M105" s="10"/>
      <c r="N105" s="10"/>
      <c r="O105" s="10"/>
    </row>
    <row r="106" spans="1:15" x14ac:dyDescent="0.2">
      <c r="A106" s="236" t="s">
        <v>83</v>
      </c>
      <c r="B106" s="236"/>
      <c r="C106" s="236"/>
      <c r="D106" s="236"/>
      <c r="E106" s="236"/>
      <c r="F106" s="236"/>
      <c r="G106" s="236"/>
      <c r="H106" s="236"/>
      <c r="I106" s="54">
        <f>SUM(I104:I105)</f>
        <v>441.7069288582511</v>
      </c>
      <c r="J106" s="10"/>
      <c r="K106" s="10"/>
      <c r="L106" s="10"/>
      <c r="M106" s="10"/>
      <c r="N106" s="10"/>
      <c r="O106" s="10"/>
    </row>
    <row r="107" spans="1:15" x14ac:dyDescent="0.2">
      <c r="A107" s="248"/>
      <c r="B107" s="248"/>
      <c r="C107" s="248"/>
      <c r="D107" s="248"/>
      <c r="E107" s="248"/>
      <c r="F107" s="248"/>
      <c r="G107" s="248"/>
      <c r="H107" s="248"/>
      <c r="I107" s="248"/>
      <c r="J107" s="10"/>
      <c r="K107" s="262"/>
      <c r="L107" s="262"/>
      <c r="M107" s="262"/>
      <c r="N107" s="10"/>
      <c r="O107" s="10"/>
    </row>
    <row r="108" spans="1:15" ht="12.75" customHeight="1" x14ac:dyDescent="0.2">
      <c r="A108" s="238" t="s">
        <v>84</v>
      </c>
      <c r="B108" s="238"/>
      <c r="C108" s="238"/>
      <c r="D108" s="238"/>
      <c r="E108" s="238"/>
      <c r="F108" s="238"/>
      <c r="G108" s="238"/>
      <c r="H108" s="238"/>
      <c r="I108" s="238"/>
      <c r="J108" s="10"/>
      <c r="K108" s="263"/>
      <c r="L108" s="263"/>
      <c r="M108" s="263"/>
      <c r="N108" s="10"/>
      <c r="O108" s="10"/>
    </row>
    <row r="109" spans="1:15" x14ac:dyDescent="0.2">
      <c r="A109" s="36">
        <v>5</v>
      </c>
      <c r="B109" s="253" t="s">
        <v>85</v>
      </c>
      <c r="C109" s="260"/>
      <c r="D109" s="260"/>
      <c r="E109" s="260"/>
      <c r="F109" s="260"/>
      <c r="G109" s="260"/>
      <c r="H109" s="264"/>
      <c r="I109" s="36" t="s">
        <v>20</v>
      </c>
      <c r="J109" s="10"/>
      <c r="K109" s="263"/>
      <c r="L109" s="263"/>
      <c r="M109" s="263"/>
      <c r="N109" s="10"/>
      <c r="O109" s="10"/>
    </row>
    <row r="110" spans="1:15" x14ac:dyDescent="0.2">
      <c r="A110" s="36" t="s">
        <v>0</v>
      </c>
      <c r="B110" s="239" t="s">
        <v>86</v>
      </c>
      <c r="C110" s="240"/>
      <c r="D110" s="240"/>
      <c r="E110" s="240"/>
      <c r="F110" s="240"/>
      <c r="G110" s="240"/>
      <c r="H110" s="241"/>
      <c r="I110" s="49">
        <f>Fardamento!R11</f>
        <v>58.107666666666667</v>
      </c>
      <c r="J110" s="259"/>
      <c r="K110" s="8"/>
      <c r="L110" s="8"/>
      <c r="M110" s="8"/>
      <c r="N110" s="10"/>
      <c r="O110" s="10"/>
    </row>
    <row r="111" spans="1:15" x14ac:dyDescent="0.2">
      <c r="A111" s="36" t="s">
        <v>2</v>
      </c>
      <c r="B111" s="239" t="s">
        <v>106</v>
      </c>
      <c r="C111" s="240"/>
      <c r="D111" s="240"/>
      <c r="E111" s="240"/>
      <c r="F111" s="240"/>
      <c r="G111" s="240"/>
      <c r="H111" s="246"/>
      <c r="I111" s="49">
        <v>0</v>
      </c>
      <c r="J111" s="259"/>
      <c r="K111" s="8"/>
      <c r="L111" s="8"/>
      <c r="M111" s="8"/>
      <c r="N111" s="10"/>
      <c r="O111" s="10"/>
    </row>
    <row r="112" spans="1:15" x14ac:dyDescent="0.2">
      <c r="A112" s="55" t="s">
        <v>3</v>
      </c>
      <c r="B112" s="239" t="s">
        <v>108</v>
      </c>
      <c r="C112" s="240"/>
      <c r="D112" s="240"/>
      <c r="E112" s="240"/>
      <c r="F112" s="240"/>
      <c r="G112" s="240"/>
      <c r="H112" s="246"/>
      <c r="I112" s="49">
        <v>0</v>
      </c>
      <c r="J112" s="259"/>
      <c r="K112" s="25"/>
      <c r="L112" s="25"/>
      <c r="M112" s="25"/>
      <c r="N112" s="10"/>
      <c r="O112" s="10"/>
    </row>
    <row r="113" spans="1:16" x14ac:dyDescent="0.2">
      <c r="A113" s="253" t="s">
        <v>87</v>
      </c>
      <c r="B113" s="260"/>
      <c r="C113" s="260"/>
      <c r="D113" s="260"/>
      <c r="E113" s="260"/>
      <c r="F113" s="260"/>
      <c r="G113" s="260"/>
      <c r="H113" s="261"/>
      <c r="I113" s="44">
        <f>TRUNC(SUM(I110:I112),2)</f>
        <v>58.1</v>
      </c>
      <c r="J113" s="2"/>
      <c r="K113" s="1"/>
      <c r="L113" s="1"/>
      <c r="M113" s="1"/>
      <c r="N113" s="10"/>
      <c r="O113" s="10"/>
    </row>
    <row r="114" spans="1:16" x14ac:dyDescent="0.2">
      <c r="A114" s="258"/>
      <c r="B114" s="258"/>
      <c r="C114" s="258"/>
      <c r="D114" s="258"/>
      <c r="E114" s="258"/>
      <c r="F114" s="258"/>
      <c r="G114" s="258"/>
      <c r="H114" s="258"/>
      <c r="I114" s="258"/>
      <c r="J114" s="10"/>
      <c r="K114" s="266"/>
      <c r="L114" s="266"/>
      <c r="M114" s="266"/>
      <c r="N114" s="10"/>
      <c r="O114" s="10"/>
    </row>
    <row r="115" spans="1:16" x14ac:dyDescent="0.2">
      <c r="A115" s="238" t="s">
        <v>88</v>
      </c>
      <c r="B115" s="238"/>
      <c r="C115" s="238"/>
      <c r="D115" s="238"/>
      <c r="E115" s="238"/>
      <c r="F115" s="238"/>
      <c r="G115" s="238"/>
      <c r="H115" s="238"/>
      <c r="I115" s="238"/>
      <c r="J115" s="10"/>
      <c r="K115" s="267"/>
      <c r="L115" s="267"/>
      <c r="M115" s="267"/>
      <c r="N115" s="10"/>
      <c r="O115" s="10"/>
    </row>
    <row r="116" spans="1:16" x14ac:dyDescent="0.2">
      <c r="A116" s="36">
        <v>6</v>
      </c>
      <c r="B116" s="236" t="s">
        <v>89</v>
      </c>
      <c r="C116" s="236"/>
      <c r="D116" s="236"/>
      <c r="E116" s="236"/>
      <c r="F116" s="236"/>
      <c r="G116" s="236"/>
      <c r="H116" s="36" t="s">
        <v>19</v>
      </c>
      <c r="I116" s="36" t="s">
        <v>20</v>
      </c>
      <c r="J116" s="10"/>
      <c r="K116" s="267"/>
      <c r="L116" s="267"/>
      <c r="M116" s="267"/>
      <c r="N116" s="10"/>
      <c r="O116" s="10"/>
    </row>
    <row r="117" spans="1:16" x14ac:dyDescent="0.2">
      <c r="A117" s="36" t="s">
        <v>0</v>
      </c>
      <c r="B117" s="226" t="s">
        <v>90</v>
      </c>
      <c r="C117" s="226"/>
      <c r="D117" s="226"/>
      <c r="E117" s="226"/>
      <c r="F117" s="226"/>
      <c r="G117" s="226"/>
      <c r="H117" s="46">
        <v>0.05</v>
      </c>
      <c r="I117" s="56">
        <f>H117*I133</f>
        <v>252.09754773853666</v>
      </c>
      <c r="J117" s="2"/>
    </row>
    <row r="118" spans="1:16" ht="12.75" customHeight="1" x14ac:dyDescent="0.2">
      <c r="A118" s="36" t="s">
        <v>2</v>
      </c>
      <c r="B118" s="226" t="s">
        <v>91</v>
      </c>
      <c r="C118" s="226"/>
      <c r="D118" s="226"/>
      <c r="E118" s="226"/>
      <c r="F118" s="226"/>
      <c r="G118" s="226"/>
      <c r="H118" s="46">
        <v>0.1</v>
      </c>
      <c r="I118" s="56">
        <f>H118*(I117+I133)</f>
        <v>529.40485025092698</v>
      </c>
      <c r="J118" s="2"/>
    </row>
    <row r="119" spans="1:16" x14ac:dyDescent="0.2">
      <c r="A119" s="36" t="s">
        <v>3</v>
      </c>
      <c r="B119" s="265" t="s">
        <v>92</v>
      </c>
      <c r="C119" s="265"/>
      <c r="D119" s="265"/>
      <c r="E119" s="265"/>
      <c r="F119" s="265"/>
      <c r="G119" s="265"/>
      <c r="H119" s="39"/>
      <c r="I119" s="57"/>
      <c r="J119" s="10"/>
    </row>
    <row r="120" spans="1:16" x14ac:dyDescent="0.2">
      <c r="A120" s="36" t="s">
        <v>93</v>
      </c>
      <c r="B120" s="226" t="s">
        <v>94</v>
      </c>
      <c r="C120" s="226"/>
      <c r="D120" s="226"/>
      <c r="E120" s="226"/>
      <c r="F120" s="226"/>
      <c r="G120" s="226"/>
      <c r="H120" s="39">
        <v>6.4999999999999997E-3</v>
      </c>
      <c r="I120" s="38">
        <f>H120*(I$133+I$117+I$118)/(1-SUM(H$120:H$123))</f>
        <v>42.698755547593088</v>
      </c>
      <c r="J120" s="10"/>
    </row>
    <row r="121" spans="1:16" x14ac:dyDescent="0.2">
      <c r="A121" s="36" t="s">
        <v>95</v>
      </c>
      <c r="B121" s="226" t="s">
        <v>96</v>
      </c>
      <c r="C121" s="226"/>
      <c r="D121" s="226"/>
      <c r="E121" s="226"/>
      <c r="F121" s="226"/>
      <c r="G121" s="226"/>
      <c r="H121" s="39">
        <v>0.03</v>
      </c>
      <c r="I121" s="38">
        <f>H121*(I$133+I$117+I$118)/(1-SUM(H$120:H$123))</f>
        <v>197.07117945042964</v>
      </c>
      <c r="J121" s="10"/>
    </row>
    <row r="122" spans="1:16" x14ac:dyDescent="0.2">
      <c r="A122" s="36" t="s">
        <v>97</v>
      </c>
      <c r="B122" s="226" t="s">
        <v>98</v>
      </c>
      <c r="C122" s="226"/>
      <c r="D122" s="226"/>
      <c r="E122" s="226"/>
      <c r="F122" s="226"/>
      <c r="G122" s="226"/>
      <c r="H122" s="39">
        <v>0.05</v>
      </c>
      <c r="I122" s="38">
        <f t="shared" ref="I122" si="2">H122*(I$133+I$117+I$118)/(1-SUM(H$120:H$123))</f>
        <v>328.45196575071611</v>
      </c>
      <c r="J122" s="10"/>
    </row>
    <row r="123" spans="1:16" x14ac:dyDescent="0.2">
      <c r="A123" s="36" t="s">
        <v>109</v>
      </c>
      <c r="B123" s="239" t="s">
        <v>110</v>
      </c>
      <c r="C123" s="240"/>
      <c r="D123" s="240"/>
      <c r="E123" s="240"/>
      <c r="F123" s="240"/>
      <c r="G123" s="241"/>
      <c r="H123" s="67">
        <v>2.7E-2</v>
      </c>
      <c r="I123" s="38">
        <f>H123*(I$133+I$117+I$118)/(1-SUM(H$120:H$123))</f>
        <v>177.36406150538667</v>
      </c>
      <c r="J123" s="107"/>
    </row>
    <row r="124" spans="1:16" ht="12.75" customHeight="1" x14ac:dyDescent="0.2">
      <c r="A124" s="236" t="s">
        <v>99</v>
      </c>
      <c r="B124" s="236"/>
      <c r="C124" s="236"/>
      <c r="D124" s="236"/>
      <c r="E124" s="236"/>
      <c r="F124" s="236"/>
      <c r="G124" s="236"/>
      <c r="H124" s="39">
        <f>SUM(H117:H123)</f>
        <v>0.26350000000000007</v>
      </c>
      <c r="I124" s="40">
        <f>SUM(I117:I123)</f>
        <v>1527.088360243589</v>
      </c>
    </row>
    <row r="125" spans="1:16" x14ac:dyDescent="0.2">
      <c r="A125" s="32"/>
      <c r="B125" s="32"/>
      <c r="C125" s="32"/>
      <c r="D125" s="32"/>
      <c r="E125" s="32"/>
      <c r="F125" s="32"/>
      <c r="G125" s="32"/>
      <c r="H125" s="32"/>
      <c r="I125" s="42"/>
      <c r="J125" s="4"/>
      <c r="K125" s="3"/>
      <c r="L125" s="3"/>
      <c r="M125" s="3"/>
      <c r="N125" s="3"/>
      <c r="O125" s="3"/>
      <c r="P125" s="3"/>
    </row>
    <row r="126" spans="1:16" x14ac:dyDescent="0.2">
      <c r="A126" s="225" t="s">
        <v>100</v>
      </c>
      <c r="B126" s="225"/>
      <c r="C126" s="225"/>
      <c r="D126" s="225"/>
      <c r="E126" s="225"/>
      <c r="F126" s="225"/>
      <c r="G126" s="225"/>
      <c r="H126" s="225"/>
      <c r="I126" s="225"/>
      <c r="J126" s="15"/>
      <c r="K126" s="3"/>
      <c r="L126" s="3"/>
      <c r="M126" s="3"/>
      <c r="N126" s="3"/>
      <c r="O126" s="3"/>
      <c r="P126" s="3"/>
    </row>
    <row r="127" spans="1:16" x14ac:dyDescent="0.2">
      <c r="A127" s="236" t="s">
        <v>101</v>
      </c>
      <c r="B127" s="236"/>
      <c r="C127" s="236"/>
      <c r="D127" s="236"/>
      <c r="E127" s="236"/>
      <c r="F127" s="236"/>
      <c r="G127" s="236"/>
      <c r="H127" s="236"/>
      <c r="I127" s="36" t="s">
        <v>20</v>
      </c>
      <c r="J127" s="4"/>
      <c r="K127" s="3"/>
      <c r="L127" s="3"/>
      <c r="M127" s="3"/>
      <c r="N127" s="3"/>
      <c r="O127" s="3"/>
      <c r="P127" s="3"/>
    </row>
    <row r="128" spans="1:16" x14ac:dyDescent="0.2">
      <c r="A128" s="29" t="s">
        <v>0</v>
      </c>
      <c r="B128" s="226" t="str">
        <f>A31</f>
        <v>MÓDULO 1 - COMPOSIÇÃO DA REMUNERAÇÃO</v>
      </c>
      <c r="C128" s="226"/>
      <c r="D128" s="226"/>
      <c r="E128" s="226"/>
      <c r="F128" s="226"/>
      <c r="G128" s="226"/>
      <c r="H128" s="226"/>
      <c r="I128" s="38">
        <f>I41</f>
        <v>2629.3435680000002</v>
      </c>
      <c r="J128" s="4"/>
      <c r="K128" s="3"/>
      <c r="L128" s="3"/>
      <c r="M128" s="3"/>
      <c r="N128" s="3"/>
      <c r="O128" s="3"/>
      <c r="P128" s="3"/>
    </row>
    <row r="129" spans="1:16" x14ac:dyDescent="0.2">
      <c r="A129" s="29" t="s">
        <v>2</v>
      </c>
      <c r="B129" s="226" t="str">
        <f>A43</f>
        <v>MÓDULO 2 – ENCARGOS E BENEFÍCIOS ANUAIS, MENSAIS E DIÁRIOS</v>
      </c>
      <c r="C129" s="226"/>
      <c r="D129" s="226"/>
      <c r="E129" s="226"/>
      <c r="F129" s="226"/>
      <c r="G129" s="226"/>
      <c r="H129" s="226"/>
      <c r="I129" s="38">
        <f>I72</f>
        <v>1744.0550307039489</v>
      </c>
      <c r="J129" s="4"/>
      <c r="K129" s="3"/>
      <c r="L129" s="3"/>
      <c r="M129" s="3"/>
      <c r="N129" s="3"/>
      <c r="O129" s="3"/>
      <c r="P129" s="3"/>
    </row>
    <row r="130" spans="1:16" x14ac:dyDescent="0.2">
      <c r="A130" s="29" t="s">
        <v>3</v>
      </c>
      <c r="B130" s="226" t="str">
        <f>A74</f>
        <v>MÓDULO 3 – PROVISÃO PARA RESCISÃO</v>
      </c>
      <c r="C130" s="226"/>
      <c r="D130" s="226"/>
      <c r="E130" s="226"/>
      <c r="F130" s="226"/>
      <c r="G130" s="226"/>
      <c r="H130" s="226"/>
      <c r="I130" s="38">
        <f>I82</f>
        <v>168.74542720853336</v>
      </c>
      <c r="J130" s="15"/>
      <c r="K130" s="3"/>
      <c r="L130" s="3"/>
      <c r="M130" s="3"/>
      <c r="N130" s="3"/>
      <c r="O130" s="3"/>
      <c r="P130" s="3"/>
    </row>
    <row r="131" spans="1:16" x14ac:dyDescent="0.2">
      <c r="A131" s="29" t="s">
        <v>5</v>
      </c>
      <c r="B131" s="226" t="str">
        <f>A84</f>
        <v>MÓDULO 4 – CUSTO DE REPOSIÇÃO DO PROFISSIONAL AUSENTE</v>
      </c>
      <c r="C131" s="226"/>
      <c r="D131" s="226"/>
      <c r="E131" s="226"/>
      <c r="F131" s="226"/>
      <c r="G131" s="226"/>
      <c r="H131" s="226"/>
      <c r="I131" s="38">
        <f>I106</f>
        <v>441.7069288582511</v>
      </c>
      <c r="J131" s="15"/>
      <c r="K131" s="3"/>
      <c r="L131" s="3"/>
      <c r="M131" s="3"/>
      <c r="N131" s="3"/>
      <c r="O131" s="3"/>
      <c r="P131" s="3"/>
    </row>
    <row r="132" spans="1:16" x14ac:dyDescent="0.2">
      <c r="A132" s="29" t="s">
        <v>25</v>
      </c>
      <c r="B132" s="226" t="str">
        <f>A108</f>
        <v>MÓDULO 5 – INSUMOS DIVERSOS</v>
      </c>
      <c r="C132" s="226"/>
      <c r="D132" s="226"/>
      <c r="E132" s="226"/>
      <c r="F132" s="226"/>
      <c r="G132" s="226"/>
      <c r="H132" s="226"/>
      <c r="I132" s="38">
        <f>I113</f>
        <v>58.1</v>
      </c>
      <c r="J132" s="4"/>
      <c r="K132" s="3"/>
      <c r="L132" s="3"/>
      <c r="M132" s="3"/>
      <c r="N132" s="3"/>
      <c r="O132" s="3"/>
      <c r="P132" s="3"/>
    </row>
    <row r="133" spans="1:16" x14ac:dyDescent="0.2">
      <c r="A133" s="36"/>
      <c r="B133" s="236" t="s">
        <v>102</v>
      </c>
      <c r="C133" s="236"/>
      <c r="D133" s="236"/>
      <c r="E133" s="236"/>
      <c r="F133" s="236"/>
      <c r="G133" s="236"/>
      <c r="H133" s="236"/>
      <c r="I133" s="40">
        <f>SUM(I128:I132)</f>
        <v>5041.950954770733</v>
      </c>
      <c r="J133" s="14"/>
      <c r="K133" s="3"/>
      <c r="L133" s="3"/>
      <c r="M133" s="3"/>
      <c r="N133" s="3"/>
      <c r="O133" s="3"/>
      <c r="P133" s="3"/>
    </row>
    <row r="134" spans="1:16" x14ac:dyDescent="0.2">
      <c r="A134" s="29" t="s">
        <v>27</v>
      </c>
      <c r="B134" s="226" t="str">
        <f>A115</f>
        <v>MÓDULO 6 – CUSTOS INDIRETOS, TRIBUTOS E LUCRO</v>
      </c>
      <c r="C134" s="226"/>
      <c r="D134" s="226"/>
      <c r="E134" s="226"/>
      <c r="F134" s="226"/>
      <c r="G134" s="226"/>
      <c r="H134" s="226"/>
      <c r="I134" s="38">
        <f>I124</f>
        <v>1527.088360243589</v>
      </c>
      <c r="J134" s="4"/>
      <c r="K134" s="3"/>
      <c r="L134" s="3"/>
      <c r="M134" s="3"/>
      <c r="N134" s="3"/>
      <c r="O134" s="3"/>
      <c r="P134" s="3"/>
    </row>
    <row r="135" spans="1:16" ht="15.75" x14ac:dyDescent="0.2">
      <c r="A135" s="268" t="s">
        <v>103</v>
      </c>
      <c r="B135" s="268"/>
      <c r="C135" s="268"/>
      <c r="D135" s="268"/>
      <c r="E135" s="268"/>
      <c r="F135" s="268"/>
      <c r="G135" s="268"/>
      <c r="H135" s="268"/>
      <c r="I135" s="103">
        <f>ROUND(SUM(I133:I134),2)</f>
        <v>6569.04</v>
      </c>
      <c r="J135" s="4"/>
      <c r="K135" s="3"/>
      <c r="L135" s="3"/>
      <c r="M135" s="3"/>
      <c r="N135" s="3"/>
      <c r="O135" s="3"/>
      <c r="P135" s="3"/>
    </row>
  </sheetData>
  <mergeCells count="143">
    <mergeCell ref="A65:H65"/>
    <mergeCell ref="A66:I66"/>
    <mergeCell ref="A67:I67"/>
    <mergeCell ref="A68:H68"/>
    <mergeCell ref="B64:H64"/>
    <mergeCell ref="A43:I43"/>
    <mergeCell ref="A44:G44"/>
    <mergeCell ref="B54:G54"/>
    <mergeCell ref="B55:G55"/>
    <mergeCell ref="B56:G56"/>
    <mergeCell ref="B57:G57"/>
    <mergeCell ref="A58:G58"/>
    <mergeCell ref="A59:I59"/>
    <mergeCell ref="A60:G60"/>
    <mergeCell ref="A47:G47"/>
    <mergeCell ref="A48:I48"/>
    <mergeCell ref="B53:G53"/>
    <mergeCell ref="B45:G45"/>
    <mergeCell ref="B46:G46"/>
    <mergeCell ref="B63:H63"/>
    <mergeCell ref="A1:I1"/>
    <mergeCell ref="A3:I3"/>
    <mergeCell ref="N52:N53"/>
    <mergeCell ref="P52:P53"/>
    <mergeCell ref="M52:M53"/>
    <mergeCell ref="K25:N25"/>
    <mergeCell ref="B26:H26"/>
    <mergeCell ref="B27:H27"/>
    <mergeCell ref="B35:G35"/>
    <mergeCell ref="B40:G40"/>
    <mergeCell ref="B28:H28"/>
    <mergeCell ref="A30:I30"/>
    <mergeCell ref="A31:I31"/>
    <mergeCell ref="B32:G32"/>
    <mergeCell ref="B33:G33"/>
    <mergeCell ref="B34:G34"/>
    <mergeCell ref="B36:G36"/>
    <mergeCell ref="B37:G37"/>
    <mergeCell ref="B38:G38"/>
    <mergeCell ref="A13:I13"/>
    <mergeCell ref="B14:H14"/>
    <mergeCell ref="B15:H15"/>
    <mergeCell ref="B16:H16"/>
    <mergeCell ref="A23:I23"/>
    <mergeCell ref="A92:G92"/>
    <mergeCell ref="B70:H70"/>
    <mergeCell ref="B71:H71"/>
    <mergeCell ref="A72:H72"/>
    <mergeCell ref="A73:I73"/>
    <mergeCell ref="B81:G81"/>
    <mergeCell ref="A82:G82"/>
    <mergeCell ref="A83:I83"/>
    <mergeCell ref="A84:I84"/>
    <mergeCell ref="B75:G75"/>
    <mergeCell ref="B76:G76"/>
    <mergeCell ref="B77:G77"/>
    <mergeCell ref="B78:G78"/>
    <mergeCell ref="B79:G79"/>
    <mergeCell ref="B80:G80"/>
    <mergeCell ref="A74:I74"/>
    <mergeCell ref="A85:G85"/>
    <mergeCell ref="B86:G86"/>
    <mergeCell ref="B87:G87"/>
    <mergeCell ref="B88:G88"/>
    <mergeCell ref="K114:M114"/>
    <mergeCell ref="A115:I115"/>
    <mergeCell ref="K115:K116"/>
    <mergeCell ref="L115:L116"/>
    <mergeCell ref="M115:M116"/>
    <mergeCell ref="B116:G116"/>
    <mergeCell ref="A108:I108"/>
    <mergeCell ref="K108:M109"/>
    <mergeCell ref="A103:H103"/>
    <mergeCell ref="B104:H104"/>
    <mergeCell ref="B105:H105"/>
    <mergeCell ref="A106:H106"/>
    <mergeCell ref="A107:I107"/>
    <mergeCell ref="K107:M107"/>
    <mergeCell ref="J110:J112"/>
    <mergeCell ref="B110:H110"/>
    <mergeCell ref="B111:H111"/>
    <mergeCell ref="B112:H112"/>
    <mergeCell ref="A113:H113"/>
    <mergeCell ref="B109:H109"/>
    <mergeCell ref="B134:H134"/>
    <mergeCell ref="A135:H135"/>
    <mergeCell ref="A127:H127"/>
    <mergeCell ref="B128:H128"/>
    <mergeCell ref="B129:H129"/>
    <mergeCell ref="B130:H130"/>
    <mergeCell ref="B131:H131"/>
    <mergeCell ref="B132:H132"/>
    <mergeCell ref="B123:G123"/>
    <mergeCell ref="A126:I126"/>
    <mergeCell ref="A124:G124"/>
    <mergeCell ref="C21:D21"/>
    <mergeCell ref="E21:I21"/>
    <mergeCell ref="A96:G96"/>
    <mergeCell ref="B93:G93"/>
    <mergeCell ref="A94:G94"/>
    <mergeCell ref="B95:G95"/>
    <mergeCell ref="B133:H133"/>
    <mergeCell ref="B120:G120"/>
    <mergeCell ref="B121:G121"/>
    <mergeCell ref="B122:G122"/>
    <mergeCell ref="B117:G117"/>
    <mergeCell ref="B118:G118"/>
    <mergeCell ref="B119:G119"/>
    <mergeCell ref="A114:I114"/>
    <mergeCell ref="A97:I97"/>
    <mergeCell ref="A98:G98"/>
    <mergeCell ref="B99:G99"/>
    <mergeCell ref="A100:G100"/>
    <mergeCell ref="A101:I101"/>
    <mergeCell ref="A102:I102"/>
    <mergeCell ref="B69:H69"/>
    <mergeCell ref="B89:G89"/>
    <mergeCell ref="B90:G90"/>
    <mergeCell ref="B91:G91"/>
    <mergeCell ref="G6:H6"/>
    <mergeCell ref="H7:I7"/>
    <mergeCell ref="A4:I4"/>
    <mergeCell ref="B61:H61"/>
    <mergeCell ref="B62:H62"/>
    <mergeCell ref="A41:H41"/>
    <mergeCell ref="B52:G52"/>
    <mergeCell ref="A49:G49"/>
    <mergeCell ref="B50:G50"/>
    <mergeCell ref="B51:G51"/>
    <mergeCell ref="B29:H29"/>
    <mergeCell ref="B39:G39"/>
    <mergeCell ref="A8:I8"/>
    <mergeCell ref="A9:I9"/>
    <mergeCell ref="A11:I11"/>
    <mergeCell ref="A10:I10"/>
    <mergeCell ref="B24:H24"/>
    <mergeCell ref="B25:H25"/>
    <mergeCell ref="B17:H17"/>
    <mergeCell ref="A19:I19"/>
    <mergeCell ref="A20:B20"/>
    <mergeCell ref="C20:D20"/>
    <mergeCell ref="E20:I20"/>
    <mergeCell ref="A21:B21"/>
  </mergeCells>
  <pageMargins left="0.51181102362204722" right="0.51181102362204722" top="0.78740157480314965" bottom="0.78740157480314965" header="0.31496062992125984" footer="0.31496062992125984"/>
  <pageSetup paperSize="9" scale="78" fitToHeight="0" orientation="portrait" r:id="rId1"/>
  <rowBreaks count="1" manualBreakCount="1">
    <brk id="10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02B88-2A94-46F9-A03E-B1BB113A39F5}">
  <sheetPr>
    <tabColor theme="5" tint="0.79998168889431442"/>
  </sheetPr>
  <dimension ref="A3:H29"/>
  <sheetViews>
    <sheetView showGridLines="0" zoomScaleNormal="100" workbookViewId="0">
      <selection activeCell="C24" sqref="C24"/>
    </sheetView>
  </sheetViews>
  <sheetFormatPr defaultRowHeight="12.75" x14ac:dyDescent="0.2"/>
  <cols>
    <col min="1" max="1" width="29.5703125" customWidth="1"/>
    <col min="2" max="2" width="28" customWidth="1"/>
    <col min="3" max="3" width="23.42578125" customWidth="1"/>
    <col min="4" max="4" width="28.7109375" customWidth="1"/>
    <col min="5" max="5" width="10.42578125" customWidth="1"/>
    <col min="6" max="8" width="9.140625" customWidth="1"/>
  </cols>
  <sheetData>
    <row r="3" spans="1:8" x14ac:dyDescent="0.2">
      <c r="A3" s="227" t="s">
        <v>122</v>
      </c>
      <c r="B3" s="227"/>
      <c r="C3" s="227"/>
      <c r="D3" s="227"/>
      <c r="E3" s="27"/>
      <c r="F3" s="27"/>
      <c r="G3" s="27"/>
      <c r="H3" s="27"/>
    </row>
    <row r="4" spans="1:8" x14ac:dyDescent="0.2">
      <c r="A4" s="227" t="s">
        <v>123</v>
      </c>
      <c r="B4" s="227"/>
      <c r="C4" s="227"/>
      <c r="D4" s="227"/>
      <c r="E4" s="27"/>
      <c r="F4" s="27"/>
      <c r="G4" s="27"/>
      <c r="H4" s="27"/>
    </row>
    <row r="8" spans="1:8" ht="15" x14ac:dyDescent="0.2">
      <c r="A8" s="274" t="s">
        <v>168</v>
      </c>
      <c r="B8" s="274"/>
      <c r="C8" s="274"/>
      <c r="D8" s="274"/>
      <c r="E8" s="96"/>
      <c r="F8" s="96"/>
      <c r="G8" s="96"/>
      <c r="H8" s="96"/>
    </row>
    <row r="9" spans="1:8" ht="15" x14ac:dyDescent="0.2">
      <c r="A9" s="76"/>
      <c r="B9" s="76"/>
      <c r="C9" s="76"/>
      <c r="D9" s="76"/>
      <c r="E9" s="76"/>
      <c r="F9" s="76"/>
      <c r="G9" s="76"/>
      <c r="H9" s="76"/>
    </row>
    <row r="10" spans="1:8" x14ac:dyDescent="0.2">
      <c r="A10" s="26"/>
      <c r="B10" s="26"/>
      <c r="C10" s="26"/>
      <c r="D10" s="26"/>
      <c r="E10" s="26"/>
      <c r="F10" s="26"/>
      <c r="G10" s="26"/>
    </row>
    <row r="11" spans="1:8" ht="15.75" x14ac:dyDescent="0.2">
      <c r="A11" s="271" t="s">
        <v>141</v>
      </c>
      <c r="B11" s="272"/>
      <c r="C11" s="273"/>
      <c r="D11" s="74">
        <v>36</v>
      </c>
      <c r="F11" s="79"/>
      <c r="G11" s="79"/>
      <c r="H11" s="80"/>
    </row>
    <row r="12" spans="1:8" x14ac:dyDescent="0.2">
      <c r="A12" s="77"/>
      <c r="B12" s="77"/>
      <c r="C12" s="77"/>
      <c r="D12" s="77"/>
      <c r="E12" s="77"/>
      <c r="F12" s="77"/>
      <c r="G12" s="26"/>
    </row>
    <row r="13" spans="1:8" x14ac:dyDescent="0.2">
      <c r="A13" s="71"/>
      <c r="B13" s="71"/>
      <c r="C13" s="71"/>
      <c r="D13" s="71"/>
    </row>
    <row r="14" spans="1:8" ht="15.75" x14ac:dyDescent="0.2">
      <c r="A14" s="146" t="s">
        <v>169</v>
      </c>
      <c r="B14" s="146" t="s">
        <v>170</v>
      </c>
      <c r="C14" s="146" t="s">
        <v>171</v>
      </c>
      <c r="D14" s="146" t="s">
        <v>172</v>
      </c>
      <c r="E14" s="94"/>
      <c r="F14" s="89"/>
      <c r="G14" s="89"/>
      <c r="H14" s="89"/>
    </row>
    <row r="15" spans="1:8" x14ac:dyDescent="0.2">
      <c r="A15" s="82" t="s">
        <v>173</v>
      </c>
      <c r="B15" s="74">
        <v>8</v>
      </c>
      <c r="C15" s="74">
        <v>4</v>
      </c>
      <c r="D15" s="78">
        <f>B15*C15</f>
        <v>32</v>
      </c>
      <c r="E15" s="95"/>
      <c r="F15" s="90"/>
      <c r="G15" s="90"/>
      <c r="H15" s="91"/>
    </row>
    <row r="16" spans="1:8" x14ac:dyDescent="0.2">
      <c r="A16" s="82" t="s">
        <v>179</v>
      </c>
      <c r="B16" s="74">
        <v>8</v>
      </c>
      <c r="C16" s="74">
        <v>5</v>
      </c>
      <c r="D16" s="78">
        <f>B16*C16</f>
        <v>40</v>
      </c>
      <c r="E16" s="95"/>
      <c r="F16" s="90"/>
      <c r="G16" s="90"/>
      <c r="H16" s="91"/>
    </row>
    <row r="17" spans="1:8" ht="15.75" x14ac:dyDescent="0.2">
      <c r="A17" s="270" t="s">
        <v>174</v>
      </c>
      <c r="B17" s="270"/>
      <c r="C17" s="270"/>
      <c r="D17" s="147">
        <f>SUM(D15:D16)</f>
        <v>72</v>
      </c>
      <c r="E17" s="92"/>
      <c r="F17" s="93"/>
      <c r="G17" s="93"/>
      <c r="H17" s="93"/>
    </row>
    <row r="18" spans="1:8" x14ac:dyDescent="0.2">
      <c r="A18" s="211" t="s">
        <v>175</v>
      </c>
      <c r="B18" s="211"/>
      <c r="C18" s="211"/>
      <c r="D18" s="74">
        <v>4</v>
      </c>
    </row>
    <row r="19" spans="1:8" ht="15.75" customHeight="1" x14ac:dyDescent="0.2">
      <c r="A19" s="270" t="s">
        <v>176</v>
      </c>
      <c r="B19" s="270"/>
      <c r="C19" s="270"/>
      <c r="D19" s="147">
        <f>ROUND(D17/D18,2)</f>
        <v>18</v>
      </c>
      <c r="E19" s="71"/>
      <c r="F19" s="71"/>
      <c r="G19" s="71"/>
      <c r="H19" s="71"/>
    </row>
    <row r="20" spans="1:8" ht="12.75" customHeight="1" x14ac:dyDescent="0.2">
      <c r="A20" s="91"/>
      <c r="B20" s="91"/>
      <c r="C20" s="91"/>
      <c r="D20" s="98"/>
      <c r="E20" s="71"/>
      <c r="F20" s="71"/>
      <c r="G20" s="71"/>
      <c r="H20" s="71"/>
    </row>
    <row r="21" spans="1:8" ht="12.75" customHeight="1" x14ac:dyDescent="0.2">
      <c r="A21" s="91"/>
      <c r="B21" s="91"/>
      <c r="C21" s="91"/>
      <c r="D21" s="98"/>
      <c r="E21" s="71"/>
      <c r="F21" s="71"/>
      <c r="G21" s="71"/>
      <c r="H21" s="71"/>
    </row>
    <row r="22" spans="1:8" x14ac:dyDescent="0.2">
      <c r="A22" s="71"/>
      <c r="B22" s="71"/>
      <c r="C22" s="71"/>
      <c r="D22" s="71"/>
      <c r="E22" s="71"/>
      <c r="F22" s="71"/>
      <c r="G22" s="71"/>
      <c r="H22" s="71"/>
    </row>
    <row r="23" spans="1:8" x14ac:dyDescent="0.2">
      <c r="A23" s="71"/>
      <c r="B23" s="71"/>
      <c r="C23" s="71"/>
      <c r="D23" s="71"/>
    </row>
    <row r="24" spans="1:8" ht="22.5" customHeight="1" x14ac:dyDescent="0.2">
      <c r="A24" s="146" t="s">
        <v>178</v>
      </c>
      <c r="B24" s="146" t="s">
        <v>177</v>
      </c>
      <c r="C24" s="146" t="s">
        <v>289</v>
      </c>
      <c r="D24" s="101"/>
    </row>
    <row r="25" spans="1:8" ht="25.5" x14ac:dyDescent="0.2">
      <c r="A25" s="82" t="s">
        <v>244</v>
      </c>
      <c r="B25" s="100">
        <f>SUM('Téc. Suporte N1-N2 (Supervisão)'!I33,'Téc. Suporte N1-N2 (Supervisão)'!I40)/220/3</f>
        <v>4.3719523333333337</v>
      </c>
      <c r="C25" s="162">
        <f>B25*D$19</f>
        <v>78.695142000000004</v>
      </c>
      <c r="D25" s="102"/>
    </row>
    <row r="26" spans="1:8" ht="21.75" customHeight="1" x14ac:dyDescent="0.2">
      <c r="A26" s="74" t="s">
        <v>180</v>
      </c>
      <c r="B26" s="100">
        <f>SUM('Técnico Suporte N1-N2'!I33,'Técnico Suporte N1-N2'!I40)/220/3</f>
        <v>3.857605</v>
      </c>
      <c r="C26" s="162">
        <f>B26*D$19</f>
        <v>69.436890000000005</v>
      </c>
      <c r="D26" s="102"/>
    </row>
    <row r="27" spans="1:8" x14ac:dyDescent="0.2">
      <c r="A27" s="97"/>
      <c r="B27" s="97"/>
      <c r="C27" s="97"/>
      <c r="D27" s="97"/>
    </row>
    <row r="28" spans="1:8" x14ac:dyDescent="0.2">
      <c r="A28" s="97" t="s">
        <v>243</v>
      </c>
      <c r="B28" s="97"/>
      <c r="C28" s="97"/>
      <c r="D28" s="97"/>
    </row>
    <row r="29" spans="1:8" x14ac:dyDescent="0.2">
      <c r="A29" s="97" t="s">
        <v>290</v>
      </c>
      <c r="B29" s="97"/>
      <c r="C29" s="97"/>
      <c r="D29" s="97"/>
    </row>
  </sheetData>
  <mergeCells count="7">
    <mergeCell ref="A4:D4"/>
    <mergeCell ref="A3:D3"/>
    <mergeCell ref="A17:C17"/>
    <mergeCell ref="A18:C18"/>
    <mergeCell ref="A19:C19"/>
    <mergeCell ref="A11:C11"/>
    <mergeCell ref="A8:D8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01B5E-B5C2-4357-B6B2-AB37C2A60510}">
  <sheetPr>
    <tabColor theme="5" tint="0.79998168889431442"/>
  </sheetPr>
  <dimension ref="A3:S31"/>
  <sheetViews>
    <sheetView showGridLines="0" zoomScaleNormal="100" workbookViewId="0">
      <selection activeCell="H15" sqref="H15"/>
    </sheetView>
  </sheetViews>
  <sheetFormatPr defaultRowHeight="12.75" x14ac:dyDescent="0.2"/>
  <cols>
    <col min="1" max="1" width="25.7109375" customWidth="1"/>
    <col min="2" max="2" width="25.42578125" customWidth="1"/>
    <col min="3" max="3" width="14.85546875" customWidth="1"/>
    <col min="4" max="4" width="13.85546875" customWidth="1"/>
    <col min="5" max="5" width="11.42578125" bestFit="1" customWidth="1"/>
    <col min="6" max="6" width="9.7109375" bestFit="1" customWidth="1"/>
    <col min="7" max="7" width="11.140625" customWidth="1"/>
    <col min="8" max="8" width="15.140625" customWidth="1"/>
    <col min="9" max="9" width="15.28515625" customWidth="1"/>
    <col min="10" max="13" width="11.140625" customWidth="1"/>
    <col min="14" max="16" width="15.28515625" customWidth="1"/>
    <col min="17" max="18" width="13.28515625" bestFit="1" customWidth="1"/>
    <col min="19" max="19" width="17.140625" customWidth="1"/>
  </cols>
  <sheetData>
    <row r="3" spans="1:19" x14ac:dyDescent="0.2">
      <c r="A3" s="227" t="s">
        <v>122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</row>
    <row r="4" spans="1:19" x14ac:dyDescent="0.2">
      <c r="A4" s="227" t="s">
        <v>123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</row>
    <row r="8" spans="1:19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9" ht="15.75" customHeight="1" x14ac:dyDescent="0.2">
      <c r="A9" s="277" t="s">
        <v>141</v>
      </c>
      <c r="B9" s="277"/>
      <c r="C9" s="277"/>
      <c r="D9" s="74">
        <v>36</v>
      </c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99"/>
      <c r="R9" s="99"/>
      <c r="S9" s="80"/>
    </row>
    <row r="10" spans="1:19" x14ac:dyDescent="0.2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26"/>
    </row>
    <row r="11" spans="1:19" x14ac:dyDescent="0.2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26"/>
    </row>
    <row r="12" spans="1:19" ht="15.75" x14ac:dyDescent="0.2">
      <c r="A12" s="210" t="s">
        <v>245</v>
      </c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19" x14ac:dyDescent="0.2">
      <c r="A13" s="278" t="s">
        <v>147</v>
      </c>
      <c r="B13" s="278"/>
      <c r="C13" s="278"/>
      <c r="D13" s="278"/>
      <c r="E13" s="148">
        <v>1</v>
      </c>
      <c r="F13" s="148">
        <v>2</v>
      </c>
      <c r="G13" s="148">
        <v>3</v>
      </c>
      <c r="H13" s="148">
        <v>4</v>
      </c>
      <c r="I13" s="148">
        <v>5</v>
      </c>
      <c r="J13" s="148">
        <v>6</v>
      </c>
      <c r="K13" s="148">
        <v>7</v>
      </c>
      <c r="L13" s="148">
        <v>8</v>
      </c>
      <c r="M13" s="148">
        <v>9</v>
      </c>
      <c r="N13" s="148">
        <v>10</v>
      </c>
      <c r="O13" s="148">
        <v>11</v>
      </c>
      <c r="P13" s="148">
        <v>12</v>
      </c>
      <c r="Q13" s="148">
        <v>13</v>
      </c>
      <c r="R13" s="148">
        <v>14</v>
      </c>
      <c r="S13" s="148">
        <v>15</v>
      </c>
    </row>
    <row r="14" spans="1:19" ht="26.25" thickBot="1" x14ac:dyDescent="0.25">
      <c r="A14" s="146" t="s">
        <v>131</v>
      </c>
      <c r="B14" s="146" t="s">
        <v>192</v>
      </c>
      <c r="C14" s="146" t="s">
        <v>144</v>
      </c>
      <c r="D14" s="146" t="s">
        <v>193</v>
      </c>
      <c r="E14" s="146" t="s">
        <v>194</v>
      </c>
      <c r="F14" s="146" t="s">
        <v>195</v>
      </c>
      <c r="G14" s="146" t="s">
        <v>203</v>
      </c>
      <c r="H14" s="146" t="s">
        <v>209</v>
      </c>
      <c r="I14" s="146" t="s">
        <v>210</v>
      </c>
      <c r="J14" s="146" t="s">
        <v>211</v>
      </c>
      <c r="K14" s="146" t="s">
        <v>199</v>
      </c>
      <c r="L14" s="146" t="s">
        <v>200</v>
      </c>
      <c r="M14" s="146" t="s">
        <v>92</v>
      </c>
      <c r="N14" s="146" t="s">
        <v>201</v>
      </c>
      <c r="O14" s="146" t="s">
        <v>202</v>
      </c>
      <c r="P14" s="146" t="s">
        <v>230</v>
      </c>
      <c r="Q14" s="146" t="s">
        <v>143</v>
      </c>
      <c r="R14" s="146" t="s">
        <v>132</v>
      </c>
      <c r="S14" s="146" t="s">
        <v>229</v>
      </c>
    </row>
    <row r="15" spans="1:19" ht="27" thickTop="1" thickBot="1" x14ac:dyDescent="0.25">
      <c r="A15" s="108" t="s">
        <v>204</v>
      </c>
      <c r="B15" s="82" t="s">
        <v>181</v>
      </c>
      <c r="C15" s="74">
        <v>1</v>
      </c>
      <c r="D15" s="110">
        <f>'Téc. Suporte N1-N2 (Supervisão)'!I135</f>
        <v>7324.45</v>
      </c>
      <c r="E15" s="110">
        <f>'Téc. Suporte N1-N2 (Supervisão)'!I33+'Téc. Suporte N1-N2 (Supervisão)'!I40</f>
        <v>2885.4885399999998</v>
      </c>
      <c r="F15" s="111">
        <v>0.75</v>
      </c>
      <c r="G15" s="112">
        <f>E15/220*(1+F15)</f>
        <v>22.952749749999999</v>
      </c>
      <c r="H15" s="110">
        <f>G15*B$25</f>
        <v>2.7818732696999997</v>
      </c>
      <c r="I15" s="110">
        <f>SUM(G15:H15)*B$26</f>
        <v>6.8968789692795998</v>
      </c>
      <c r="J15" s="110">
        <f>G15*B$27</f>
        <v>1.4730564728444444</v>
      </c>
      <c r="K15" s="110">
        <f>SUM(G15:J15)*B$28</f>
        <v>1.7052279230912024</v>
      </c>
      <c r="L15" s="110">
        <f>SUM(G15:K15)*B$29</f>
        <v>3.580978638491525</v>
      </c>
      <c r="M15" s="110">
        <f>SUM(G15:L15)/(1-B$30)*B$30</f>
        <v>5.0432620757548428</v>
      </c>
      <c r="N15" s="119">
        <f>ROUND(SUM(G15:M15),2)</f>
        <v>44.43</v>
      </c>
      <c r="O15" s="115">
        <f>ROUND(P15/12,2)</f>
        <v>0.5</v>
      </c>
      <c r="P15" s="78">
        <f>24/4*C15</f>
        <v>6</v>
      </c>
      <c r="Q15" s="116">
        <f>ROUND(N15*O15,2)</f>
        <v>22.22</v>
      </c>
      <c r="R15" s="116">
        <f>ROUND(Q15*12,2)</f>
        <v>266.64</v>
      </c>
      <c r="S15" s="117">
        <f>ROUND(R15*3,2)</f>
        <v>799.92</v>
      </c>
    </row>
    <row r="16" spans="1:19" ht="27" thickTop="1" thickBot="1" x14ac:dyDescent="0.25">
      <c r="A16" s="108" t="s">
        <v>145</v>
      </c>
      <c r="B16" s="82" t="s">
        <v>181</v>
      </c>
      <c r="C16" s="74">
        <v>1</v>
      </c>
      <c r="D16" s="110">
        <f>'Téc. Suporte N1-N2 (Supervisão)'!I135</f>
        <v>7324.45</v>
      </c>
      <c r="E16" s="110">
        <f>'Téc. Suporte N1-N2 (Supervisão)'!I33+'Téc. Suporte N1-N2 (Supervisão)'!I40</f>
        <v>2885.4885399999998</v>
      </c>
      <c r="F16" s="111">
        <v>1</v>
      </c>
      <c r="G16" s="112">
        <f>E16/220*(1+F16)</f>
        <v>26.231714</v>
      </c>
      <c r="H16" s="110">
        <f>G16*B$25</f>
        <v>3.1792837368</v>
      </c>
      <c r="I16" s="110">
        <f>SUM(G16:H16)*B$26</f>
        <v>7.8821473934624002</v>
      </c>
      <c r="J16" s="110">
        <f>G16*B$27</f>
        <v>1.6834931118222223</v>
      </c>
      <c r="K16" s="110">
        <f>SUM(G16:J16)*B$28</f>
        <v>1.9488319121042315</v>
      </c>
      <c r="L16" s="110">
        <f>SUM(G16:K16)*B$29</f>
        <v>4.0925470154188863</v>
      </c>
      <c r="M16" s="110">
        <f>SUM(G16:L16)/(1-B$30)*B$30</f>
        <v>5.7637280865769638</v>
      </c>
      <c r="N16" s="119">
        <f>ROUND(SUM(G16:M16),2)</f>
        <v>50.78</v>
      </c>
      <c r="O16" s="115">
        <f>ROUND(P16/12,2)</f>
        <v>0.75</v>
      </c>
      <c r="P16" s="78">
        <f>36/4*C16</f>
        <v>9</v>
      </c>
      <c r="Q16" s="116">
        <f>ROUND(N16*O16,2)</f>
        <v>38.090000000000003</v>
      </c>
      <c r="R16" s="116">
        <f>ROUND(Q16*12,2)</f>
        <v>457.08</v>
      </c>
      <c r="S16" s="117">
        <f>ROUND(R16*3,2)</f>
        <v>1371.24</v>
      </c>
    </row>
    <row r="17" spans="1:19" ht="27" thickTop="1" thickBot="1" x14ac:dyDescent="0.25">
      <c r="A17" s="108" t="s">
        <v>204</v>
      </c>
      <c r="B17" s="82" t="s">
        <v>182</v>
      </c>
      <c r="C17" s="74">
        <v>3</v>
      </c>
      <c r="D17" s="110">
        <f>'Técnico Suporte N1-N2'!I135</f>
        <v>6569.04</v>
      </c>
      <c r="E17" s="110">
        <f>'Técnico Suporte N1-N2'!I33+'Técnico Suporte N1-N2'!I40</f>
        <v>2546.0192999999999</v>
      </c>
      <c r="F17" s="111">
        <v>0.75</v>
      </c>
      <c r="G17" s="112">
        <f>E17/220*(1+F17)</f>
        <v>20.252426249999999</v>
      </c>
      <c r="H17" s="110">
        <f>G17*B$25</f>
        <v>2.4545940614999999</v>
      </c>
      <c r="I17" s="110">
        <f>SUM(G17:H17)*B$26</f>
        <v>6.0854814434820002</v>
      </c>
      <c r="J17" s="110">
        <f>G17*B$27</f>
        <v>1.2997557113333333</v>
      </c>
      <c r="K17" s="110">
        <f>SUM(G17:J17)*B$28</f>
        <v>1.5046128733157667</v>
      </c>
      <c r="L17" s="110">
        <f>SUM(G17:K17)*B$29</f>
        <v>3.15968703396311</v>
      </c>
      <c r="M17" s="110">
        <f>SUM(G17:L17)/(1-B$30)*B$30</f>
        <v>4.4499371256660378</v>
      </c>
      <c r="N17" s="119">
        <f>ROUND(SUM(G17:M17),2)</f>
        <v>39.21</v>
      </c>
      <c r="O17" s="115">
        <f>ROUND(P17/12,2)</f>
        <v>1.5</v>
      </c>
      <c r="P17" s="78">
        <f>24/4*C17</f>
        <v>18</v>
      </c>
      <c r="Q17" s="116">
        <f>ROUND(N17*O17,2)</f>
        <v>58.82</v>
      </c>
      <c r="R17" s="116">
        <f>ROUND(Q17*12,2)</f>
        <v>705.84</v>
      </c>
      <c r="S17" s="117">
        <f>ROUND(R17*3,2)</f>
        <v>2117.52</v>
      </c>
    </row>
    <row r="18" spans="1:19" ht="27" thickTop="1" thickBot="1" x14ac:dyDescent="0.25">
      <c r="A18" s="108" t="s">
        <v>145</v>
      </c>
      <c r="B18" s="82" t="s">
        <v>182</v>
      </c>
      <c r="C18" s="74">
        <v>3</v>
      </c>
      <c r="D18" s="110">
        <f>'Técnico Suporte N1-N2'!I135</f>
        <v>6569.04</v>
      </c>
      <c r="E18" s="110">
        <f>'Técnico Suporte N1-N2'!I33+'Técnico Suporte N1-N2'!I40</f>
        <v>2546.0192999999999</v>
      </c>
      <c r="F18" s="111">
        <v>1</v>
      </c>
      <c r="G18" s="112">
        <f>E18/220*(1+F18)</f>
        <v>23.145630000000001</v>
      </c>
      <c r="H18" s="110">
        <f>G18*B$25</f>
        <v>2.8052503560000002</v>
      </c>
      <c r="I18" s="110">
        <f>SUM(G18:H18)*B$26</f>
        <v>6.954835935408</v>
      </c>
      <c r="J18" s="110">
        <f>G18*B$27</f>
        <v>1.4854350986666667</v>
      </c>
      <c r="K18" s="110">
        <f>SUM(G18:J18)*B$28</f>
        <v>1.7195575695037335</v>
      </c>
      <c r="L18" s="110">
        <f>SUM(G18:K18)*B$29</f>
        <v>3.6110708959578406</v>
      </c>
      <c r="M18" s="110">
        <f>SUM(G18:L18)/(1-B$30)*B$30</f>
        <v>5.0856424293326139</v>
      </c>
      <c r="N18" s="119">
        <f>ROUND(SUM(G18:M18),2)</f>
        <v>44.81</v>
      </c>
      <c r="O18" s="115">
        <f>ROUND(P18/12,2)</f>
        <v>2.25</v>
      </c>
      <c r="P18" s="78">
        <f>36/4*C18</f>
        <v>27</v>
      </c>
      <c r="Q18" s="116">
        <f>ROUND(N18*O18,2)</f>
        <v>100.82</v>
      </c>
      <c r="R18" s="116">
        <f>ROUND(Q18*12,2)</f>
        <v>1209.8399999999999</v>
      </c>
      <c r="S18" s="117">
        <f>ROUND(R18*3,2)</f>
        <v>3629.52</v>
      </c>
    </row>
    <row r="19" spans="1:19" ht="15.75" customHeight="1" thickTop="1" x14ac:dyDescent="0.2">
      <c r="A19" s="279" t="s">
        <v>137</v>
      </c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1"/>
      <c r="O19" s="149">
        <f>SUM(O15:O18)</f>
        <v>5</v>
      </c>
      <c r="P19" s="150">
        <f>SUM(P15:P18)</f>
        <v>60</v>
      </c>
      <c r="Q19" s="151">
        <f>SUM(Q15:Q18)</f>
        <v>219.95</v>
      </c>
      <c r="R19" s="151">
        <f>SUM(R15:R18)</f>
        <v>2639.3999999999996</v>
      </c>
      <c r="S19" s="151">
        <f>SUM(S15:S18)</f>
        <v>7918.2000000000007</v>
      </c>
    </row>
    <row r="20" spans="1:19" ht="12.75" customHeight="1" x14ac:dyDescent="0.2">
      <c r="A20" s="71" t="s">
        <v>167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</row>
    <row r="21" spans="1:19" ht="12.75" customHeight="1" x14ac:dyDescent="0.2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118"/>
      <c r="Q21" s="71"/>
      <c r="R21" s="71"/>
      <c r="S21" s="71"/>
    </row>
    <row r="22" spans="1:19" x14ac:dyDescent="0.2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118"/>
      <c r="P22" s="118"/>
      <c r="Q22" s="71"/>
      <c r="R22" s="71"/>
      <c r="S22" s="71"/>
    </row>
    <row r="23" spans="1:19" x14ac:dyDescent="0.2">
      <c r="A23" s="71"/>
      <c r="B23" s="71"/>
      <c r="C23" s="71"/>
      <c r="D23" s="71"/>
      <c r="E23" s="71"/>
      <c r="F23" s="97"/>
      <c r="G23" s="97"/>
      <c r="O23" s="118"/>
      <c r="P23" s="118"/>
      <c r="Q23" s="104"/>
    </row>
    <row r="24" spans="1:19" ht="15.75" x14ac:dyDescent="0.2">
      <c r="A24" s="276" t="s">
        <v>205</v>
      </c>
      <c r="B24" s="276"/>
      <c r="C24" s="276" t="s">
        <v>206</v>
      </c>
      <c r="D24" s="276"/>
      <c r="E24" s="276"/>
      <c r="F24" s="113"/>
      <c r="G24" s="83"/>
      <c r="H24" s="83"/>
      <c r="O24" s="118"/>
      <c r="P24" s="118"/>
    </row>
    <row r="25" spans="1:19" x14ac:dyDescent="0.2">
      <c r="A25" s="74" t="s">
        <v>196</v>
      </c>
      <c r="B25" s="114">
        <f>'Técnico Suporte N1-N2'!H47</f>
        <v>0.1212</v>
      </c>
      <c r="C25" s="275" t="s">
        <v>207</v>
      </c>
      <c r="D25" s="275"/>
      <c r="E25" s="275"/>
      <c r="F25" s="71"/>
      <c r="G25" s="97"/>
      <c r="H25" s="97"/>
      <c r="O25" s="118"/>
    </row>
    <row r="26" spans="1:19" x14ac:dyDescent="0.2">
      <c r="A26" s="74" t="s">
        <v>197</v>
      </c>
      <c r="B26" s="114">
        <f>'Técnico Suporte N1-N2'!H58</f>
        <v>0.26800000000000002</v>
      </c>
      <c r="C26" s="275" t="s">
        <v>208</v>
      </c>
      <c r="D26" s="275"/>
      <c r="E26" s="275"/>
      <c r="F26" s="71"/>
      <c r="G26" s="97"/>
      <c r="H26" s="97"/>
    </row>
    <row r="27" spans="1:19" x14ac:dyDescent="0.2">
      <c r="A27" s="74" t="s">
        <v>198</v>
      </c>
      <c r="B27" s="114">
        <f>'Técnico Suporte N1-N2'!H82</f>
        <v>6.4177777777777778E-2</v>
      </c>
      <c r="C27" s="275" t="s">
        <v>207</v>
      </c>
      <c r="D27" s="275"/>
      <c r="E27" s="275"/>
      <c r="F27" s="71"/>
      <c r="G27" s="97"/>
      <c r="H27" s="97"/>
    </row>
    <row r="28" spans="1:19" x14ac:dyDescent="0.2">
      <c r="A28" s="74" t="s">
        <v>199</v>
      </c>
      <c r="B28" s="114">
        <f>'Técnico Suporte N1-N2'!H117</f>
        <v>0.05</v>
      </c>
      <c r="C28" s="275" t="s">
        <v>213</v>
      </c>
      <c r="D28" s="275"/>
      <c r="E28" s="275"/>
      <c r="F28" s="71"/>
      <c r="G28" s="97"/>
      <c r="H28" s="97"/>
    </row>
    <row r="29" spans="1:19" x14ac:dyDescent="0.2">
      <c r="A29" s="74" t="s">
        <v>200</v>
      </c>
      <c r="B29" s="114">
        <f>'Técnico Suporte N1-N2'!H118</f>
        <v>0.1</v>
      </c>
      <c r="C29" s="275" t="s">
        <v>214</v>
      </c>
      <c r="D29" s="275"/>
      <c r="E29" s="275"/>
      <c r="F29" s="71"/>
      <c r="G29" s="97"/>
      <c r="H29" s="97"/>
    </row>
    <row r="30" spans="1:19" x14ac:dyDescent="0.2">
      <c r="A30" s="74" t="s">
        <v>92</v>
      </c>
      <c r="B30" s="114">
        <f>SUM('Técnico Suporte N1-N2'!H120:H123)</f>
        <v>0.11349999999999999</v>
      </c>
      <c r="C30" s="275" t="s">
        <v>215</v>
      </c>
      <c r="D30" s="275"/>
      <c r="E30" s="275"/>
      <c r="F30" s="71"/>
      <c r="G30" s="97"/>
      <c r="H30" s="97"/>
    </row>
    <row r="31" spans="1:19" x14ac:dyDescent="0.2">
      <c r="A31" s="71" t="s">
        <v>212</v>
      </c>
      <c r="B31" s="71"/>
      <c r="C31" s="71"/>
      <c r="D31" s="71"/>
      <c r="E31" s="71"/>
      <c r="F31" s="97"/>
      <c r="G31" s="97"/>
    </row>
  </sheetData>
  <mergeCells count="14">
    <mergeCell ref="C29:E29"/>
    <mergeCell ref="C30:E30"/>
    <mergeCell ref="A24:B24"/>
    <mergeCell ref="A3:S3"/>
    <mergeCell ref="A4:S4"/>
    <mergeCell ref="A9:C9"/>
    <mergeCell ref="A13:D13"/>
    <mergeCell ref="A12:S12"/>
    <mergeCell ref="A19:N19"/>
    <mergeCell ref="C24:E24"/>
    <mergeCell ref="C25:E25"/>
    <mergeCell ref="C26:E26"/>
    <mergeCell ref="C27:E27"/>
    <mergeCell ref="C28:E28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22DC1-B063-4766-982A-DFAD6CB69CC0}">
  <sheetPr>
    <tabColor theme="5" tint="0.79998168889431442"/>
  </sheetPr>
  <dimension ref="A3:R32"/>
  <sheetViews>
    <sheetView showGridLines="0" topLeftCell="E1" zoomScaleNormal="100" workbookViewId="0">
      <selection activeCell="J23" sqref="J23:J26"/>
    </sheetView>
  </sheetViews>
  <sheetFormatPr defaultRowHeight="12.75" x14ac:dyDescent="0.2"/>
  <cols>
    <col min="1" max="1" width="8.140625" customWidth="1"/>
    <col min="2" max="2" width="7.42578125" customWidth="1"/>
    <col min="3" max="3" width="5.28515625" customWidth="1"/>
    <col min="4" max="4" width="48.140625" customWidth="1"/>
    <col min="5" max="5" width="7.5703125" customWidth="1"/>
    <col min="6" max="6" width="8.42578125" customWidth="1"/>
    <col min="7" max="7" width="50.85546875" customWidth="1"/>
    <col min="8" max="8" width="10.85546875" customWidth="1"/>
    <col min="9" max="9" width="11.5703125" customWidth="1"/>
    <col min="10" max="10" width="10" bestFit="1" customWidth="1"/>
    <col min="11" max="11" width="12" customWidth="1"/>
    <col min="12" max="13" width="12.85546875" bestFit="1" customWidth="1"/>
    <col min="14" max="14" width="11.140625" customWidth="1"/>
    <col min="15" max="15" width="12.42578125" customWidth="1"/>
    <col min="16" max="16" width="11" customWidth="1"/>
    <col min="17" max="17" width="12.140625" customWidth="1"/>
    <col min="18" max="18" width="9" bestFit="1" customWidth="1"/>
  </cols>
  <sheetData>
    <row r="3" spans="1:18" x14ac:dyDescent="0.2">
      <c r="A3" s="227" t="s">
        <v>122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</row>
    <row r="4" spans="1:18" x14ac:dyDescent="0.2">
      <c r="A4" s="227" t="s">
        <v>123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</row>
    <row r="8" spans="1:18" ht="21" x14ac:dyDescent="0.2">
      <c r="A8" s="282" t="s">
        <v>286</v>
      </c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83"/>
    </row>
    <row r="9" spans="1:18" ht="38.25" x14ac:dyDescent="0.2">
      <c r="A9" s="283" t="s">
        <v>128</v>
      </c>
      <c r="B9" s="213" t="s">
        <v>146</v>
      </c>
      <c r="C9" s="213" t="s">
        <v>147</v>
      </c>
      <c r="D9" s="284" t="s">
        <v>148</v>
      </c>
      <c r="E9" s="213" t="s">
        <v>149</v>
      </c>
      <c r="F9" s="284" t="s">
        <v>150</v>
      </c>
      <c r="G9" s="284" t="s">
        <v>151</v>
      </c>
      <c r="H9" s="284"/>
      <c r="I9" s="284"/>
      <c r="J9" s="84" t="s">
        <v>152</v>
      </c>
      <c r="K9" s="284" t="s">
        <v>153</v>
      </c>
      <c r="L9" s="84" t="s">
        <v>154</v>
      </c>
      <c r="M9" s="84" t="s">
        <v>155</v>
      </c>
      <c r="N9" s="284" t="s">
        <v>156</v>
      </c>
      <c r="O9" s="284"/>
      <c r="P9" s="285" t="s">
        <v>157</v>
      </c>
      <c r="Q9" s="285"/>
      <c r="R9" s="83"/>
    </row>
    <row r="10" spans="1:18" ht="25.5" x14ac:dyDescent="0.2">
      <c r="A10" s="283"/>
      <c r="B10" s="213"/>
      <c r="C10" s="213"/>
      <c r="D10" s="284"/>
      <c r="E10" s="213"/>
      <c r="F10" s="213"/>
      <c r="G10" s="84" t="s">
        <v>220</v>
      </c>
      <c r="H10" s="81" t="s">
        <v>158</v>
      </c>
      <c r="I10" s="84" t="s">
        <v>166</v>
      </c>
      <c r="J10" s="84" t="s">
        <v>158</v>
      </c>
      <c r="K10" s="284"/>
      <c r="L10" s="84" t="s">
        <v>158</v>
      </c>
      <c r="M10" s="84" t="s">
        <v>158</v>
      </c>
      <c r="N10" s="84" t="s">
        <v>159</v>
      </c>
      <c r="O10" s="84" t="s">
        <v>160</v>
      </c>
      <c r="P10" s="85" t="s">
        <v>161</v>
      </c>
      <c r="Q10" s="85" t="s">
        <v>162</v>
      </c>
      <c r="R10" s="84" t="s">
        <v>163</v>
      </c>
    </row>
    <row r="11" spans="1:18" x14ac:dyDescent="0.2">
      <c r="A11" s="286" t="s">
        <v>164</v>
      </c>
      <c r="B11" s="287" t="s">
        <v>242</v>
      </c>
      <c r="C11" s="211">
        <v>1</v>
      </c>
      <c r="D11" s="288" t="s">
        <v>238</v>
      </c>
      <c r="E11" s="290" t="s">
        <v>149</v>
      </c>
      <c r="F11" s="292">
        <v>4</v>
      </c>
      <c r="G11" s="124" t="s">
        <v>225</v>
      </c>
      <c r="H11" s="125">
        <v>63.65</v>
      </c>
      <c r="I11" s="87">
        <f>H11*$F$11</f>
        <v>254.6</v>
      </c>
      <c r="J11" s="293">
        <f>ROUNDUP(AVERAGE(H11:H14),2)</f>
        <v>62.96</v>
      </c>
      <c r="K11" s="86">
        <f>H11/$J$11-1</f>
        <v>1.0959339263024059E-2</v>
      </c>
      <c r="L11" s="293">
        <f>ROUNDUP(AVERAGEIFS(H11:H14,K11:K14,"&lt;0,30",K11:K14,"&gt;-0,30"),2)</f>
        <v>62.96</v>
      </c>
      <c r="M11" s="293">
        <f>ROUNDUP(MEDIAN(H11:H14),2)</f>
        <v>61.83</v>
      </c>
      <c r="N11" s="294">
        <f>STDEV(H11:H14)</f>
        <v>5.2925001968193923</v>
      </c>
      <c r="O11" s="294">
        <f t="shared" ref="O11" si="0">N11/L11</f>
        <v>8.4061311893573576E-2</v>
      </c>
      <c r="P11" s="295">
        <f>IF(O11&lt;=0.25, L11,M11)</f>
        <v>62.96</v>
      </c>
      <c r="Q11" s="295">
        <f>P11*F11</f>
        <v>251.84</v>
      </c>
      <c r="R11" s="291">
        <f>SUM(Q11:Q30)/12</f>
        <v>58.107666666666667</v>
      </c>
    </row>
    <row r="12" spans="1:18" ht="25.5" x14ac:dyDescent="0.2">
      <c r="A12" s="286"/>
      <c r="B12" s="287"/>
      <c r="C12" s="211"/>
      <c r="D12" s="288"/>
      <c r="E12" s="290"/>
      <c r="F12" s="292"/>
      <c r="G12" s="124" t="s">
        <v>226</v>
      </c>
      <c r="H12" s="125">
        <v>60</v>
      </c>
      <c r="I12" s="87">
        <f>H12*$F$11</f>
        <v>240</v>
      </c>
      <c r="J12" s="293"/>
      <c r="K12" s="86">
        <f>H12/$J$11-1</f>
        <v>-4.7013977128335438E-2</v>
      </c>
      <c r="L12" s="293"/>
      <c r="M12" s="293"/>
      <c r="N12" s="294"/>
      <c r="O12" s="294"/>
      <c r="P12" s="295"/>
      <c r="Q12" s="295"/>
      <c r="R12" s="291"/>
    </row>
    <row r="13" spans="1:18" x14ac:dyDescent="0.2">
      <c r="A13" s="286"/>
      <c r="B13" s="287"/>
      <c r="C13" s="211"/>
      <c r="D13" s="289"/>
      <c r="E13" s="290"/>
      <c r="F13" s="292"/>
      <c r="G13" s="124" t="s">
        <v>222</v>
      </c>
      <c r="H13" s="125">
        <v>58.08</v>
      </c>
      <c r="I13" s="87">
        <f>H13*$F$11</f>
        <v>232.32</v>
      </c>
      <c r="J13" s="293"/>
      <c r="K13" s="86">
        <f>H13/$J$11-1</f>
        <v>-7.7509529860228743E-2</v>
      </c>
      <c r="L13" s="293"/>
      <c r="M13" s="293"/>
      <c r="N13" s="294"/>
      <c r="O13" s="294"/>
      <c r="P13" s="295"/>
      <c r="Q13" s="295"/>
      <c r="R13" s="286"/>
    </row>
    <row r="14" spans="1:18" x14ac:dyDescent="0.2">
      <c r="A14" s="286"/>
      <c r="B14" s="287"/>
      <c r="C14" s="211"/>
      <c r="D14" s="289"/>
      <c r="E14" s="290"/>
      <c r="F14" s="292"/>
      <c r="G14" s="124" t="s">
        <v>227</v>
      </c>
      <c r="H14" s="125">
        <v>70.099999999999994</v>
      </c>
      <c r="I14" s="87">
        <f>H14*$F$11</f>
        <v>280.39999999999998</v>
      </c>
      <c r="J14" s="293"/>
      <c r="K14" s="86">
        <f>H14/$J$11-1</f>
        <v>0.11340533672172803</v>
      </c>
      <c r="L14" s="293"/>
      <c r="M14" s="293"/>
      <c r="N14" s="294"/>
      <c r="O14" s="294"/>
      <c r="P14" s="295"/>
      <c r="Q14" s="295"/>
      <c r="R14" s="286"/>
    </row>
    <row r="15" spans="1:18" x14ac:dyDescent="0.2">
      <c r="A15" s="286"/>
      <c r="B15" s="287"/>
      <c r="C15" s="211">
        <v>2</v>
      </c>
      <c r="D15" s="288" t="s">
        <v>237</v>
      </c>
      <c r="E15" s="290" t="s">
        <v>149</v>
      </c>
      <c r="F15" s="292">
        <v>4</v>
      </c>
      <c r="G15" s="124" t="s">
        <v>221</v>
      </c>
      <c r="H15" s="125">
        <v>59.9</v>
      </c>
      <c r="I15" s="87">
        <f>H15*$F$15</f>
        <v>239.6</v>
      </c>
      <c r="J15" s="293">
        <f t="shared" ref="J15" si="1">ROUNDUP(AVERAGE(H15:H18),2)</f>
        <v>59.8</v>
      </c>
      <c r="K15" s="86">
        <f>H15/$J$15-1</f>
        <v>1.6722408026756952E-3</v>
      </c>
      <c r="L15" s="293">
        <f t="shared" ref="L15" si="2">ROUNDUP(AVERAGEIFS(H15:H18,K15:K18,"&lt;0,30",K15:K18,"&gt;-0,30"),2)</f>
        <v>59.8</v>
      </c>
      <c r="M15" s="293">
        <f t="shared" ref="M15" si="3">ROUNDUP(MEDIAN(H15:H18),2)</f>
        <v>61.5</v>
      </c>
      <c r="N15" s="294">
        <f>STDEV(H15:H18)</f>
        <v>5.0025360235251366</v>
      </c>
      <c r="O15" s="294">
        <f t="shared" ref="O15" si="4">N15/L15</f>
        <v>8.3654448553932059E-2</v>
      </c>
      <c r="P15" s="295">
        <f t="shared" ref="P15" si="5">IF(O15&lt;=0.25, L15,M15)</f>
        <v>59.8</v>
      </c>
      <c r="Q15" s="295">
        <f>P15*F15</f>
        <v>239.2</v>
      </c>
      <c r="R15" s="286"/>
    </row>
    <row r="16" spans="1:18" x14ac:dyDescent="0.2">
      <c r="A16" s="286"/>
      <c r="B16" s="287"/>
      <c r="C16" s="211"/>
      <c r="D16" s="288"/>
      <c r="E16" s="290"/>
      <c r="F16" s="292"/>
      <c r="G16" s="124" t="s">
        <v>222</v>
      </c>
      <c r="H16" s="125">
        <v>63.09</v>
      </c>
      <c r="I16" s="87">
        <f>H16*$F$15</f>
        <v>252.36</v>
      </c>
      <c r="J16" s="293"/>
      <c r="K16" s="86">
        <f>H16/$J$15-1</f>
        <v>5.5016722408026908E-2</v>
      </c>
      <c r="L16" s="293"/>
      <c r="M16" s="293"/>
      <c r="N16" s="294"/>
      <c r="O16" s="294"/>
      <c r="P16" s="295"/>
      <c r="Q16" s="295"/>
      <c r="R16" s="286"/>
    </row>
    <row r="17" spans="1:18" x14ac:dyDescent="0.2">
      <c r="A17" s="286"/>
      <c r="B17" s="287"/>
      <c r="C17" s="211"/>
      <c r="D17" s="289"/>
      <c r="E17" s="290"/>
      <c r="F17" s="292"/>
      <c r="G17" s="124" t="s">
        <v>223</v>
      </c>
      <c r="H17" s="125">
        <v>63.5</v>
      </c>
      <c r="I17" s="87">
        <f>H17*$F$15</f>
        <v>254</v>
      </c>
      <c r="J17" s="293"/>
      <c r="K17" s="86">
        <f>H17/$J$15-1</f>
        <v>6.1872909698996725E-2</v>
      </c>
      <c r="L17" s="293"/>
      <c r="M17" s="293"/>
      <c r="N17" s="294"/>
      <c r="O17" s="294"/>
      <c r="P17" s="295"/>
      <c r="Q17" s="295"/>
      <c r="R17" s="286"/>
    </row>
    <row r="18" spans="1:18" x14ac:dyDescent="0.2">
      <c r="A18" s="286"/>
      <c r="B18" s="287"/>
      <c r="C18" s="211"/>
      <c r="D18" s="289"/>
      <c r="E18" s="290"/>
      <c r="F18" s="292"/>
      <c r="G18" s="124" t="s">
        <v>224</v>
      </c>
      <c r="H18" s="125">
        <v>52.69</v>
      </c>
      <c r="I18" s="87">
        <f>H18*$F$15</f>
        <v>210.76</v>
      </c>
      <c r="J18" s="293"/>
      <c r="K18" s="86">
        <f>H18/$J$15-1</f>
        <v>-0.11889632107023407</v>
      </c>
      <c r="L18" s="293"/>
      <c r="M18" s="293"/>
      <c r="N18" s="294"/>
      <c r="O18" s="294"/>
      <c r="P18" s="295"/>
      <c r="Q18" s="295"/>
      <c r="R18" s="286"/>
    </row>
    <row r="19" spans="1:18" ht="25.5" x14ac:dyDescent="0.2">
      <c r="A19" s="286"/>
      <c r="B19" s="287"/>
      <c r="C19" s="211">
        <v>3</v>
      </c>
      <c r="D19" s="289" t="s">
        <v>236</v>
      </c>
      <c r="E19" s="290" t="s">
        <v>165</v>
      </c>
      <c r="F19" s="292">
        <v>2</v>
      </c>
      <c r="G19" s="124" t="s">
        <v>231</v>
      </c>
      <c r="H19" s="125">
        <v>35.99</v>
      </c>
      <c r="I19" s="87">
        <f>H19*$F$19</f>
        <v>71.98</v>
      </c>
      <c r="J19" s="293">
        <f t="shared" ref="J19" si="6">ROUNDUP(AVERAGE(H19:H22),2)</f>
        <v>35.69</v>
      </c>
      <c r="K19" s="86">
        <f>H19/$J$19-1</f>
        <v>8.4057158868031667E-3</v>
      </c>
      <c r="L19" s="293">
        <f t="shared" ref="L19" si="7">ROUNDUP(AVERAGEIFS(H19:H22,K19:K22,"&lt;0,30",K19:K22,"&gt;-0,30"),2)</f>
        <v>35.69</v>
      </c>
      <c r="M19" s="293">
        <f t="shared" ref="M19" si="8">ROUNDUP(MEDIAN(H19:H22),2)</f>
        <v>36.39</v>
      </c>
      <c r="N19" s="294">
        <f>STDEV(H19:H22)</f>
        <v>2.5451571660704975</v>
      </c>
      <c r="O19" s="294">
        <f t="shared" ref="O19" si="9">N19/L19</f>
        <v>7.131289341749783E-2</v>
      </c>
      <c r="P19" s="295">
        <f t="shared" ref="P19" si="10">IF(O19&lt;=0.25, L19,M19)</f>
        <v>35.69</v>
      </c>
      <c r="Q19" s="295">
        <f>P19*F19</f>
        <v>71.38</v>
      </c>
      <c r="R19" s="286"/>
    </row>
    <row r="20" spans="1:18" ht="25.5" x14ac:dyDescent="0.2">
      <c r="A20" s="286"/>
      <c r="B20" s="287"/>
      <c r="C20" s="211"/>
      <c r="D20" s="289"/>
      <c r="E20" s="290"/>
      <c r="F20" s="292"/>
      <c r="G20" s="124" t="s">
        <v>232</v>
      </c>
      <c r="H20" s="125">
        <v>37.9</v>
      </c>
      <c r="I20" s="87">
        <f>H20*$F$19</f>
        <v>75.8</v>
      </c>
      <c r="J20" s="293"/>
      <c r="K20" s="86">
        <f>H20/$J$19-1</f>
        <v>6.1922107032782225E-2</v>
      </c>
      <c r="L20" s="293"/>
      <c r="M20" s="293"/>
      <c r="N20" s="294"/>
      <c r="O20" s="294"/>
      <c r="P20" s="295"/>
      <c r="Q20" s="295"/>
      <c r="R20" s="286"/>
    </row>
    <row r="21" spans="1:18" x14ac:dyDescent="0.2">
      <c r="A21" s="286"/>
      <c r="B21" s="287"/>
      <c r="C21" s="211"/>
      <c r="D21" s="289"/>
      <c r="E21" s="290"/>
      <c r="F21" s="292"/>
      <c r="G21" s="124" t="s">
        <v>233</v>
      </c>
      <c r="H21" s="125">
        <v>32.049999999999997</v>
      </c>
      <c r="I21" s="87">
        <f>H21*$F$19</f>
        <v>64.099999999999994</v>
      </c>
      <c r="J21" s="293"/>
      <c r="K21" s="86">
        <f t="shared" ref="K21:K22" si="11">H21/$J$19-1</f>
        <v>-0.10198935275987675</v>
      </c>
      <c r="L21" s="293"/>
      <c r="M21" s="293"/>
      <c r="N21" s="294"/>
      <c r="O21" s="294"/>
      <c r="P21" s="295"/>
      <c r="Q21" s="295"/>
      <c r="R21" s="286"/>
    </row>
    <row r="22" spans="1:18" x14ac:dyDescent="0.2">
      <c r="A22" s="286"/>
      <c r="B22" s="287"/>
      <c r="C22" s="211"/>
      <c r="D22" s="289"/>
      <c r="E22" s="290"/>
      <c r="F22" s="292"/>
      <c r="G22" s="124" t="s">
        <v>234</v>
      </c>
      <c r="H22" s="125">
        <v>36.79</v>
      </c>
      <c r="I22" s="87">
        <f>H22*$F$19</f>
        <v>73.58</v>
      </c>
      <c r="J22" s="293"/>
      <c r="K22" s="86">
        <f t="shared" si="11"/>
        <v>3.0820958251611241E-2</v>
      </c>
      <c r="L22" s="293"/>
      <c r="M22" s="293"/>
      <c r="N22" s="294"/>
      <c r="O22" s="294"/>
      <c r="P22" s="295"/>
      <c r="Q22" s="295"/>
      <c r="R22" s="286"/>
    </row>
    <row r="23" spans="1:18" ht="25.5" x14ac:dyDescent="0.2">
      <c r="A23" s="286"/>
      <c r="B23" s="287"/>
      <c r="C23" s="211">
        <v>4</v>
      </c>
      <c r="D23" s="288" t="s">
        <v>239</v>
      </c>
      <c r="E23" s="290" t="s">
        <v>165</v>
      </c>
      <c r="F23" s="292">
        <v>1</v>
      </c>
      <c r="G23" s="126" t="s">
        <v>216</v>
      </c>
      <c r="H23" s="125">
        <v>172.73</v>
      </c>
      <c r="I23" s="87">
        <f t="shared" ref="I23:I30" si="12">H23*$F$27</f>
        <v>57.000900000000001</v>
      </c>
      <c r="J23" s="293">
        <f t="shared" ref="J23" si="13">ROUNDUP(AVERAGE(H23:H26),2)</f>
        <v>131.47999999999999</v>
      </c>
      <c r="K23" s="86">
        <f>H23/$J$23-1</f>
        <v>0.31373592941892303</v>
      </c>
      <c r="L23" s="293">
        <f>ROUNDUP(AVERAGEIFS(H23:H26,K23:K26,"&lt;0,30",K23:K26,"&gt;-0,30"),2)</f>
        <v>117.72</v>
      </c>
      <c r="M23" s="293">
        <f t="shared" ref="M23" si="14">ROUNDUP(MEDIAN(H23:H26),2)</f>
        <v>125.83</v>
      </c>
      <c r="N23" s="294">
        <f>STDEV(H23:H26)</f>
        <v>30.295034109019756</v>
      </c>
      <c r="O23" s="294">
        <f>N23/L23</f>
        <v>0.25734823402157453</v>
      </c>
      <c r="P23" s="295">
        <f t="shared" ref="P23" si="15">IF(O23&lt;=0.25, L23,M23)</f>
        <v>125.83</v>
      </c>
      <c r="Q23" s="295">
        <f>P23*F23</f>
        <v>125.83</v>
      </c>
      <c r="R23" s="286"/>
    </row>
    <row r="24" spans="1:18" x14ac:dyDescent="0.2">
      <c r="A24" s="286"/>
      <c r="B24" s="287"/>
      <c r="C24" s="211"/>
      <c r="D24" s="288"/>
      <c r="E24" s="290"/>
      <c r="F24" s="292"/>
      <c r="G24" s="126" t="s">
        <v>217</v>
      </c>
      <c r="H24" s="125">
        <v>101.51</v>
      </c>
      <c r="I24" s="87">
        <f t="shared" si="12"/>
        <v>33.4983</v>
      </c>
      <c r="J24" s="293"/>
      <c r="K24" s="86">
        <f>H24/$J$23-1</f>
        <v>-0.22794341344691194</v>
      </c>
      <c r="L24" s="293"/>
      <c r="M24" s="293"/>
      <c r="N24" s="294"/>
      <c r="O24" s="294"/>
      <c r="P24" s="295"/>
      <c r="Q24" s="295"/>
      <c r="R24" s="286"/>
    </row>
    <row r="25" spans="1:18" ht="25.5" x14ac:dyDescent="0.2">
      <c r="A25" s="286"/>
      <c r="B25" s="287"/>
      <c r="C25" s="211"/>
      <c r="D25" s="288"/>
      <c r="E25" s="290"/>
      <c r="F25" s="292"/>
      <c r="G25" s="126" t="s">
        <v>218</v>
      </c>
      <c r="H25" s="125">
        <v>132.52000000000001</v>
      </c>
      <c r="I25" s="87">
        <f t="shared" si="12"/>
        <v>43.731600000000007</v>
      </c>
      <c r="J25" s="293"/>
      <c r="K25" s="86">
        <f>H25/$J$23-1</f>
        <v>7.9099482811075816E-3</v>
      </c>
      <c r="L25" s="293"/>
      <c r="M25" s="293"/>
      <c r="N25" s="294"/>
      <c r="O25" s="294"/>
      <c r="P25" s="295"/>
      <c r="Q25" s="295"/>
      <c r="R25" s="286"/>
    </row>
    <row r="26" spans="1:18" x14ac:dyDescent="0.2">
      <c r="A26" s="286"/>
      <c r="B26" s="287"/>
      <c r="C26" s="211"/>
      <c r="D26" s="288"/>
      <c r="E26" s="290"/>
      <c r="F26" s="292"/>
      <c r="G26" s="126" t="s">
        <v>219</v>
      </c>
      <c r="H26" s="125">
        <v>119.13</v>
      </c>
      <c r="I26" s="87">
        <f t="shared" si="12"/>
        <v>39.312899999999999</v>
      </c>
      <c r="J26" s="293"/>
      <c r="K26" s="86">
        <f>H26/$J$23-1</f>
        <v>-9.39306358381502E-2</v>
      </c>
      <c r="L26" s="293"/>
      <c r="M26" s="293"/>
      <c r="N26" s="294"/>
      <c r="O26" s="294"/>
      <c r="P26" s="295"/>
      <c r="Q26" s="295"/>
      <c r="R26" s="286"/>
    </row>
    <row r="27" spans="1:18" x14ac:dyDescent="0.2">
      <c r="A27" s="286"/>
      <c r="B27" s="287"/>
      <c r="C27" s="211">
        <v>4</v>
      </c>
      <c r="D27" s="288" t="s">
        <v>235</v>
      </c>
      <c r="E27" s="290" t="s">
        <v>165</v>
      </c>
      <c r="F27" s="292">
        <v>0.33</v>
      </c>
      <c r="G27" s="126" t="s">
        <v>241</v>
      </c>
      <c r="H27" s="125">
        <v>40.75</v>
      </c>
      <c r="I27" s="87">
        <f t="shared" si="12"/>
        <v>13.4475</v>
      </c>
      <c r="J27" s="293">
        <f t="shared" ref="J27" si="16">ROUNDUP(AVERAGE(H27:H30),2)</f>
        <v>29.69</v>
      </c>
      <c r="K27" s="86">
        <f>H27/$J$27-1</f>
        <v>0.37251599865274487</v>
      </c>
      <c r="L27" s="293">
        <f t="shared" ref="L27" si="17">ROUNDUP(AVERAGEIFS(H27:H30,K27:K30,"&lt;0,30",K27:K30,"&gt;-0,30"),2)</f>
        <v>26.01</v>
      </c>
      <c r="M27" s="293">
        <f t="shared" ref="M27" si="18">ROUNDUP(MEDIAN(H27:H30),2)</f>
        <v>27.400000000000002</v>
      </c>
      <c r="N27" s="294">
        <f>STDEV(H27:H30)</f>
        <v>7.9201557223748331</v>
      </c>
      <c r="O27" s="294">
        <f t="shared" ref="O27" si="19">N27/L27</f>
        <v>0.30450425691560296</v>
      </c>
      <c r="P27" s="295">
        <f t="shared" ref="P27" si="20">IF(O27&lt;=0.25, L27,M27)</f>
        <v>27.400000000000002</v>
      </c>
      <c r="Q27" s="295">
        <f>P27*F27</f>
        <v>9.0420000000000016</v>
      </c>
      <c r="R27" s="286"/>
    </row>
    <row r="28" spans="1:18" x14ac:dyDescent="0.2">
      <c r="A28" s="286"/>
      <c r="B28" s="287"/>
      <c r="C28" s="211"/>
      <c r="D28" s="288"/>
      <c r="E28" s="290"/>
      <c r="F28" s="292"/>
      <c r="G28" s="126" t="s">
        <v>240</v>
      </c>
      <c r="H28" s="125">
        <v>24.8</v>
      </c>
      <c r="I28" s="87">
        <f t="shared" si="12"/>
        <v>8.1840000000000011</v>
      </c>
      <c r="J28" s="293"/>
      <c r="K28" s="86">
        <f>H28/$J$27-1</f>
        <v>-0.16470191983832938</v>
      </c>
      <c r="L28" s="293"/>
      <c r="M28" s="293"/>
      <c r="N28" s="294"/>
      <c r="O28" s="294"/>
      <c r="P28" s="295"/>
      <c r="Q28" s="295"/>
      <c r="R28" s="286"/>
    </row>
    <row r="29" spans="1:18" ht="25.5" x14ac:dyDescent="0.2">
      <c r="A29" s="286"/>
      <c r="B29" s="287"/>
      <c r="C29" s="211"/>
      <c r="D29" s="288"/>
      <c r="E29" s="290"/>
      <c r="F29" s="292"/>
      <c r="G29" s="126" t="s">
        <v>231</v>
      </c>
      <c r="H29" s="125">
        <v>29.99</v>
      </c>
      <c r="I29" s="87">
        <f t="shared" si="12"/>
        <v>9.8966999999999992</v>
      </c>
      <c r="J29" s="293"/>
      <c r="K29" s="86">
        <f t="shared" ref="K29:K30" si="21">H29/$J$27-1</f>
        <v>1.0104412260020013E-2</v>
      </c>
      <c r="L29" s="293"/>
      <c r="M29" s="293"/>
      <c r="N29" s="294"/>
      <c r="O29" s="294"/>
      <c r="P29" s="295"/>
      <c r="Q29" s="295"/>
      <c r="R29" s="286"/>
    </row>
    <row r="30" spans="1:18" x14ac:dyDescent="0.2">
      <c r="A30" s="286"/>
      <c r="B30" s="287"/>
      <c r="C30" s="211"/>
      <c r="D30" s="288"/>
      <c r="E30" s="290"/>
      <c r="F30" s="292"/>
      <c r="G30" s="126" t="s">
        <v>240</v>
      </c>
      <c r="H30" s="125">
        <v>23.22</v>
      </c>
      <c r="I30" s="87">
        <f t="shared" si="12"/>
        <v>7.6626000000000003</v>
      </c>
      <c r="J30" s="293"/>
      <c r="K30" s="86">
        <f t="shared" si="21"/>
        <v>-0.21791849107443595</v>
      </c>
      <c r="L30" s="293"/>
      <c r="M30" s="293"/>
      <c r="N30" s="294"/>
      <c r="O30" s="294"/>
      <c r="P30" s="295"/>
      <c r="Q30" s="295"/>
      <c r="R30" s="286"/>
    </row>
    <row r="32" spans="1:18" x14ac:dyDescent="0.2">
      <c r="A32" s="188"/>
      <c r="B32" s="188"/>
      <c r="C32" s="188"/>
      <c r="D32" s="88"/>
    </row>
  </sheetData>
  <mergeCells count="72">
    <mergeCell ref="A32:C32"/>
    <mergeCell ref="A3:R3"/>
    <mergeCell ref="A4:R4"/>
    <mergeCell ref="M27:M30"/>
    <mergeCell ref="N27:N30"/>
    <mergeCell ref="O27:O30"/>
    <mergeCell ref="P27:P30"/>
    <mergeCell ref="Q27:Q30"/>
    <mergeCell ref="N19:N22"/>
    <mergeCell ref="O19:O22"/>
    <mergeCell ref="P19:P22"/>
    <mergeCell ref="Q19:Q22"/>
    <mergeCell ref="C27:C30"/>
    <mergeCell ref="D27:D30"/>
    <mergeCell ref="E27:E30"/>
    <mergeCell ref="F27:F30"/>
    <mergeCell ref="L27:L30"/>
    <mergeCell ref="O15:O18"/>
    <mergeCell ref="P15:P18"/>
    <mergeCell ref="Q15:Q18"/>
    <mergeCell ref="L19:L22"/>
    <mergeCell ref="M19:M22"/>
    <mergeCell ref="L23:L26"/>
    <mergeCell ref="M23:M26"/>
    <mergeCell ref="N23:N26"/>
    <mergeCell ref="O23:O26"/>
    <mergeCell ref="P23:P26"/>
    <mergeCell ref="Q23:Q26"/>
    <mergeCell ref="F19:F22"/>
    <mergeCell ref="J19:J22"/>
    <mergeCell ref="F11:F14"/>
    <mergeCell ref="J11:J14"/>
    <mergeCell ref="J27:J30"/>
    <mergeCell ref="F23:F26"/>
    <mergeCell ref="J23:J26"/>
    <mergeCell ref="R11:R30"/>
    <mergeCell ref="C15:C18"/>
    <mergeCell ref="D15:D18"/>
    <mergeCell ref="E15:E18"/>
    <mergeCell ref="F15:F18"/>
    <mergeCell ref="J15:J18"/>
    <mergeCell ref="L15:L18"/>
    <mergeCell ref="M15:M18"/>
    <mergeCell ref="N15:N18"/>
    <mergeCell ref="L11:L14"/>
    <mergeCell ref="M11:M14"/>
    <mergeCell ref="N11:N14"/>
    <mergeCell ref="O11:O14"/>
    <mergeCell ref="P11:P14"/>
    <mergeCell ref="Q11:Q14"/>
    <mergeCell ref="C19:C22"/>
    <mergeCell ref="A11:A30"/>
    <mergeCell ref="B11:B30"/>
    <mergeCell ref="C11:C14"/>
    <mergeCell ref="D11:D14"/>
    <mergeCell ref="E11:E14"/>
    <mergeCell ref="D19:D22"/>
    <mergeCell ref="E19:E22"/>
    <mergeCell ref="C23:C26"/>
    <mergeCell ref="D23:D26"/>
    <mergeCell ref="E23:E26"/>
    <mergeCell ref="A8:Q8"/>
    <mergeCell ref="A9:A10"/>
    <mergeCell ref="B9:B10"/>
    <mergeCell ref="C9:C10"/>
    <mergeCell ref="D9:D10"/>
    <mergeCell ref="E9:E10"/>
    <mergeCell ref="F9:F10"/>
    <mergeCell ref="G9:I9"/>
    <mergeCell ref="K9:K10"/>
    <mergeCell ref="N9:O9"/>
    <mergeCell ref="P9:Q9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1AFA-00B1-4487-AC98-7FBA6BC2954C}">
  <dimension ref="A1:T45"/>
  <sheetViews>
    <sheetView topLeftCell="A10" workbookViewId="0">
      <selection activeCell="A27" sqref="A27:J27"/>
    </sheetView>
  </sheetViews>
  <sheetFormatPr defaultRowHeight="12.75" x14ac:dyDescent="0.2"/>
  <sheetData>
    <row r="1" spans="1:12" ht="12.75" customHeight="1" x14ac:dyDescent="0.2">
      <c r="A1" s="178" t="s">
        <v>285</v>
      </c>
      <c r="B1" s="179"/>
      <c r="C1" s="179"/>
      <c r="D1" s="179"/>
      <c r="E1" s="179"/>
      <c r="F1" s="179"/>
      <c r="G1" s="179"/>
      <c r="H1" s="179"/>
      <c r="I1" s="179"/>
      <c r="J1" s="180"/>
      <c r="K1" s="132"/>
      <c r="L1" s="169"/>
    </row>
    <row r="2" spans="1:12" x14ac:dyDescent="0.2">
      <c r="A2" s="181"/>
      <c r="B2" s="182"/>
      <c r="C2" s="182"/>
      <c r="D2" s="182"/>
      <c r="E2" s="182"/>
      <c r="F2" s="182"/>
      <c r="G2" s="182"/>
      <c r="H2" s="182"/>
      <c r="I2" s="182"/>
      <c r="J2" s="183"/>
      <c r="K2" s="132"/>
      <c r="L2" s="169"/>
    </row>
    <row r="3" spans="1:12" x14ac:dyDescent="0.2">
      <c r="A3" s="181"/>
      <c r="B3" s="182"/>
      <c r="C3" s="182"/>
      <c r="D3" s="182"/>
      <c r="E3" s="182"/>
      <c r="F3" s="182"/>
      <c r="G3" s="182"/>
      <c r="H3" s="182"/>
      <c r="I3" s="182"/>
      <c r="J3" s="183"/>
      <c r="K3" s="132"/>
      <c r="L3" s="169"/>
    </row>
    <row r="4" spans="1:12" x14ac:dyDescent="0.2">
      <c r="A4" s="181"/>
      <c r="B4" s="182"/>
      <c r="C4" s="182"/>
      <c r="D4" s="182"/>
      <c r="E4" s="182"/>
      <c r="F4" s="182"/>
      <c r="G4" s="182"/>
      <c r="H4" s="182"/>
      <c r="I4" s="182"/>
      <c r="J4" s="183"/>
      <c r="K4" s="132"/>
      <c r="L4" s="169"/>
    </row>
    <row r="5" spans="1:12" x14ac:dyDescent="0.2">
      <c r="A5" s="132"/>
      <c r="B5" s="169"/>
      <c r="C5" s="169"/>
      <c r="D5" s="169"/>
      <c r="E5" s="169"/>
      <c r="F5" s="169"/>
      <c r="G5" s="169"/>
      <c r="H5" s="169"/>
      <c r="I5" s="169"/>
      <c r="J5" s="133"/>
      <c r="K5" s="132"/>
      <c r="L5" s="169"/>
    </row>
    <row r="6" spans="1:12" x14ac:dyDescent="0.2">
      <c r="A6" s="132"/>
      <c r="B6" s="169"/>
      <c r="C6" s="169"/>
      <c r="D6" s="169"/>
      <c r="E6" s="169"/>
      <c r="F6" s="169"/>
      <c r="G6" s="169"/>
      <c r="H6" s="169"/>
      <c r="I6" s="169"/>
      <c r="J6" s="133"/>
      <c r="K6" s="132"/>
      <c r="L6" s="169"/>
    </row>
    <row r="7" spans="1:12" ht="12.75" customHeight="1" x14ac:dyDescent="0.2">
      <c r="A7" s="172" t="s">
        <v>281</v>
      </c>
      <c r="B7" s="173"/>
      <c r="C7" s="173"/>
      <c r="D7" s="173"/>
      <c r="E7" s="173"/>
      <c r="F7" s="173"/>
      <c r="G7" s="173"/>
      <c r="H7" s="173"/>
      <c r="I7" s="173"/>
      <c r="J7" s="174"/>
      <c r="K7" s="132"/>
      <c r="L7" s="169"/>
    </row>
    <row r="8" spans="1:12" x14ac:dyDescent="0.2">
      <c r="A8" s="172"/>
      <c r="B8" s="173"/>
      <c r="C8" s="173"/>
      <c r="D8" s="173"/>
      <c r="E8" s="173"/>
      <c r="F8" s="173"/>
      <c r="G8" s="173"/>
      <c r="H8" s="173"/>
      <c r="I8" s="173"/>
      <c r="J8" s="174"/>
      <c r="K8" s="132"/>
      <c r="L8" s="169"/>
    </row>
    <row r="9" spans="1:12" x14ac:dyDescent="0.2">
      <c r="A9" s="172"/>
      <c r="B9" s="173"/>
      <c r="C9" s="173"/>
      <c r="D9" s="173"/>
      <c r="E9" s="173"/>
      <c r="F9" s="173"/>
      <c r="G9" s="173"/>
      <c r="H9" s="173"/>
      <c r="I9" s="173"/>
      <c r="J9" s="174"/>
      <c r="K9" s="132"/>
      <c r="L9" s="169"/>
    </row>
    <row r="10" spans="1:12" x14ac:dyDescent="0.2">
      <c r="A10" s="172"/>
      <c r="B10" s="173"/>
      <c r="C10" s="173"/>
      <c r="D10" s="173"/>
      <c r="E10" s="173"/>
      <c r="F10" s="173"/>
      <c r="G10" s="173"/>
      <c r="H10" s="173"/>
      <c r="I10" s="173"/>
      <c r="J10" s="174"/>
      <c r="K10" s="132"/>
      <c r="L10" s="169"/>
    </row>
    <row r="11" spans="1:12" x14ac:dyDescent="0.2">
      <c r="A11" s="130"/>
      <c r="B11" s="163"/>
      <c r="C11" s="163"/>
      <c r="D11" s="163"/>
      <c r="E11" s="163"/>
      <c r="F11" s="163"/>
      <c r="G11" s="163"/>
      <c r="H11" s="163"/>
      <c r="I11" s="163"/>
      <c r="J11" s="131"/>
      <c r="K11" s="132"/>
      <c r="L11" s="169"/>
    </row>
    <row r="12" spans="1:12" x14ac:dyDescent="0.2">
      <c r="A12" s="132"/>
      <c r="B12" s="169"/>
      <c r="C12" s="169"/>
      <c r="D12" s="169"/>
      <c r="E12" s="169"/>
      <c r="F12" s="169"/>
      <c r="G12" s="169"/>
      <c r="H12" s="169"/>
      <c r="I12" s="169"/>
      <c r="J12" s="133"/>
      <c r="K12" s="128"/>
    </row>
    <row r="13" spans="1:12" ht="12.75" customHeight="1" x14ac:dyDescent="0.2">
      <c r="A13" s="172" t="s">
        <v>291</v>
      </c>
      <c r="B13" s="173"/>
      <c r="C13" s="173"/>
      <c r="D13" s="173"/>
      <c r="E13" s="173"/>
      <c r="F13" s="173"/>
      <c r="G13" s="173"/>
      <c r="H13" s="173"/>
      <c r="I13" s="173"/>
      <c r="J13" s="174"/>
      <c r="K13" s="132"/>
      <c r="L13" s="169"/>
    </row>
    <row r="14" spans="1:12" x14ac:dyDescent="0.2">
      <c r="A14" s="172"/>
      <c r="B14" s="173"/>
      <c r="C14" s="173"/>
      <c r="D14" s="173"/>
      <c r="E14" s="173"/>
      <c r="F14" s="173"/>
      <c r="G14" s="173"/>
      <c r="H14" s="173"/>
      <c r="I14" s="173"/>
      <c r="J14" s="174"/>
      <c r="K14" s="132"/>
      <c r="L14" s="169"/>
    </row>
    <row r="15" spans="1:12" x14ac:dyDescent="0.2">
      <c r="A15" s="132"/>
      <c r="B15" s="169"/>
      <c r="C15" s="169"/>
      <c r="D15" s="169"/>
      <c r="E15" s="169"/>
      <c r="F15" s="169"/>
      <c r="G15" s="169"/>
      <c r="H15" s="169"/>
      <c r="I15" s="169"/>
      <c r="J15" s="133"/>
      <c r="K15" s="130"/>
      <c r="L15" s="163"/>
    </row>
    <row r="16" spans="1:12" x14ac:dyDescent="0.2">
      <c r="A16" s="128"/>
      <c r="J16" s="129"/>
      <c r="K16" s="128"/>
    </row>
    <row r="17" spans="1:20" ht="12.75" customHeight="1" x14ac:dyDescent="0.2">
      <c r="A17" s="172" t="s">
        <v>288</v>
      </c>
      <c r="B17" s="173"/>
      <c r="C17" s="173"/>
      <c r="D17" s="173"/>
      <c r="E17" s="173"/>
      <c r="F17" s="173"/>
      <c r="G17" s="173"/>
      <c r="H17" s="173"/>
      <c r="I17" s="173"/>
      <c r="J17" s="174"/>
      <c r="K17" s="132"/>
      <c r="L17" s="169"/>
    </row>
    <row r="18" spans="1:20" x14ac:dyDescent="0.2">
      <c r="A18" s="172"/>
      <c r="B18" s="173"/>
      <c r="C18" s="173"/>
      <c r="D18" s="173"/>
      <c r="E18" s="173"/>
      <c r="F18" s="173"/>
      <c r="G18" s="173"/>
      <c r="H18" s="173"/>
      <c r="I18" s="173"/>
      <c r="J18" s="174"/>
      <c r="K18" s="132"/>
      <c r="L18" s="169"/>
    </row>
    <row r="19" spans="1:20" x14ac:dyDescent="0.2">
      <c r="A19" s="132"/>
      <c r="B19" s="169"/>
      <c r="C19" s="169"/>
      <c r="D19" s="169"/>
      <c r="E19" s="169"/>
      <c r="F19" s="169"/>
      <c r="G19" s="169"/>
      <c r="H19" s="169"/>
      <c r="I19" s="169"/>
      <c r="J19" s="133"/>
      <c r="K19" s="130"/>
      <c r="L19" s="163"/>
    </row>
    <row r="20" spans="1:20" x14ac:dyDescent="0.2">
      <c r="A20" s="128"/>
      <c r="J20" s="129"/>
      <c r="K20" s="128"/>
    </row>
    <row r="21" spans="1:20" ht="12.75" customHeight="1" x14ac:dyDescent="0.2">
      <c r="A21" s="184" t="s">
        <v>292</v>
      </c>
      <c r="B21" s="185"/>
      <c r="C21" s="185"/>
      <c r="D21" s="185"/>
      <c r="E21" s="185"/>
      <c r="F21" s="185"/>
      <c r="G21" s="185"/>
      <c r="H21" s="185"/>
      <c r="I21" s="185"/>
      <c r="J21" s="186"/>
      <c r="K21" s="164"/>
      <c r="L21" s="167"/>
    </row>
    <row r="22" spans="1:20" x14ac:dyDescent="0.2">
      <c r="A22" s="184"/>
      <c r="B22" s="185"/>
      <c r="C22" s="185"/>
      <c r="D22" s="185"/>
      <c r="E22" s="185"/>
      <c r="F22" s="185"/>
      <c r="G22" s="185"/>
      <c r="H22" s="185"/>
      <c r="I22" s="185"/>
      <c r="J22" s="186"/>
      <c r="K22" s="164"/>
      <c r="L22" s="167"/>
    </row>
    <row r="23" spans="1:20" x14ac:dyDescent="0.2">
      <c r="A23" s="184"/>
      <c r="B23" s="185"/>
      <c r="C23" s="185"/>
      <c r="D23" s="185"/>
      <c r="E23" s="185"/>
      <c r="F23" s="185"/>
      <c r="G23" s="185"/>
      <c r="H23" s="185"/>
      <c r="I23" s="185"/>
      <c r="J23" s="186"/>
      <c r="K23" s="164"/>
      <c r="L23" s="167"/>
    </row>
    <row r="24" spans="1:20" x14ac:dyDescent="0.2">
      <c r="A24" s="184"/>
      <c r="B24" s="185"/>
      <c r="C24" s="185"/>
      <c r="D24" s="185"/>
      <c r="E24" s="185"/>
      <c r="F24" s="185"/>
      <c r="G24" s="185"/>
      <c r="H24" s="185"/>
      <c r="I24" s="185"/>
      <c r="J24" s="186"/>
      <c r="K24" s="164"/>
      <c r="L24" s="167"/>
    </row>
    <row r="25" spans="1:20" x14ac:dyDescent="0.2">
      <c r="A25" s="164"/>
      <c r="B25" s="167"/>
      <c r="C25" s="167"/>
      <c r="D25" s="167"/>
      <c r="E25" s="167"/>
      <c r="F25" s="167"/>
      <c r="G25" s="167"/>
      <c r="H25" s="167"/>
      <c r="I25" s="167"/>
      <c r="J25" s="165"/>
      <c r="K25" s="138"/>
      <c r="L25" s="166"/>
    </row>
    <row r="26" spans="1:20" x14ac:dyDescent="0.2">
      <c r="A26" s="128"/>
      <c r="J26" s="129"/>
      <c r="K26" s="128"/>
    </row>
    <row r="27" spans="1:20" x14ac:dyDescent="0.2">
      <c r="A27" s="187" t="s">
        <v>282</v>
      </c>
      <c r="B27" s="188"/>
      <c r="C27" s="188"/>
      <c r="D27" s="188"/>
      <c r="E27" s="188"/>
      <c r="F27" s="188"/>
      <c r="G27" s="188"/>
      <c r="H27" s="188"/>
      <c r="I27" s="188"/>
      <c r="J27" s="189"/>
      <c r="K27" s="128"/>
      <c r="T27" s="127"/>
    </row>
    <row r="28" spans="1:20" x14ac:dyDescent="0.2">
      <c r="A28" s="128"/>
      <c r="J28" s="129"/>
      <c r="K28" s="128"/>
      <c r="T28" s="127"/>
    </row>
    <row r="29" spans="1:20" x14ac:dyDescent="0.2">
      <c r="A29" s="128"/>
      <c r="J29" s="129"/>
      <c r="K29" s="128"/>
    </row>
    <row r="30" spans="1:20" ht="12.75" customHeight="1" x14ac:dyDescent="0.2">
      <c r="A30" s="172" t="s">
        <v>283</v>
      </c>
      <c r="B30" s="173"/>
      <c r="C30" s="173"/>
      <c r="D30" s="173"/>
      <c r="E30" s="173"/>
      <c r="F30" s="173"/>
      <c r="G30" s="173"/>
      <c r="H30" s="173"/>
      <c r="I30" s="173"/>
      <c r="J30" s="174"/>
      <c r="K30" s="132"/>
      <c r="L30" s="169"/>
    </row>
    <row r="31" spans="1:20" x14ac:dyDescent="0.2">
      <c r="A31" s="172"/>
      <c r="B31" s="173"/>
      <c r="C31" s="173"/>
      <c r="D31" s="173"/>
      <c r="E31" s="173"/>
      <c r="F31" s="173"/>
      <c r="G31" s="173"/>
      <c r="H31" s="173"/>
      <c r="I31" s="173"/>
      <c r="J31" s="174"/>
      <c r="K31" s="132"/>
      <c r="L31" s="169"/>
    </row>
    <row r="32" spans="1:20" x14ac:dyDescent="0.2">
      <c r="A32" s="130"/>
      <c r="B32" s="163"/>
      <c r="C32" s="163"/>
      <c r="D32" s="163"/>
      <c r="E32" s="163"/>
      <c r="F32" s="163"/>
      <c r="G32" s="163"/>
      <c r="H32" s="163"/>
      <c r="I32" s="163"/>
      <c r="J32" s="131"/>
      <c r="K32" s="130"/>
      <c r="L32" s="163"/>
    </row>
    <row r="33" spans="1:12" x14ac:dyDescent="0.2">
      <c r="A33" s="128"/>
      <c r="J33" s="129"/>
      <c r="K33" s="128"/>
    </row>
    <row r="34" spans="1:12" x14ac:dyDescent="0.2">
      <c r="A34" s="172" t="s">
        <v>284</v>
      </c>
      <c r="B34" s="173"/>
      <c r="C34" s="173"/>
      <c r="D34" s="173"/>
      <c r="E34" s="173"/>
      <c r="F34" s="173"/>
      <c r="G34" s="173"/>
      <c r="H34" s="173"/>
      <c r="I34" s="173"/>
      <c r="J34" s="174"/>
      <c r="K34" s="170"/>
      <c r="L34" s="26"/>
    </row>
    <row r="35" spans="1:12" x14ac:dyDescent="0.2">
      <c r="A35" s="172"/>
      <c r="B35" s="173"/>
      <c r="C35" s="173"/>
      <c r="D35" s="173"/>
      <c r="E35" s="173"/>
      <c r="F35" s="173"/>
      <c r="G35" s="173"/>
      <c r="H35" s="173"/>
      <c r="I35" s="173"/>
      <c r="J35" s="174"/>
      <c r="K35" s="134"/>
      <c r="L35" s="171"/>
    </row>
    <row r="36" spans="1:12" x14ac:dyDescent="0.2">
      <c r="A36" s="130"/>
      <c r="B36" s="163"/>
      <c r="C36" s="163"/>
      <c r="D36" s="163"/>
      <c r="E36" s="163"/>
      <c r="F36" s="163"/>
      <c r="G36" s="163"/>
      <c r="H36" s="163"/>
      <c r="I36" s="163"/>
      <c r="J36" s="131"/>
      <c r="K36" s="134"/>
      <c r="L36" s="171"/>
    </row>
    <row r="37" spans="1:12" x14ac:dyDescent="0.2">
      <c r="A37" s="128"/>
      <c r="J37" s="129"/>
      <c r="K37" s="128"/>
    </row>
    <row r="38" spans="1:12" ht="12.75" customHeight="1" x14ac:dyDescent="0.2">
      <c r="A38" s="184" t="s">
        <v>293</v>
      </c>
      <c r="B38" s="185"/>
      <c r="C38" s="185"/>
      <c r="D38" s="185"/>
      <c r="E38" s="185"/>
      <c r="F38" s="185"/>
      <c r="G38" s="185"/>
      <c r="H38" s="185"/>
      <c r="I38" s="185"/>
      <c r="J38" s="186"/>
      <c r="K38" s="164"/>
      <c r="L38" s="167"/>
    </row>
    <row r="39" spans="1:12" x14ac:dyDescent="0.2">
      <c r="A39" s="184"/>
      <c r="B39" s="185"/>
      <c r="C39" s="185"/>
      <c r="D39" s="185"/>
      <c r="E39" s="185"/>
      <c r="F39" s="185"/>
      <c r="G39" s="185"/>
      <c r="H39" s="185"/>
      <c r="I39" s="185"/>
      <c r="J39" s="186"/>
      <c r="K39" s="164"/>
      <c r="L39" s="167"/>
    </row>
    <row r="40" spans="1:12" x14ac:dyDescent="0.2">
      <c r="A40" s="184"/>
      <c r="B40" s="185"/>
      <c r="C40" s="185"/>
      <c r="D40" s="185"/>
      <c r="E40" s="185"/>
      <c r="F40" s="185"/>
      <c r="G40" s="185"/>
      <c r="H40" s="185"/>
      <c r="I40" s="185"/>
      <c r="J40" s="186"/>
      <c r="K40" s="164"/>
      <c r="L40" s="167"/>
    </row>
    <row r="41" spans="1:12" x14ac:dyDescent="0.2">
      <c r="A41" s="138"/>
      <c r="B41" s="166"/>
      <c r="C41" s="166"/>
      <c r="D41" s="166"/>
      <c r="E41" s="166"/>
      <c r="F41" s="166"/>
      <c r="G41" s="166"/>
      <c r="H41" s="166"/>
      <c r="I41" s="166"/>
      <c r="J41" s="139"/>
      <c r="K41" s="138"/>
      <c r="L41" s="166"/>
    </row>
    <row r="42" spans="1:12" x14ac:dyDescent="0.2">
      <c r="A42" s="128"/>
      <c r="J42" s="129"/>
      <c r="K42" s="128"/>
    </row>
    <row r="43" spans="1:12" ht="12.75" customHeight="1" x14ac:dyDescent="0.2">
      <c r="A43" s="172" t="s">
        <v>287</v>
      </c>
      <c r="B43" s="173"/>
      <c r="C43" s="173"/>
      <c r="D43" s="173"/>
      <c r="E43" s="173"/>
      <c r="F43" s="173"/>
      <c r="G43" s="173"/>
      <c r="H43" s="173"/>
      <c r="I43" s="173"/>
      <c r="J43" s="174"/>
      <c r="K43" s="132"/>
      <c r="L43" s="169"/>
    </row>
    <row r="44" spans="1:12" ht="13.5" thickBot="1" x14ac:dyDescent="0.25">
      <c r="A44" s="175"/>
      <c r="B44" s="176"/>
      <c r="C44" s="176"/>
      <c r="D44" s="176"/>
      <c r="E44" s="176"/>
      <c r="F44" s="176"/>
      <c r="G44" s="176"/>
      <c r="H44" s="176"/>
      <c r="I44" s="176"/>
      <c r="J44" s="177"/>
      <c r="K44" s="132"/>
      <c r="L44" s="169"/>
    </row>
    <row r="45" spans="1:12" x14ac:dyDescent="0.2">
      <c r="A45" s="168"/>
      <c r="B45" s="168"/>
      <c r="C45" s="168"/>
      <c r="D45" s="168"/>
      <c r="E45" s="168"/>
      <c r="F45" s="168"/>
      <c r="G45" s="168"/>
      <c r="H45" s="168"/>
      <c r="I45" s="168"/>
      <c r="J45" s="168"/>
    </row>
  </sheetData>
  <mergeCells count="10">
    <mergeCell ref="A43:J44"/>
    <mergeCell ref="A1:J4"/>
    <mergeCell ref="A7:J10"/>
    <mergeCell ref="A13:J14"/>
    <mergeCell ref="A17:J18"/>
    <mergeCell ref="A21:J24"/>
    <mergeCell ref="A27:J27"/>
    <mergeCell ref="A30:J31"/>
    <mergeCell ref="A34:J35"/>
    <mergeCell ref="A38:J40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2</vt:i4>
      </vt:variant>
    </vt:vector>
  </HeadingPairs>
  <TitlesOfParts>
    <vt:vector size="10" baseType="lpstr">
      <vt:lpstr>Proposta Comercial</vt:lpstr>
      <vt:lpstr>Consolidado</vt:lpstr>
      <vt:lpstr>Téc. Suporte N1-N2 (Supervisão)</vt:lpstr>
      <vt:lpstr>Técnico Suporte N1-N2</vt:lpstr>
      <vt:lpstr>Sobreaviso</vt:lpstr>
      <vt:lpstr>Horas Extras</vt:lpstr>
      <vt:lpstr>Fardamento</vt:lpstr>
      <vt:lpstr>Metodologia</vt:lpstr>
      <vt:lpstr>'Téc. Suporte N1-N2 (Supervisão)'!Area_de_impressao</vt:lpstr>
      <vt:lpstr>'Técnico Suporte N1-N2'!Area_de_impressao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Clydemberg Inácio Barbosa Neves Santos</cp:lastModifiedBy>
  <cp:revision>9</cp:revision>
  <cp:lastPrinted>2026-10-01T19:53:44Z</cp:lastPrinted>
  <dcterms:created xsi:type="dcterms:W3CDTF">2010-12-08T17:56:29Z</dcterms:created>
  <dcterms:modified xsi:type="dcterms:W3CDTF">2026-10-02T13:52:04Z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